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wmf" ContentType="image/x-wmf"/>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app.xml" ContentType="application/vnd.openxmlformats-officedocument.extended-properties+xml"/>
  <Override PartName="/xl/comments6.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66925"/>
  <mc:AlternateContent xmlns:mc="http://schemas.openxmlformats.org/markup-compatibility/2006">
    <mc:Choice Requires="x15">
      <x15ac:absPath xmlns:x15ac="http://schemas.microsoft.com/office/spreadsheetml/2010/11/ac" url="C:\Users\norela.briceno\Documents\Plan de Acción Integrado\Plan Acción 2019\"/>
    </mc:Choice>
  </mc:AlternateContent>
  <xr:revisionPtr revIDLastSave="0" documentId="13_ncr:1_{5740BC50-E3E5-4006-8386-CDB92DF227D8}" xr6:coauthVersionLast="41" xr6:coauthVersionMax="41" xr10:uidLastSave="{00000000-0000-0000-0000-000000000000}"/>
  <bookViews>
    <workbookView xWindow="-120" yWindow="-120" windowWidth="20640" windowHeight="11160" xr2:uid="{00000000-000D-0000-FFFF-FFFF00000000}"/>
  </bookViews>
  <sheets>
    <sheet name="Plan de Accion Proyectos estrat" sheetId="27" r:id="rId1"/>
    <sheet name="Plan de Accion Misional" sheetId="29" r:id="rId2"/>
    <sheet name="Plan de Accion apoyo transversa" sheetId="3" r:id="rId3"/>
    <sheet name="Plan de Accion ajustes normativ" sheetId="28" r:id="rId4"/>
    <sheet name="Excepciones presupuestales" sheetId="32" state="hidden" r:id="rId5"/>
    <sheet name="Cuadro Mando Integral Seguimien" sheetId="24" state="hidden" r:id="rId6"/>
    <sheet name="Cuadro Mando Integral Detallado" sheetId="33" r:id="rId7"/>
    <sheet name="Cumplimiento perspectivas Mejor" sheetId="34" r:id="rId8"/>
    <sheet name="Cumplimiento de objetivos Mejor" sheetId="35" r:id="rId9"/>
    <sheet name="Cumplimiento Dependencias Mejor" sheetId="36" r:id="rId10"/>
    <sheet name="Cumplimiento Planes" sheetId="38" r:id="rId11"/>
    <sheet name="Análisis de resultados" sheetId="40" r:id="rId12"/>
    <sheet name="Ejecución Presupuestal" sheetId="37" state="hidden" r:id="rId13"/>
    <sheet name="TAB. REF. PA" sheetId="26" state="hidden" r:id="rId14"/>
    <sheet name="Estadísticas" sheetId="31" state="hidden" r:id="rId15"/>
    <sheet name="Control de Cambios" sheetId="39"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xlnm._FilterDatabase" localSheetId="6" hidden="1">'Cuadro Mando Integral Detallado'!$B$14:$CN$368</definedName>
    <definedName name="_xlnm._FilterDatabase" localSheetId="3" hidden="1">'Plan de Accion ajustes normativ'!$A$7:$HT$9</definedName>
    <definedName name="_xlnm._FilterDatabase" localSheetId="2" hidden="1">'Plan de Accion apoyo transversa'!$A$8:$DC$188</definedName>
    <definedName name="_xlnm._FilterDatabase" localSheetId="1" hidden="1">'Plan de Accion Misional'!$A$8:$HU$25</definedName>
    <definedName name="_xlnm._FilterDatabase" localSheetId="0" hidden="1">'Plan de Accion Proyectos estrat'!$A$8:$HU$38</definedName>
    <definedName name="Central_de_Costos" localSheetId="10">#REF!</definedName>
    <definedName name="Central_de_Costos" localSheetId="3">#REF!</definedName>
    <definedName name="Central_de_Costos" localSheetId="0">#REF!</definedName>
    <definedName name="Central_de_Costos" localSheetId="13">'TAB. REF. PA'!$A$4:$A$14</definedName>
    <definedName name="Central_de_Costos">#REF!</definedName>
    <definedName name="CÓDIGO_AREA" localSheetId="13">'TAB. REF. PA'!$A$4:$A$14</definedName>
    <definedName name="Dimensión_MIPG" localSheetId="10">#REF!</definedName>
    <definedName name="Dimensión_MIPG" localSheetId="3">#REF!</definedName>
    <definedName name="Dimensión_MIPG" localSheetId="0">#REF!</definedName>
    <definedName name="Dimensión_MIPG" localSheetId="13">'TAB. REF. PA'!$F$2</definedName>
    <definedName name="Dimensión_MIPG">#REF!</definedName>
    <definedName name="Estrategia_Sectorial" localSheetId="10">#REF!</definedName>
    <definedName name="Estrategia_Sectorial" localSheetId="3">#REF!</definedName>
    <definedName name="Estrategia_Sectorial" localSheetId="0">#REF!</definedName>
    <definedName name="Estrategia_Sectorial" localSheetId="13">'TAB. REF. PA'!$L$2</definedName>
    <definedName name="Estrategia_Sectorial">#REF!</definedName>
    <definedName name="Fuente_de_Recursos" localSheetId="10">#REF!</definedName>
    <definedName name="Fuente_de_Recursos" localSheetId="3">#REF!</definedName>
    <definedName name="Fuente_de_Recursos" localSheetId="0">#REF!</definedName>
    <definedName name="Fuente_de_Recursos" localSheetId="13">'TAB. REF. PA'!$W$2</definedName>
    <definedName name="Fuente_de_Recursos">#REF!</definedName>
    <definedName name="Indicador" localSheetId="10">#REF!</definedName>
    <definedName name="Indicador" localSheetId="3">#REF!</definedName>
    <definedName name="Indicador" localSheetId="0">#REF!</definedName>
    <definedName name="Indicador" localSheetId="13">'TAB. REF. PA'!$S$2</definedName>
    <definedName name="Indicador">#REF!</definedName>
    <definedName name="Indicador_SINERGIA" localSheetId="10">#REF!</definedName>
    <definedName name="Indicador_SINERGIA" localSheetId="3">#REF!</definedName>
    <definedName name="Indicador_SINERGIA" localSheetId="0">#REF!</definedName>
    <definedName name="Indicador_SINERGIA" localSheetId="13">'TAB. REF. PA'!$U$2</definedName>
    <definedName name="Indicador_SINERGIA">#REF!</definedName>
    <definedName name="Objetivo_Especifico_PND" localSheetId="10">#REF!</definedName>
    <definedName name="Objetivo_Especifico_PND" localSheetId="3">#REF!</definedName>
    <definedName name="Objetivo_Especifico_PND" localSheetId="0">#REF!</definedName>
    <definedName name="Objetivo_Especifico_PND" localSheetId="13">'TAB. REF. PA'!$J$2</definedName>
    <definedName name="Objetivo_Especifico_PND">#REF!</definedName>
    <definedName name="OBJETIVO_ESTRATEGICO" localSheetId="10">#REF!</definedName>
    <definedName name="OBJETIVO_ESTRATEGICO" localSheetId="3">#REF!</definedName>
    <definedName name="OBJETIVO_ESTRATEGICO" localSheetId="0">#REF!</definedName>
    <definedName name="OBJETIVO_ESTRATEGICO" localSheetId="13">'TAB. REF. PA'!$D$2</definedName>
    <definedName name="OBJETIVO_ESTRATEGICO">#REF!</definedName>
    <definedName name="Política_MIPG" localSheetId="10">#REF!</definedName>
    <definedName name="Política_MIPG" localSheetId="3">#REF!</definedName>
    <definedName name="Política_MIPG" localSheetId="0">#REF!</definedName>
    <definedName name="Política_MIPG" localSheetId="13">'TAB. REF. PA'!$H$2</definedName>
    <definedName name="Política_MIPG">#REF!</definedName>
    <definedName name="Procedimiento" localSheetId="10">#REF!</definedName>
    <definedName name="Procedimiento" localSheetId="3">#REF!</definedName>
    <definedName name="Procedimiento" localSheetId="0">#REF!</definedName>
    <definedName name="Procedimiento" localSheetId="13">'TAB. REF. PA'!$P$2</definedName>
    <definedName name="Procedimiento">#REF!</definedName>
    <definedName name="Proceso" localSheetId="10">#REF!</definedName>
    <definedName name="Proceso" localSheetId="3">#REF!</definedName>
    <definedName name="Proceso" localSheetId="0">#REF!</definedName>
    <definedName name="Proceso" localSheetId="13">'TAB. REF. PA'!$N$2</definedName>
    <definedName name="Proces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A22" i="27" l="1"/>
  <c r="AQ9" i="34" l="1"/>
  <c r="AQ7" i="34" l="1"/>
  <c r="AT15" i="29"/>
  <c r="AJ15" i="29"/>
  <c r="BN128" i="3"/>
  <c r="BP22" i="3"/>
  <c r="BR30" i="3"/>
  <c r="BP30" i="3"/>
  <c r="BN30" i="3"/>
  <c r="CB42" i="3"/>
  <c r="BR42" i="3"/>
  <c r="BH42" i="3"/>
  <c r="BR24" i="3"/>
  <c r="BP24" i="3"/>
  <c r="BH24" i="3"/>
  <c r="AU15" i="29"/>
  <c r="BN15" i="29"/>
  <c r="BE15" i="29"/>
  <c r="BD15" i="29"/>
  <c r="BN41" i="3" l="1"/>
  <c r="BN40" i="3"/>
  <c r="BN39" i="3"/>
  <c r="BN38" i="3"/>
  <c r="BN34" i="3"/>
  <c r="BN33" i="3"/>
  <c r="BN32" i="3"/>
  <c r="BN31" i="3"/>
  <c r="BN29" i="3"/>
  <c r="BN27" i="3"/>
  <c r="BN26" i="3"/>
  <c r="BN25" i="3"/>
  <c r="BN22" i="3"/>
  <c r="BA13" i="29"/>
  <c r="BN175" i="3" l="1"/>
  <c r="BN173" i="3"/>
  <c r="BN172" i="3"/>
  <c r="BN127" i="3"/>
  <c r="BN126" i="3"/>
  <c r="BN125" i="3"/>
  <c r="BN124" i="3"/>
  <c r="BO122" i="3"/>
  <c r="BN122" i="3"/>
  <c r="BO86" i="3"/>
  <c r="BO80" i="3"/>
  <c r="BN68" i="3"/>
  <c r="BO56" i="3"/>
  <c r="BN51" i="3"/>
  <c r="BA31" i="27" l="1"/>
  <c r="BA30" i="27"/>
  <c r="BA29" i="27" l="1"/>
  <c r="AF5" i="3" l="1"/>
  <c r="AN15" i="38"/>
  <c r="AM15" i="38"/>
  <c r="AL15" i="38"/>
  <c r="AK15" i="38"/>
  <c r="AJ15" i="38"/>
  <c r="AH15" i="38"/>
  <c r="AG15" i="38"/>
  <c r="AF15" i="38"/>
  <c r="AE15" i="38"/>
  <c r="AD15" i="38"/>
  <c r="BR149" i="3"/>
  <c r="BC15" i="29"/>
  <c r="BN140" i="3" l="1"/>
  <c r="BA19" i="29" l="1"/>
  <c r="BA18" i="29"/>
  <c r="BA17" i="29"/>
  <c r="BO18" i="3"/>
  <c r="BO17" i="3"/>
  <c r="BN17" i="3"/>
  <c r="BA12" i="27" l="1"/>
  <c r="BA13" i="27"/>
  <c r="CA10" i="27" l="1"/>
  <c r="CA11" i="27"/>
  <c r="CA12" i="27"/>
  <c r="CA13" i="27"/>
  <c r="CA16" i="27"/>
  <c r="CA17" i="27"/>
  <c r="CA18" i="27"/>
  <c r="CA19" i="27"/>
  <c r="CA20" i="27"/>
  <c r="BA20" i="27" l="1"/>
  <c r="BA19" i="27"/>
  <c r="BA18" i="27"/>
  <c r="BA17" i="27"/>
  <c r="BA14" i="27"/>
  <c r="BA11" i="27"/>
  <c r="BO21" i="3" l="1"/>
  <c r="G125" i="33"/>
  <c r="G124" i="33"/>
  <c r="G123" i="33"/>
  <c r="BN19" i="3" l="1"/>
  <c r="BN163" i="3"/>
  <c r="BN179" i="3"/>
  <c r="BB25" i="27" l="1"/>
  <c r="BB21" i="27"/>
  <c r="BA25" i="27"/>
  <c r="BA24" i="27"/>
  <c r="AU21" i="27" l="1"/>
  <c r="AK21" i="27"/>
  <c r="AI21" i="27"/>
  <c r="AN192" i="3" l="1"/>
  <c r="AE156" i="33" l="1"/>
  <c r="X156" i="33"/>
  <c r="V156" i="33"/>
  <c r="Q156" i="33"/>
  <c r="J156" i="33"/>
  <c r="H156" i="33"/>
  <c r="G156" i="33"/>
  <c r="AE155" i="33"/>
  <c r="X155" i="33"/>
  <c r="V155" i="33"/>
  <c r="Q155" i="33"/>
  <c r="J155" i="33"/>
  <c r="H155" i="33"/>
  <c r="G155" i="33"/>
  <c r="AE154" i="33"/>
  <c r="X154" i="33"/>
  <c r="V154" i="33"/>
  <c r="Q154" i="33"/>
  <c r="J154" i="33"/>
  <c r="H154" i="33"/>
  <c r="G154" i="33"/>
  <c r="AE153" i="33"/>
  <c r="X153" i="33"/>
  <c r="Q153" i="33"/>
  <c r="J153" i="33"/>
  <c r="V153" i="33"/>
  <c r="H153" i="33"/>
  <c r="G153" i="33"/>
  <c r="BR23" i="29"/>
  <c r="K154" i="33" s="1"/>
  <c r="BS23" i="29"/>
  <c r="BX25" i="29"/>
  <c r="AF156" i="33" s="1"/>
  <c r="AG156" i="33" s="1"/>
  <c r="BV25" i="29"/>
  <c r="Y156" i="33" s="1"/>
  <c r="BT25" i="29"/>
  <c r="R156" i="33" s="1"/>
  <c r="BR25" i="29"/>
  <c r="K156" i="33" s="1"/>
  <c r="BP25" i="29"/>
  <c r="BO25" i="29"/>
  <c r="AH156" i="33" s="1"/>
  <c r="AI156" i="33" s="1"/>
  <c r="BM25" i="29"/>
  <c r="BJ25" i="29"/>
  <c r="BY25" i="29" s="1"/>
  <c r="BI25" i="29"/>
  <c r="BF25" i="29"/>
  <c r="BE25" i="29"/>
  <c r="BC25" i="29"/>
  <c r="AZ25" i="29"/>
  <c r="BW25" i="29" s="1"/>
  <c r="AY25" i="29"/>
  <c r="AV25" i="29"/>
  <c r="AU25" i="29"/>
  <c r="AS25" i="29"/>
  <c r="AP25" i="29"/>
  <c r="BU25" i="29" s="1"/>
  <c r="AO25" i="29"/>
  <c r="AE25" i="29"/>
  <c r="BX24" i="29"/>
  <c r="AF155" i="33" s="1"/>
  <c r="AG155" i="33" s="1"/>
  <c r="BV24" i="29"/>
  <c r="Y155" i="33" s="1"/>
  <c r="BT24" i="29"/>
  <c r="R155" i="33" s="1"/>
  <c r="BR24" i="29"/>
  <c r="K155" i="33" s="1"/>
  <c r="BO24" i="29"/>
  <c r="AH155" i="33" s="1"/>
  <c r="AI155" i="33" s="1"/>
  <c r="BM24" i="29"/>
  <c r="BE24" i="29"/>
  <c r="BC24" i="29"/>
  <c r="AU24" i="29"/>
  <c r="AS24" i="29"/>
  <c r="AK24" i="29"/>
  <c r="AI24" i="29"/>
  <c r="BX23" i="29"/>
  <c r="AF154" i="33" s="1"/>
  <c r="AG154" i="33" s="1"/>
  <c r="BV23" i="29"/>
  <c r="Y154" i="33" s="1"/>
  <c r="BT23" i="29"/>
  <c r="R154" i="33" s="1"/>
  <c r="BP23" i="29"/>
  <c r="BO23" i="29"/>
  <c r="AH154" i="33" s="1"/>
  <c r="AI154" i="33" s="1"/>
  <c r="BM23" i="29"/>
  <c r="BJ23" i="29"/>
  <c r="BN23" i="29" s="1"/>
  <c r="BI23" i="29"/>
  <c r="BF23" i="29"/>
  <c r="BE23" i="29"/>
  <c r="BC23" i="29"/>
  <c r="AZ23" i="29"/>
  <c r="BW23" i="29" s="1"/>
  <c r="AY23" i="29"/>
  <c r="AV23" i="29"/>
  <c r="AU23" i="29"/>
  <c r="AS23" i="29"/>
  <c r="AP23" i="29"/>
  <c r="AT23" i="29" s="1"/>
  <c r="AO23" i="29"/>
  <c r="AE23" i="29"/>
  <c r="BX22" i="29"/>
  <c r="AF153" i="33" s="1"/>
  <c r="AG153" i="33" s="1"/>
  <c r="BV22" i="29"/>
  <c r="Y153" i="33" s="1"/>
  <c r="BT22" i="29"/>
  <c r="R153" i="33" s="1"/>
  <c r="BR22" i="29"/>
  <c r="K153" i="33" s="1"/>
  <c r="BO22" i="29"/>
  <c r="AH153" i="33" s="1"/>
  <c r="AI153" i="33" s="1"/>
  <c r="BM22" i="29"/>
  <c r="BE22" i="29"/>
  <c r="BC22" i="29"/>
  <c r="AU22" i="29"/>
  <c r="AS22" i="29"/>
  <c r="AK22" i="29"/>
  <c r="AI22" i="29"/>
  <c r="AB24" i="29"/>
  <c r="BJ24" i="29" s="1"/>
  <c r="AB22" i="29"/>
  <c r="AP22" i="29" s="1"/>
  <c r="AT22" i="29" s="1"/>
  <c r="AA24" i="29"/>
  <c r="AY24" i="29" s="1"/>
  <c r="AA22" i="29"/>
  <c r="AY22" i="29" s="1"/>
  <c r="AL22" i="29" l="1"/>
  <c r="AT25" i="29"/>
  <c r="AZ22" i="29"/>
  <c r="BW22" i="29" s="1"/>
  <c r="AF22" i="29"/>
  <c r="AJ22" i="29" s="1"/>
  <c r="BJ22" i="29"/>
  <c r="BN22" i="29" s="1"/>
  <c r="BD23" i="29"/>
  <c r="BF22" i="29"/>
  <c r="AZ24" i="29"/>
  <c r="BW24" i="29" s="1"/>
  <c r="AV22" i="29"/>
  <c r="AE24" i="29"/>
  <c r="BY24" i="29"/>
  <c r="BN24" i="29"/>
  <c r="AO22" i="29"/>
  <c r="BD22" i="29"/>
  <c r="BP22" i="29"/>
  <c r="AL24" i="29"/>
  <c r="AO24" i="29"/>
  <c r="BP24" i="29"/>
  <c r="BD25" i="29"/>
  <c r="AP24" i="29"/>
  <c r="BU24" i="29" s="1"/>
  <c r="AE22" i="29"/>
  <c r="BI22" i="29"/>
  <c r="BY23" i="29"/>
  <c r="BF24" i="29"/>
  <c r="BI24" i="29"/>
  <c r="AF24" i="29"/>
  <c r="AJ24" i="29" s="1"/>
  <c r="AV24" i="29"/>
  <c r="BS22" i="29"/>
  <c r="AT24" i="29"/>
  <c r="BS24" i="29"/>
  <c r="BS25" i="29"/>
  <c r="BU22" i="29"/>
  <c r="BU23" i="29"/>
  <c r="BN25" i="29"/>
  <c r="X364" i="33"/>
  <c r="BY22" i="29" l="1"/>
  <c r="BD24" i="29"/>
  <c r="BY190" i="3"/>
  <c r="BO190" i="3"/>
  <c r="BE190" i="3"/>
  <c r="AU190" i="3"/>
  <c r="AC190" i="3"/>
  <c r="AW80" i="3"/>
  <c r="AC90" i="33"/>
  <c r="V90" i="33"/>
  <c r="AC89" i="33"/>
  <c r="V89" i="33"/>
  <c r="G90" i="33"/>
  <c r="G89" i="33"/>
  <c r="CM95" i="3"/>
  <c r="BF24" i="3" l="1"/>
  <c r="T224" i="33"/>
  <c r="U224" i="33" s="1"/>
  <c r="V224" i="33" s="1"/>
  <c r="AN69" i="3"/>
  <c r="BD41" i="3" l="1"/>
  <c r="AQ18" i="29" l="1"/>
  <c r="AQ17" i="29"/>
  <c r="AI30" i="27" l="1"/>
  <c r="G361" i="33" l="1"/>
  <c r="H361" i="33"/>
  <c r="J361" i="33"/>
  <c r="Q361" i="33"/>
  <c r="X361" i="33"/>
  <c r="AE361" i="33"/>
  <c r="CB13" i="3"/>
  <c r="CB12" i="3"/>
  <c r="BZ13" i="3"/>
  <c r="BZ12" i="3"/>
  <c r="BR13" i="3"/>
  <c r="BR12" i="3"/>
  <c r="BP13" i="3"/>
  <c r="BP12" i="3"/>
  <c r="C9" i="35" l="1"/>
  <c r="AT157" i="3"/>
  <c r="AV157" i="3" s="1"/>
  <c r="BF157" i="3"/>
  <c r="AK27" i="27"/>
  <c r="AI27" i="27"/>
  <c r="AC11" i="34" l="1"/>
  <c r="AC7" i="34"/>
  <c r="AC8" i="34"/>
  <c r="AC6" i="34"/>
  <c r="O6" i="34" l="1"/>
  <c r="AG321" i="33"/>
  <c r="AG320" i="33"/>
  <c r="AG319" i="33"/>
  <c r="AG318" i="33"/>
  <c r="AG317" i="33"/>
  <c r="Z321" i="33"/>
  <c r="Z320" i="33"/>
  <c r="Z319" i="33"/>
  <c r="Z318" i="33"/>
  <c r="Z317" i="33"/>
  <c r="M212" i="33"/>
  <c r="G286" i="33"/>
  <c r="AM62" i="3"/>
  <c r="AE227" i="33"/>
  <c r="X227" i="33"/>
  <c r="AE286" i="33"/>
  <c r="X286" i="33"/>
  <c r="J286" i="33"/>
  <c r="H286" i="33"/>
  <c r="AM175" i="3"/>
  <c r="AM174" i="3"/>
  <c r="CK175" i="3"/>
  <c r="AF286" i="33" s="1"/>
  <c r="AG286" i="33" s="1"/>
  <c r="CI175" i="3"/>
  <c r="Y286" i="33" s="1"/>
  <c r="Z286" i="33" s="1"/>
  <c r="AC18" i="38" s="1"/>
  <c r="BZ175" i="3"/>
  <c r="BP175" i="3"/>
  <c r="BD175" i="3"/>
  <c r="Q286" i="33" s="1"/>
  <c r="AO175" i="3"/>
  <c r="CC175" i="3" s="1"/>
  <c r="AN175" i="3"/>
  <c r="AR175" i="3" s="1"/>
  <c r="X356" i="33"/>
  <c r="AE356" i="33"/>
  <c r="Q356" i="33"/>
  <c r="J356" i="33"/>
  <c r="H356" i="33"/>
  <c r="G356" i="33"/>
  <c r="G64" i="33"/>
  <c r="BZ37" i="3"/>
  <c r="BP37" i="3"/>
  <c r="BF37" i="3"/>
  <c r="AM38" i="3"/>
  <c r="AM37" i="3"/>
  <c r="BH37" i="3" s="1"/>
  <c r="T232" i="33" s="1"/>
  <c r="U232" i="33" s="1"/>
  <c r="V232" i="33" s="1"/>
  <c r="AE232" i="33"/>
  <c r="X232" i="33"/>
  <c r="Q232" i="33"/>
  <c r="H232" i="33"/>
  <c r="G232" i="33"/>
  <c r="CK37" i="3"/>
  <c r="CI37" i="3"/>
  <c r="CG37" i="3"/>
  <c r="G55" i="33"/>
  <c r="AT37" i="3"/>
  <c r="CE37" i="3" s="1"/>
  <c r="K232" i="33" s="1"/>
  <c r="L232" i="33" s="1"/>
  <c r="AO37" i="3"/>
  <c r="AS37" i="3" s="1"/>
  <c r="CM37" i="3" s="1"/>
  <c r="AN37" i="3"/>
  <c r="BV37" i="3" s="1"/>
  <c r="AC9" i="3"/>
  <c r="BO12" i="27"/>
  <c r="BO13" i="27"/>
  <c r="BE13" i="27"/>
  <c r="BE12" i="27"/>
  <c r="AU13" i="27"/>
  <c r="AU12" i="27"/>
  <c r="AU11" i="27"/>
  <c r="BR11" i="27"/>
  <c r="BO11" i="27"/>
  <c r="BE11" i="27"/>
  <c r="AS11" i="27"/>
  <c r="R135" i="33" s="1"/>
  <c r="AK11" i="27"/>
  <c r="J134" i="33"/>
  <c r="AE135" i="33"/>
  <c r="X135" i="33"/>
  <c r="Q135" i="33"/>
  <c r="J135" i="33"/>
  <c r="AE134" i="33"/>
  <c r="X134" i="33"/>
  <c r="Q134" i="33"/>
  <c r="H135" i="33"/>
  <c r="H134" i="33"/>
  <c r="BX10" i="27"/>
  <c r="BV10" i="27"/>
  <c r="BT10" i="27"/>
  <c r="BR10" i="27"/>
  <c r="BO10" i="27"/>
  <c r="BM10" i="27"/>
  <c r="BE10" i="27"/>
  <c r="BC10" i="27"/>
  <c r="AU10" i="27"/>
  <c r="AS10" i="27"/>
  <c r="AI10" i="27"/>
  <c r="K134" i="33" s="1"/>
  <c r="L134" i="33" s="1"/>
  <c r="AK10" i="27"/>
  <c r="M134" i="33" s="1"/>
  <c r="N134" i="33" s="1"/>
  <c r="O134" i="33" s="1"/>
  <c r="J232" i="33" l="1"/>
  <c r="CB175" i="3"/>
  <c r="AH286" i="33" s="1"/>
  <c r="AI286" i="33" s="1"/>
  <c r="S135" i="33"/>
  <c r="AX37" i="3"/>
  <c r="M232" i="33" s="1"/>
  <c r="N232" i="33" s="1"/>
  <c r="O232" i="33" s="1"/>
  <c r="CL37" i="3"/>
  <c r="CC37" i="3"/>
  <c r="AH55" i="33" s="1"/>
  <c r="AI55" i="33" s="1"/>
  <c r="AR37" i="3"/>
  <c r="BF175" i="3"/>
  <c r="AY37" i="3"/>
  <c r="M55" i="33" s="1"/>
  <c r="N55" i="33" s="1"/>
  <c r="O55" i="33" s="1"/>
  <c r="BI37" i="3"/>
  <c r="T55" i="33" s="1"/>
  <c r="U55" i="33" s="1"/>
  <c r="V55" i="33" s="1"/>
  <c r="CB37" i="3"/>
  <c r="AH232" i="33" s="1"/>
  <c r="AI232" i="33" s="1"/>
  <c r="BL37" i="3"/>
  <c r="CG175" i="3"/>
  <c r="R286" i="33" s="1"/>
  <c r="S286" i="33" s="1"/>
  <c r="P18" i="38" s="1"/>
  <c r="CH37" i="3"/>
  <c r="BG37" i="3"/>
  <c r="Q55" i="33" s="1"/>
  <c r="AS175" i="3"/>
  <c r="BI175" i="3"/>
  <c r="BS175" i="3"/>
  <c r="AY175" i="3"/>
  <c r="BV175" i="3"/>
  <c r="BB37" i="3"/>
  <c r="BS37" i="3"/>
  <c r="AA55" i="33" s="1"/>
  <c r="AB55" i="33" s="1"/>
  <c r="AC55" i="33" s="1"/>
  <c r="BC175" i="3"/>
  <c r="BW175" i="3"/>
  <c r="CL175" i="3" s="1"/>
  <c r="CA37" i="3"/>
  <c r="AE55" i="33" s="1"/>
  <c r="BR37" i="3"/>
  <c r="AA232" i="33" s="1"/>
  <c r="AB232" i="33" s="1"/>
  <c r="AC232" i="33" s="1"/>
  <c r="AX175" i="3"/>
  <c r="BR175" i="3"/>
  <c r="AA286" i="33" s="1"/>
  <c r="AB286" i="33" s="1"/>
  <c r="AC286" i="33" s="1"/>
  <c r="AI18" i="38" s="1"/>
  <c r="AV175" i="3"/>
  <c r="BH175" i="3"/>
  <c r="T286" i="33" s="1"/>
  <c r="U286" i="33" s="1"/>
  <c r="V286" i="33" s="1"/>
  <c r="BL175" i="3"/>
  <c r="BB175" i="3"/>
  <c r="BM175" i="3"/>
  <c r="CE175" i="3"/>
  <c r="AV37" i="3"/>
  <c r="CH175" i="3" l="1"/>
  <c r="BG175" i="3"/>
  <c r="CJ37" i="3"/>
  <c r="BQ37" i="3"/>
  <c r="X55" i="33" s="1"/>
  <c r="CF175" i="3"/>
  <c r="AW175" i="3"/>
  <c r="CF37" i="3"/>
  <c r="K55" i="33" s="1"/>
  <c r="L55" i="33" s="1"/>
  <c r="AW37" i="3"/>
  <c r="J55" i="33" s="1"/>
  <c r="CA175" i="3"/>
  <c r="BQ175" i="3"/>
  <c r="CJ175" i="3"/>
  <c r="BX11" i="27" l="1"/>
  <c r="BV11" i="27"/>
  <c r="BT11" i="27"/>
  <c r="AH135" i="33"/>
  <c r="AI135" i="33" s="1"/>
  <c r="BM11" i="27"/>
  <c r="AF135" i="33" s="1"/>
  <c r="AG135" i="33" s="1"/>
  <c r="AA135" i="33"/>
  <c r="AB135" i="33" s="1"/>
  <c r="AC135" i="33" s="1"/>
  <c r="BC11" i="27"/>
  <c r="Y135" i="33" s="1"/>
  <c r="Z135" i="33" s="1"/>
  <c r="BC9" i="27"/>
  <c r="T135" i="33"/>
  <c r="U135" i="33" s="1"/>
  <c r="V135" i="33" s="1"/>
  <c r="AQ11" i="27"/>
  <c r="AI11" i="27"/>
  <c r="AG9" i="27"/>
  <c r="AU9" i="27" s="1"/>
  <c r="BG19" i="3"/>
  <c r="Q123" i="33" s="1"/>
  <c r="AK9" i="27" l="1"/>
  <c r="BD29" i="3"/>
  <c r="BH13" i="3"/>
  <c r="BH12" i="3"/>
  <c r="BF13" i="3"/>
  <c r="BF12" i="3"/>
  <c r="BD40" i="3" l="1"/>
  <c r="BD39" i="3"/>
  <c r="BD38" i="3"/>
  <c r="BD34" i="3"/>
  <c r="BD33" i="3"/>
  <c r="BD32" i="3"/>
  <c r="BD31" i="3"/>
  <c r="BD30" i="3"/>
  <c r="BD27" i="3"/>
  <c r="BD26" i="3"/>
  <c r="BD25" i="3"/>
  <c r="BD23" i="3"/>
  <c r="BD22" i="3"/>
  <c r="BF30" i="3" l="1"/>
  <c r="CB38" i="3"/>
  <c r="BR38" i="3"/>
  <c r="BH38" i="3"/>
  <c r="AQ13" i="29"/>
  <c r="AQ20" i="27" l="1"/>
  <c r="AQ19" i="27"/>
  <c r="AQ18" i="27"/>
  <c r="AQ17" i="27"/>
  <c r="AQ14" i="27"/>
  <c r="AQ12" i="27"/>
  <c r="BE9" i="27"/>
  <c r="BD163" i="3" l="1"/>
  <c r="BD20" i="3"/>
  <c r="BD19" i="3"/>
  <c r="AQ31" i="27" l="1"/>
  <c r="AQ30" i="27"/>
  <c r="AQ19" i="29" l="1"/>
  <c r="AR25" i="27" l="1"/>
  <c r="AQ25" i="27"/>
  <c r="AR21" i="27"/>
  <c r="AQ24" i="27"/>
  <c r="AQ22" i="27"/>
  <c r="AQ21" i="27"/>
  <c r="BD173" i="3" l="1"/>
  <c r="BD172" i="3"/>
  <c r="BD132" i="3"/>
  <c r="BD127" i="3"/>
  <c r="BD126" i="3"/>
  <c r="BD125" i="3"/>
  <c r="BD122" i="3"/>
  <c r="BE56" i="3"/>
  <c r="BD68" i="3"/>
  <c r="AE304" i="33" l="1"/>
  <c r="X304" i="33"/>
  <c r="Q304" i="33"/>
  <c r="J304" i="33"/>
  <c r="H304" i="33"/>
  <c r="CK156" i="3"/>
  <c r="AF304" i="33" s="1"/>
  <c r="AG304" i="33" s="1"/>
  <c r="CI156" i="3"/>
  <c r="Y304" i="33" s="1"/>
  <c r="CG156" i="3"/>
  <c r="R304" i="33" s="1"/>
  <c r="CE156" i="3"/>
  <c r="K304" i="33" s="1"/>
  <c r="CB156" i="3"/>
  <c r="AH304" i="33" s="1"/>
  <c r="AI304" i="33" s="1"/>
  <c r="BZ156" i="3"/>
  <c r="BR156" i="3"/>
  <c r="AA304" i="33" s="1"/>
  <c r="AB304" i="33" s="1"/>
  <c r="BP156" i="3"/>
  <c r="BH156" i="3"/>
  <c r="T304" i="33" s="1"/>
  <c r="U304" i="33" s="1"/>
  <c r="BF156" i="3"/>
  <c r="AX156" i="3"/>
  <c r="M304" i="33" s="1"/>
  <c r="N304" i="33" s="1"/>
  <c r="AV156" i="3"/>
  <c r="Z124" i="3" l="1"/>
  <c r="G350" i="33"/>
  <c r="H352" i="33"/>
  <c r="G351" i="33"/>
  <c r="G352" i="33"/>
  <c r="AC352" i="33"/>
  <c r="V352" i="33"/>
  <c r="J352" i="33"/>
  <c r="G115" i="33"/>
  <c r="G114" i="33"/>
  <c r="G116" i="33"/>
  <c r="AO94" i="3"/>
  <c r="AC120" i="33"/>
  <c r="V120" i="33"/>
  <c r="AC119" i="33"/>
  <c r="V119" i="33"/>
  <c r="AC355" i="33"/>
  <c r="V355" i="33"/>
  <c r="AC354" i="33"/>
  <c r="V354" i="33"/>
  <c r="G321" i="33"/>
  <c r="G320" i="33"/>
  <c r="G319" i="33"/>
  <c r="AC88" i="33"/>
  <c r="V88" i="33"/>
  <c r="AO80" i="3"/>
  <c r="AN80" i="3"/>
  <c r="AN86" i="3"/>
  <c r="BL86" i="3" s="1"/>
  <c r="CL188" i="3"/>
  <c r="CK188" i="3"/>
  <c r="AF356" i="33" s="1"/>
  <c r="CJ188" i="3"/>
  <c r="CI188" i="3"/>
  <c r="Y356" i="33" s="1"/>
  <c r="Z356" i="33" s="1"/>
  <c r="CH188" i="3"/>
  <c r="CG188" i="3"/>
  <c r="R356" i="33" s="1"/>
  <c r="CF188" i="3"/>
  <c r="CE188" i="3"/>
  <c r="K356" i="33" s="1"/>
  <c r="CB188" i="3"/>
  <c r="AH356" i="33" s="1"/>
  <c r="AI356" i="33" s="1"/>
  <c r="BZ188" i="3"/>
  <c r="BR188" i="3"/>
  <c r="AA356" i="33" s="1"/>
  <c r="AB356" i="33" s="1"/>
  <c r="AC356" i="33" s="1"/>
  <c r="BQ188" i="3"/>
  <c r="BP188" i="3"/>
  <c r="BH188" i="3"/>
  <c r="T356" i="33" s="1"/>
  <c r="U356" i="33" s="1"/>
  <c r="BG188" i="3"/>
  <c r="BF188" i="3"/>
  <c r="AX188" i="3"/>
  <c r="M356" i="33" s="1"/>
  <c r="N356" i="33" s="1"/>
  <c r="AW188" i="3"/>
  <c r="AV188" i="3"/>
  <c r="AO188" i="3"/>
  <c r="BS188" i="3" s="1"/>
  <c r="AN188" i="3"/>
  <c r="BV188" i="3" s="1"/>
  <c r="BW80" i="3" l="1"/>
  <c r="BC80" i="3"/>
  <c r="BW94" i="3"/>
  <c r="BC94" i="3"/>
  <c r="BM94" i="3"/>
  <c r="BM80" i="3"/>
  <c r="AR188" i="3"/>
  <c r="AR86" i="3"/>
  <c r="BI188" i="3"/>
  <c r="BV86" i="3"/>
  <c r="BB188" i="3"/>
  <c r="BL188" i="3"/>
  <c r="AY188" i="3"/>
  <c r="BB86" i="3"/>
  <c r="CM188" i="3" l="1"/>
  <c r="AC269" i="33"/>
  <c r="V269" i="33"/>
  <c r="BH28" i="3"/>
  <c r="T227" i="33" s="1"/>
  <c r="U227" i="33" s="1"/>
  <c r="V227" i="33" s="1"/>
  <c r="BF28" i="3"/>
  <c r="G30" i="33"/>
  <c r="AE159" i="33"/>
  <c r="X159" i="33"/>
  <c r="Q159" i="33"/>
  <c r="J159" i="33"/>
  <c r="H159" i="33"/>
  <c r="G159" i="33"/>
  <c r="BX21" i="29"/>
  <c r="AF159" i="33" s="1"/>
  <c r="AG159" i="33" s="1"/>
  <c r="BV21" i="29"/>
  <c r="Y159" i="33" s="1"/>
  <c r="BT21" i="29"/>
  <c r="R159" i="33" s="1"/>
  <c r="BR21" i="29"/>
  <c r="K159" i="33" s="1"/>
  <c r="BO21" i="29"/>
  <c r="AH159" i="33" s="1"/>
  <c r="AI159" i="33" s="1"/>
  <c r="BM21" i="29"/>
  <c r="BE21" i="29"/>
  <c r="AA159" i="33" s="1"/>
  <c r="AB159" i="33" s="1"/>
  <c r="BC21" i="29"/>
  <c r="AU21" i="29"/>
  <c r="T159" i="33" s="1"/>
  <c r="U159" i="33" s="1"/>
  <c r="AS21" i="29"/>
  <c r="AK21" i="29"/>
  <c r="M159" i="33" s="1"/>
  <c r="N159" i="33" s="1"/>
  <c r="AI21" i="29"/>
  <c r="AB21" i="29"/>
  <c r="BP21" i="29" s="1"/>
  <c r="AH30" i="33" s="1"/>
  <c r="AI30" i="33" s="1"/>
  <c r="AA21" i="29"/>
  <c r="AE21" i="29" s="1"/>
  <c r="AP21" i="29" l="1"/>
  <c r="AT21" i="29" s="1"/>
  <c r="Q30" i="33" s="1"/>
  <c r="AO21" i="29"/>
  <c r="BF21" i="29"/>
  <c r="AA30" i="33" s="1"/>
  <c r="AB30" i="33" s="1"/>
  <c r="AC30" i="33" s="1"/>
  <c r="BI21" i="29"/>
  <c r="AF21" i="29"/>
  <c r="AJ21" i="29" s="1"/>
  <c r="J30" i="33" s="1"/>
  <c r="BJ21" i="29"/>
  <c r="BY21" i="29" s="1"/>
  <c r="AF30" i="33" s="1"/>
  <c r="AG30" i="33" s="1"/>
  <c r="AY21" i="29"/>
  <c r="AZ21" i="29"/>
  <c r="AV21" i="29"/>
  <c r="T30" i="33" s="1"/>
  <c r="U30" i="33" s="1"/>
  <c r="V30" i="33" s="1"/>
  <c r="AL21" i="29"/>
  <c r="M30" i="33" s="1"/>
  <c r="N30" i="33" s="1"/>
  <c r="O30" i="33" s="1"/>
  <c r="AE207" i="33"/>
  <c r="X207" i="33"/>
  <c r="Q207" i="33"/>
  <c r="J207" i="33"/>
  <c r="H207" i="33"/>
  <c r="G207" i="33"/>
  <c r="CK187" i="3"/>
  <c r="AF207" i="33" s="1"/>
  <c r="AG207" i="33" s="1"/>
  <c r="CI187" i="3"/>
  <c r="Y207" i="33" s="1"/>
  <c r="CG187" i="3"/>
  <c r="R207" i="33" s="1"/>
  <c r="CE187" i="3"/>
  <c r="K207" i="33" s="1"/>
  <c r="CB187" i="3"/>
  <c r="AH207" i="33" s="1"/>
  <c r="AI207" i="33" s="1"/>
  <c r="BZ187" i="3"/>
  <c r="BR187" i="3"/>
  <c r="AA207" i="33" s="1"/>
  <c r="AB207" i="33" s="1"/>
  <c r="BP187" i="3"/>
  <c r="BH187" i="3"/>
  <c r="T207" i="33" s="1"/>
  <c r="U207" i="33" s="1"/>
  <c r="BF187" i="3"/>
  <c r="AX187" i="3"/>
  <c r="M207" i="33" s="1"/>
  <c r="N207" i="33" s="1"/>
  <c r="AV187" i="3"/>
  <c r="AO187" i="3"/>
  <c r="BM187" i="3" s="1"/>
  <c r="AN187" i="3"/>
  <c r="BV187" i="3" s="1"/>
  <c r="AE137" i="33"/>
  <c r="X137" i="33"/>
  <c r="Q137" i="33"/>
  <c r="J137" i="33"/>
  <c r="H137" i="33"/>
  <c r="BX13" i="27"/>
  <c r="BV13" i="27"/>
  <c r="BT13" i="27"/>
  <c r="R137" i="33" s="1"/>
  <c r="S137" i="33" s="1"/>
  <c r="BR13" i="27"/>
  <c r="BM13" i="27"/>
  <c r="AF137" i="33" s="1"/>
  <c r="AG137" i="33" s="1"/>
  <c r="AA137" i="33"/>
  <c r="AB137" i="33" s="1"/>
  <c r="AC137" i="33" s="1"/>
  <c r="BC13" i="27"/>
  <c r="Y137" i="33" s="1"/>
  <c r="Z137" i="33" s="1"/>
  <c r="AS13" i="27"/>
  <c r="AH137" i="33"/>
  <c r="AI137" i="33" s="1"/>
  <c r="AA13" i="27"/>
  <c r="BI13" i="27" s="1"/>
  <c r="AE243" i="33"/>
  <c r="X243" i="33"/>
  <c r="Q243" i="33"/>
  <c r="J243" i="33"/>
  <c r="H243" i="33"/>
  <c r="G243" i="33"/>
  <c r="AE242" i="33"/>
  <c r="X242" i="33"/>
  <c r="Q242" i="33"/>
  <c r="J242" i="33"/>
  <c r="H242" i="33"/>
  <c r="G242" i="33"/>
  <c r="CK186" i="3"/>
  <c r="AF243" i="33" s="1"/>
  <c r="CI186" i="3"/>
  <c r="Y243" i="33" s="1"/>
  <c r="Z243" i="33" s="1"/>
  <c r="CG186" i="3"/>
  <c r="R243" i="33" s="1"/>
  <c r="CE186" i="3"/>
  <c r="K243" i="33" s="1"/>
  <c r="CB186" i="3"/>
  <c r="AH243" i="33" s="1"/>
  <c r="AI243" i="33" s="1"/>
  <c r="BZ186" i="3"/>
  <c r="BR186" i="3"/>
  <c r="AA243" i="33" s="1"/>
  <c r="AB243" i="33" s="1"/>
  <c r="AC243" i="33" s="1"/>
  <c r="BP186" i="3"/>
  <c r="BH186" i="3"/>
  <c r="T243" i="33" s="1"/>
  <c r="U243" i="33" s="1"/>
  <c r="BF186" i="3"/>
  <c r="AX186" i="3"/>
  <c r="AV186" i="3"/>
  <c r="AO186" i="3"/>
  <c r="BC186" i="3" s="1"/>
  <c r="AN186" i="3"/>
  <c r="BL186" i="3" s="1"/>
  <c r="AE173" i="33"/>
  <c r="X173" i="33"/>
  <c r="Q173" i="33"/>
  <c r="J173" i="33"/>
  <c r="H173" i="33"/>
  <c r="G173" i="33"/>
  <c r="CK184" i="3"/>
  <c r="AF173" i="33" s="1"/>
  <c r="AG173" i="33" s="1"/>
  <c r="CI184" i="3"/>
  <c r="Y173" i="33" s="1"/>
  <c r="Z173" i="33" s="1"/>
  <c r="CG184" i="3"/>
  <c r="R173" i="33" s="1"/>
  <c r="S173" i="33" s="1"/>
  <c r="CE184" i="3"/>
  <c r="K173" i="33" s="1"/>
  <c r="CC184" i="3"/>
  <c r="CB184" i="3"/>
  <c r="AH173" i="33" s="1"/>
  <c r="AI173" i="33" s="1"/>
  <c r="BZ184" i="3"/>
  <c r="BW184" i="3"/>
  <c r="CL184" i="3" s="1"/>
  <c r="BV184" i="3"/>
  <c r="BS184" i="3"/>
  <c r="BR184" i="3"/>
  <c r="AA173" i="33" s="1"/>
  <c r="AB173" i="33" s="1"/>
  <c r="AC173" i="33" s="1"/>
  <c r="BP184" i="3"/>
  <c r="BM184" i="3"/>
  <c r="BQ184" i="3" s="1"/>
  <c r="BL184" i="3"/>
  <c r="BI184" i="3"/>
  <c r="BH184" i="3"/>
  <c r="T173" i="33" s="1"/>
  <c r="U173" i="33" s="1"/>
  <c r="V173" i="33" s="1"/>
  <c r="BF184" i="3"/>
  <c r="BC184" i="3"/>
  <c r="BG184" i="3" s="1"/>
  <c r="BB184" i="3"/>
  <c r="AY184" i="3"/>
  <c r="AX184" i="3"/>
  <c r="M173" i="33" s="1"/>
  <c r="N173" i="33" s="1"/>
  <c r="AV184" i="3"/>
  <c r="AS184" i="3"/>
  <c r="AR184" i="3"/>
  <c r="CK185" i="3"/>
  <c r="AF242" i="33" s="1"/>
  <c r="AG242" i="33" s="1"/>
  <c r="CI185" i="3"/>
  <c r="Y242" i="33" s="1"/>
  <c r="CG185" i="3"/>
  <c r="R242" i="33" s="1"/>
  <c r="CE185" i="3"/>
  <c r="K242" i="33" s="1"/>
  <c r="CB185" i="3"/>
  <c r="AH242" i="33" s="1"/>
  <c r="AI242" i="33" s="1"/>
  <c r="BZ185" i="3"/>
  <c r="BR185" i="3"/>
  <c r="AA242" i="33" s="1"/>
  <c r="AB242" i="33" s="1"/>
  <c r="BP185" i="3"/>
  <c r="BH185" i="3"/>
  <c r="T242" i="33" s="1"/>
  <c r="U242" i="33" s="1"/>
  <c r="BF185" i="3"/>
  <c r="AX185" i="3"/>
  <c r="AV185" i="3"/>
  <c r="AO185" i="3"/>
  <c r="BM185" i="3" s="1"/>
  <c r="AN185" i="3"/>
  <c r="BV185" i="3" s="1"/>
  <c r="AE172" i="33"/>
  <c r="X172" i="33"/>
  <c r="Q172" i="33"/>
  <c r="AV183" i="3"/>
  <c r="J172" i="33"/>
  <c r="H172" i="33"/>
  <c r="G172" i="33"/>
  <c r="AE180" i="33"/>
  <c r="X180" i="33"/>
  <c r="Q180" i="33"/>
  <c r="J180" i="33"/>
  <c r="H180" i="33"/>
  <c r="CK183" i="3"/>
  <c r="AF172" i="33" s="1"/>
  <c r="AG172" i="33" s="1"/>
  <c r="CI183" i="3"/>
  <c r="Y172" i="33" s="1"/>
  <c r="CG183" i="3"/>
  <c r="R172" i="33" s="1"/>
  <c r="CE183" i="3"/>
  <c r="K172" i="33" s="1"/>
  <c r="CB183" i="3"/>
  <c r="AH172" i="33" s="1"/>
  <c r="AI172" i="33" s="1"/>
  <c r="BZ183" i="3"/>
  <c r="BR183" i="3"/>
  <c r="AA172" i="33" s="1"/>
  <c r="AB172" i="33" s="1"/>
  <c r="BP183" i="3"/>
  <c r="BH183" i="3"/>
  <c r="T172" i="33" s="1"/>
  <c r="U172" i="33" s="1"/>
  <c r="BF183" i="3"/>
  <c r="AX183" i="3"/>
  <c r="M172" i="33" s="1"/>
  <c r="N172" i="33" s="1"/>
  <c r="AO183" i="3"/>
  <c r="BC183" i="3" s="1"/>
  <c r="CH183" i="3" s="1"/>
  <c r="AN183" i="3"/>
  <c r="BV183" i="3" s="1"/>
  <c r="BU21" i="29" l="1"/>
  <c r="R30" i="33" s="1"/>
  <c r="S30" i="33" s="1"/>
  <c r="BN21" i="29"/>
  <c r="AE30" i="33" s="1"/>
  <c r="BW21" i="29"/>
  <c r="Y30" i="33" s="1"/>
  <c r="Z30" i="33" s="1"/>
  <c r="BD21" i="29"/>
  <c r="X30" i="33" s="1"/>
  <c r="BS21" i="29"/>
  <c r="K30" i="33" s="1"/>
  <c r="L30" i="33" s="1"/>
  <c r="AE13" i="27"/>
  <c r="AO13" i="27"/>
  <c r="AY13" i="27"/>
  <c r="BI183" i="3"/>
  <c r="AY187" i="3"/>
  <c r="BL185" i="3"/>
  <c r="AY183" i="3"/>
  <c r="BL187" i="3"/>
  <c r="CJ187" i="3"/>
  <c r="BQ187" i="3"/>
  <c r="BS183" i="3"/>
  <c r="BB187" i="3"/>
  <c r="CC187" i="3"/>
  <c r="BW183" i="3"/>
  <c r="CA183" i="3" s="1"/>
  <c r="BC187" i="3"/>
  <c r="CH187" i="3" s="1"/>
  <c r="BS187" i="3"/>
  <c r="AR187" i="3"/>
  <c r="CC183" i="3"/>
  <c r="AY185" i="3"/>
  <c r="CC185" i="3"/>
  <c r="AS187" i="3"/>
  <c r="BI187" i="3"/>
  <c r="BW187" i="3"/>
  <c r="BB186" i="3"/>
  <c r="CH186" i="3"/>
  <c r="BG186" i="3"/>
  <c r="CJ185" i="3"/>
  <c r="BQ185" i="3"/>
  <c r="AS183" i="3"/>
  <c r="BL183" i="3"/>
  <c r="BB185" i="3"/>
  <c r="AR186" i="3"/>
  <c r="BS186" i="3"/>
  <c r="AR183" i="3"/>
  <c r="CA184" i="3"/>
  <c r="BM183" i="3"/>
  <c r="BC185" i="3"/>
  <c r="CH185" i="3" s="1"/>
  <c r="AS186" i="3"/>
  <c r="AW186" i="3" s="1"/>
  <c r="BV186" i="3"/>
  <c r="BW186" i="3"/>
  <c r="CL186" i="3" s="1"/>
  <c r="AR185" i="3"/>
  <c r="BS185" i="3"/>
  <c r="BI186" i="3"/>
  <c r="BB183" i="3"/>
  <c r="AS185" i="3"/>
  <c r="AW185" i="3" s="1"/>
  <c r="BI185" i="3"/>
  <c r="BW185" i="3"/>
  <c r="AY186" i="3"/>
  <c r="BM186" i="3"/>
  <c r="CC186" i="3"/>
  <c r="CM184" i="3"/>
  <c r="AI13" i="27"/>
  <c r="T137" i="33"/>
  <c r="U137" i="33" s="1"/>
  <c r="V137" i="33" s="1"/>
  <c r="AK13" i="27"/>
  <c r="CF184" i="3"/>
  <c r="AW184" i="3"/>
  <c r="CH184" i="3"/>
  <c r="CJ184" i="3"/>
  <c r="BG183" i="3"/>
  <c r="CK169" i="3"/>
  <c r="AF180" i="33" s="1"/>
  <c r="CI169" i="3"/>
  <c r="Y180" i="33" s="1"/>
  <c r="Z180" i="33" s="1"/>
  <c r="CG169" i="3"/>
  <c r="R180" i="33" s="1"/>
  <c r="CE169" i="3"/>
  <c r="K180" i="33" s="1"/>
  <c r="CB169" i="3"/>
  <c r="AH180" i="33" s="1"/>
  <c r="AI180" i="33" s="1"/>
  <c r="BZ169" i="3"/>
  <c r="BR169" i="3"/>
  <c r="AA180" i="33" s="1"/>
  <c r="AB180" i="33" s="1"/>
  <c r="AC180" i="33" s="1"/>
  <c r="BP169" i="3"/>
  <c r="BH169" i="3"/>
  <c r="T180" i="33" s="1"/>
  <c r="U180" i="33" s="1"/>
  <c r="BF169" i="3"/>
  <c r="AX169" i="3"/>
  <c r="M180" i="33" s="1"/>
  <c r="N180" i="33" s="1"/>
  <c r="AV169" i="3"/>
  <c r="AO169" i="3"/>
  <c r="BW169" i="3" s="1"/>
  <c r="CL169" i="3" s="1"/>
  <c r="AN169" i="3"/>
  <c r="AR169" i="3" s="1"/>
  <c r="AE178" i="33"/>
  <c r="X178" i="33"/>
  <c r="Q178" i="33"/>
  <c r="J178" i="33"/>
  <c r="H178" i="33"/>
  <c r="CL167" i="3"/>
  <c r="AF64" i="33" s="1"/>
  <c r="CK167" i="3"/>
  <c r="AF178" i="33" s="1"/>
  <c r="CI167" i="3"/>
  <c r="Y178" i="33" s="1"/>
  <c r="Z178" i="33" s="1"/>
  <c r="CG167" i="3"/>
  <c r="R178" i="33" s="1"/>
  <c r="CE167" i="3"/>
  <c r="K178" i="33" s="1"/>
  <c r="CB167" i="3"/>
  <c r="AH178" i="33" s="1"/>
  <c r="AI178" i="33" s="1"/>
  <c r="CA167" i="3"/>
  <c r="AE64" i="33" s="1"/>
  <c r="BZ167" i="3"/>
  <c r="BR167" i="3"/>
  <c r="AA178" i="33" s="1"/>
  <c r="AB178" i="33" s="1"/>
  <c r="AC178" i="33" s="1"/>
  <c r="BP167" i="3"/>
  <c r="BH167" i="3"/>
  <c r="T178" i="33" s="1"/>
  <c r="U178" i="33" s="1"/>
  <c r="BF167" i="3"/>
  <c r="AX167" i="3"/>
  <c r="M178" i="33" s="1"/>
  <c r="N178" i="33" s="1"/>
  <c r="AV167" i="3"/>
  <c r="AW167" i="3"/>
  <c r="J64" i="33" s="1"/>
  <c r="AO167" i="3"/>
  <c r="BM167" i="3" s="1"/>
  <c r="CM167" i="3" s="1"/>
  <c r="AN167" i="3"/>
  <c r="BL167" i="3" s="1"/>
  <c r="CF186" i="3" l="1"/>
  <c r="AR167" i="3"/>
  <c r="CF185" i="3"/>
  <c r="CM183" i="3"/>
  <c r="CM187" i="3"/>
  <c r="CA187" i="3"/>
  <c r="CL187" i="3"/>
  <c r="CF183" i="3"/>
  <c r="CL183" i="3"/>
  <c r="AW183" i="3"/>
  <c r="AW187" i="3"/>
  <c r="CF187" i="3"/>
  <c r="BG185" i="3"/>
  <c r="BG187" i="3"/>
  <c r="CA185" i="3"/>
  <c r="CL185" i="3"/>
  <c r="CJ183" i="3"/>
  <c r="BQ183" i="3"/>
  <c r="BB167" i="3"/>
  <c r="BI169" i="3"/>
  <c r="CJ186" i="3"/>
  <c r="BQ186" i="3"/>
  <c r="CA186" i="3"/>
  <c r="CC167" i="3"/>
  <c r="AH64" i="33" s="1"/>
  <c r="AI64" i="33" s="1"/>
  <c r="AS169" i="3"/>
  <c r="AW169" i="3" s="1"/>
  <c r="BI167" i="3"/>
  <c r="T64" i="33" s="1"/>
  <c r="U64" i="33" s="1"/>
  <c r="BC169" i="3"/>
  <c r="CH169" i="3" s="1"/>
  <c r="BV167" i="3"/>
  <c r="BV169" i="3"/>
  <c r="BL169" i="3"/>
  <c r="AY169" i="3"/>
  <c r="BM169" i="3"/>
  <c r="AY167" i="3"/>
  <c r="BS167" i="3"/>
  <c r="AA64" i="33" s="1"/>
  <c r="AB64" i="33" s="1"/>
  <c r="AC64" i="33" s="1"/>
  <c r="BB169" i="3"/>
  <c r="CC169" i="3"/>
  <c r="BS169" i="3"/>
  <c r="CA169" i="3"/>
  <c r="BQ167" i="3"/>
  <c r="X64" i="33" s="1"/>
  <c r="CJ167" i="3"/>
  <c r="Y64" i="33" s="1"/>
  <c r="Z64" i="33" s="1"/>
  <c r="BG167" i="3"/>
  <c r="Q64" i="33" s="1"/>
  <c r="CF167" i="3"/>
  <c r="K64" i="33" s="1"/>
  <c r="CH167" i="3"/>
  <c r="R64" i="33" s="1"/>
  <c r="O11" i="34"/>
  <c r="BG169" i="3" l="1"/>
  <c r="CF169" i="3"/>
  <c r="CJ169" i="3"/>
  <c r="BQ169" i="3"/>
  <c r="AG17" i="29"/>
  <c r="AI17" i="29" s="1"/>
  <c r="G204" i="33" l="1"/>
  <c r="G203" i="33"/>
  <c r="G202" i="33"/>
  <c r="G201" i="33"/>
  <c r="G200" i="33"/>
  <c r="G199" i="33"/>
  <c r="G198" i="33"/>
  <c r="G197" i="33"/>
  <c r="G196" i="33"/>
  <c r="G194" i="33"/>
  <c r="G193" i="33"/>
  <c r="G192" i="33"/>
  <c r="G191" i="33"/>
  <c r="G190" i="33"/>
  <c r="G189" i="33"/>
  <c r="G188" i="33"/>
  <c r="G187" i="33"/>
  <c r="G186" i="33"/>
  <c r="G195" i="33"/>
  <c r="G185" i="33"/>
  <c r="G183" i="33"/>
  <c r="G184" i="33"/>
  <c r="J39" i="33" l="1"/>
  <c r="J38" i="33"/>
  <c r="J37" i="33"/>
  <c r="G157" i="33" l="1"/>
  <c r="H186" i="33" l="1"/>
  <c r="AE186" i="33"/>
  <c r="X186" i="33"/>
  <c r="Q186" i="33"/>
  <c r="J186" i="33"/>
  <c r="AE195" i="33"/>
  <c r="X195" i="33"/>
  <c r="Q195" i="33"/>
  <c r="J195" i="33"/>
  <c r="H195" i="33"/>
  <c r="AE285" i="33"/>
  <c r="X285" i="33"/>
  <c r="Q285" i="33"/>
  <c r="J285" i="33"/>
  <c r="H285" i="33"/>
  <c r="G285" i="33"/>
  <c r="AT155" i="3" l="1"/>
  <c r="CK30" i="3" l="1"/>
  <c r="CI30" i="3"/>
  <c r="CG30" i="3"/>
  <c r="AX28" i="3"/>
  <c r="M227" i="33" s="1"/>
  <c r="N227" i="33" s="1"/>
  <c r="O227" i="33" s="1"/>
  <c r="AV28" i="3"/>
  <c r="AT26" i="3"/>
  <c r="AT22" i="3"/>
  <c r="AT41" i="3"/>
  <c r="AT40" i="3"/>
  <c r="AT39" i="3"/>
  <c r="AT35" i="3"/>
  <c r="AT34" i="3"/>
  <c r="AT33" i="3"/>
  <c r="AT32" i="3"/>
  <c r="AT31" i="3"/>
  <c r="AT30" i="3"/>
  <c r="AT29" i="3"/>
  <c r="AT27" i="3"/>
  <c r="AT23" i="3"/>
  <c r="CE30" i="3" l="1"/>
  <c r="BH30" i="3"/>
  <c r="AV30" i="3"/>
  <c r="AX30" i="3"/>
  <c r="AU56" i="3"/>
  <c r="AT137" i="3" l="1"/>
  <c r="AU134" i="3"/>
  <c r="AT134" i="3"/>
  <c r="G306" i="33" l="1"/>
  <c r="AE197" i="33"/>
  <c r="X197" i="33"/>
  <c r="Q197" i="33"/>
  <c r="J197" i="33"/>
  <c r="H197" i="33"/>
  <c r="AE290" i="33"/>
  <c r="X290" i="33"/>
  <c r="Q290" i="33"/>
  <c r="J290" i="33"/>
  <c r="H290" i="33"/>
  <c r="G290" i="33"/>
  <c r="AX154" i="3"/>
  <c r="AV154" i="3"/>
  <c r="AV153" i="3"/>
  <c r="AV50" i="3"/>
  <c r="AX46" i="3"/>
  <c r="AT17" i="3"/>
  <c r="CE17" i="3" s="1"/>
  <c r="AX13" i="3"/>
  <c r="AX12" i="3"/>
  <c r="AV13" i="3"/>
  <c r="AV12" i="3"/>
  <c r="AG11" i="29"/>
  <c r="AI11" i="29" s="1"/>
  <c r="G9" i="35"/>
  <c r="BR11" i="29" l="1"/>
  <c r="E9" i="35"/>
  <c r="H9" i="35"/>
  <c r="D9" i="35"/>
  <c r="F9" i="35"/>
  <c r="G28" i="33"/>
  <c r="P31" i="27"/>
  <c r="AB31" i="27" s="1"/>
  <c r="BJ31" i="27" s="1"/>
  <c r="P30" i="27"/>
  <c r="AP31" i="27" l="1"/>
  <c r="AZ31" i="27"/>
  <c r="AF31" i="27"/>
  <c r="AT179" i="3"/>
  <c r="AT163" i="3"/>
  <c r="AT19" i="3"/>
  <c r="AG31" i="27" l="1"/>
  <c r="AG30" i="27"/>
  <c r="AG29" i="27"/>
  <c r="AG28" i="27"/>
  <c r="AG26" i="27"/>
  <c r="AG13" i="29" l="1"/>
  <c r="AT174" i="3" l="1"/>
  <c r="AT173" i="3"/>
  <c r="AT172" i="3"/>
  <c r="AG19" i="29" l="1"/>
  <c r="AG18" i="29"/>
  <c r="AG20" i="27" l="1"/>
  <c r="AG19" i="27"/>
  <c r="AG18" i="27"/>
  <c r="AG14" i="27"/>
  <c r="BR12" i="27" l="1"/>
  <c r="AI12" i="27"/>
  <c r="AH25" i="27"/>
  <c r="AG25" i="27"/>
  <c r="AG24" i="27"/>
  <c r="BE24" i="27" s="1"/>
  <c r="AG22" i="27"/>
  <c r="AH21" i="27"/>
  <c r="AG21" i="27"/>
  <c r="AK22" i="27" l="1"/>
  <c r="BE22" i="27"/>
  <c r="AU22" i="27"/>
  <c r="AK24" i="27"/>
  <c r="AU24" i="27"/>
  <c r="E6" i="32"/>
  <c r="AS50" i="3" l="1"/>
  <c r="CK13" i="3" l="1"/>
  <c r="CK12" i="3"/>
  <c r="CI13" i="3"/>
  <c r="CI12" i="3"/>
  <c r="CG13" i="3"/>
  <c r="CG12" i="3"/>
  <c r="CE13" i="3"/>
  <c r="CE12" i="3"/>
  <c r="AV158" i="3" l="1"/>
  <c r="AO181" i="3" l="1"/>
  <c r="AO182" i="3"/>
  <c r="CL182" i="3" l="1"/>
  <c r="CL181" i="3"/>
  <c r="CJ182" i="3"/>
  <c r="CJ181" i="3"/>
  <c r="CH182" i="3"/>
  <c r="CH181" i="3"/>
  <c r="CF182" i="3"/>
  <c r="CF181" i="3"/>
  <c r="CL180" i="3"/>
  <c r="CJ180" i="3"/>
  <c r="CH180" i="3"/>
  <c r="CF180" i="3"/>
  <c r="CC180" i="3" l="1"/>
  <c r="CA180" i="3"/>
  <c r="BI182" i="3"/>
  <c r="BI181" i="3"/>
  <c r="BG182" i="3"/>
  <c r="BG181" i="3"/>
  <c r="BS182" i="3"/>
  <c r="BS181" i="3"/>
  <c r="BQ182" i="3"/>
  <c r="BQ181" i="3"/>
  <c r="BQ180" i="3"/>
  <c r="BG180" i="3"/>
  <c r="AY182" i="3"/>
  <c r="AY181" i="3"/>
  <c r="AW182" i="3"/>
  <c r="AW181" i="3"/>
  <c r="AW180" i="3"/>
  <c r="BP180" i="3"/>
  <c r="AN182" i="3"/>
  <c r="AN181" i="3"/>
  <c r="BL181" i="3" s="1"/>
  <c r="CM180" i="3"/>
  <c r="CK180" i="3"/>
  <c r="CI180" i="3"/>
  <c r="CG180" i="3"/>
  <c r="CE180" i="3"/>
  <c r="BZ180" i="3"/>
  <c r="BF180" i="3"/>
  <c r="AV180" i="3"/>
  <c r="CM182" i="3"/>
  <c r="CK182" i="3"/>
  <c r="CI182" i="3"/>
  <c r="CG182" i="3"/>
  <c r="CE182" i="3"/>
  <c r="BZ182" i="3"/>
  <c r="BP182" i="3"/>
  <c r="BF182" i="3"/>
  <c r="AV182" i="3"/>
  <c r="CM181" i="3"/>
  <c r="CK181" i="3"/>
  <c r="CI181" i="3"/>
  <c r="CG181" i="3"/>
  <c r="CE181" i="3"/>
  <c r="BZ181" i="3"/>
  <c r="BP181" i="3"/>
  <c r="BF181" i="3"/>
  <c r="AV181" i="3"/>
  <c r="AO180" i="3"/>
  <c r="AY180" i="3" s="1"/>
  <c r="AN180" i="3"/>
  <c r="BL180" i="3" s="1"/>
  <c r="AM181" i="3"/>
  <c r="CB181" i="3" s="1"/>
  <c r="AM182" i="3"/>
  <c r="CB182" i="3" s="1"/>
  <c r="AM180" i="3"/>
  <c r="CB180" i="3" s="1"/>
  <c r="BV182" i="3" l="1"/>
  <c r="BL182" i="3"/>
  <c r="R197" i="33"/>
  <c r="R195" i="33"/>
  <c r="K290" i="33"/>
  <c r="L290" i="33" s="1"/>
  <c r="K285" i="33"/>
  <c r="L285" i="33" s="1"/>
  <c r="Y197" i="33"/>
  <c r="Y195" i="33"/>
  <c r="R186" i="33"/>
  <c r="R290" i="33"/>
  <c r="R285" i="33"/>
  <c r="AH290" i="33"/>
  <c r="AI290" i="33" s="1"/>
  <c r="AH285" i="33"/>
  <c r="AI285" i="33" s="1"/>
  <c r="Y290" i="33"/>
  <c r="Y285" i="33"/>
  <c r="AH186" i="33"/>
  <c r="AI186" i="33" s="1"/>
  <c r="K186" i="33"/>
  <c r="AF197" i="33"/>
  <c r="AF195" i="33"/>
  <c r="AF290" i="33"/>
  <c r="AF285" i="33"/>
  <c r="AF186" i="33"/>
  <c r="AG186" i="33" s="1"/>
  <c r="K197" i="33"/>
  <c r="L197" i="33" s="1"/>
  <c r="K195" i="33"/>
  <c r="L195" i="33" s="1"/>
  <c r="AH197" i="33"/>
  <c r="AI197" i="33" s="1"/>
  <c r="AH195" i="33"/>
  <c r="AI195" i="33" s="1"/>
  <c r="Y186" i="33"/>
  <c r="Z186" i="33" s="1"/>
  <c r="AX181" i="3"/>
  <c r="BH181" i="3"/>
  <c r="AR180" i="3"/>
  <c r="BR180" i="3"/>
  <c r="BV180" i="3"/>
  <c r="AX180" i="3"/>
  <c r="BB180" i="3"/>
  <c r="BH182" i="3"/>
  <c r="BR182" i="3"/>
  <c r="BH180" i="3"/>
  <c r="BS180" i="3"/>
  <c r="AR181" i="3"/>
  <c r="BB182" i="3"/>
  <c r="BV181" i="3"/>
  <c r="AX182" i="3"/>
  <c r="AR182" i="3"/>
  <c r="BI180" i="3"/>
  <c r="BB181" i="3"/>
  <c r="BR181" i="3"/>
  <c r="AP12" i="38"/>
  <c r="AS12" i="38" s="1"/>
  <c r="AI15" i="38"/>
  <c r="AC15" i="38"/>
  <c r="V15" i="38"/>
  <c r="V12" i="38"/>
  <c r="P15" i="38"/>
  <c r="P12" i="38"/>
  <c r="S12" i="38" s="1"/>
  <c r="I17" i="38"/>
  <c r="I15" i="38"/>
  <c r="I12" i="38"/>
  <c r="C17" i="38"/>
  <c r="C15" i="38"/>
  <c r="C12" i="38"/>
  <c r="S15" i="38" l="1"/>
  <c r="Q15" i="38"/>
  <c r="T15" i="38"/>
  <c r="U15" i="38"/>
  <c r="R15" i="38"/>
  <c r="X12" i="38"/>
  <c r="Z12" i="38"/>
  <c r="W12" i="38"/>
  <c r="AA12" i="38"/>
  <c r="Y12" i="38"/>
  <c r="AA15" i="38"/>
  <c r="Z15" i="38"/>
  <c r="Y15" i="38"/>
  <c r="W15" i="38"/>
  <c r="X15" i="38"/>
  <c r="AA186" i="33"/>
  <c r="AB186" i="33" s="1"/>
  <c r="AC186" i="33" s="1"/>
  <c r="T186" i="33"/>
  <c r="U186" i="33" s="1"/>
  <c r="M290" i="33"/>
  <c r="N290" i="33" s="1"/>
  <c r="O290" i="33" s="1"/>
  <c r="M285" i="33"/>
  <c r="N285" i="33" s="1"/>
  <c r="O285" i="33" s="1"/>
  <c r="T290" i="33"/>
  <c r="U290" i="33" s="1"/>
  <c r="V290" i="33" s="1"/>
  <c r="T285" i="33"/>
  <c r="U285" i="33" s="1"/>
  <c r="V285" i="33" s="1"/>
  <c r="T197" i="33"/>
  <c r="U197" i="33" s="1"/>
  <c r="V197" i="33" s="1"/>
  <c r="T195" i="33"/>
  <c r="U195" i="33" s="1"/>
  <c r="V195" i="33" s="1"/>
  <c r="M197" i="33"/>
  <c r="N197" i="33" s="1"/>
  <c r="O197" i="33" s="1"/>
  <c r="M195" i="33"/>
  <c r="N195" i="33" s="1"/>
  <c r="O195" i="33" s="1"/>
  <c r="M186" i="33"/>
  <c r="N186" i="33" s="1"/>
  <c r="AA197" i="33"/>
  <c r="AB197" i="33" s="1"/>
  <c r="AC197" i="33" s="1"/>
  <c r="AA195" i="33"/>
  <c r="AB195" i="33" s="1"/>
  <c r="AC195" i="33" s="1"/>
  <c r="AA290" i="33"/>
  <c r="AB290" i="33" s="1"/>
  <c r="AC290" i="33" s="1"/>
  <c r="AA285" i="33"/>
  <c r="AB285" i="33" s="1"/>
  <c r="AC285" i="33" s="1"/>
  <c r="F15" i="38"/>
  <c r="E15" i="38"/>
  <c r="D15" i="38"/>
  <c r="H15" i="38"/>
  <c r="G15" i="38"/>
  <c r="J12" i="38"/>
  <c r="M12" i="38"/>
  <c r="N12" i="38"/>
  <c r="L12" i="38"/>
  <c r="K12" i="38"/>
  <c r="H12" i="38"/>
  <c r="G12" i="38"/>
  <c r="F12" i="38"/>
  <c r="E12" i="38"/>
  <c r="D12" i="38"/>
  <c r="K15" i="38"/>
  <c r="J15" i="38"/>
  <c r="N15" i="38"/>
  <c r="M15" i="38"/>
  <c r="L15" i="38"/>
  <c r="D17" i="38"/>
  <c r="G17" i="38"/>
  <c r="H17" i="38"/>
  <c r="F17" i="38"/>
  <c r="E17" i="38"/>
  <c r="L17" i="38"/>
  <c r="N17" i="38"/>
  <c r="M17" i="38"/>
  <c r="K17" i="38"/>
  <c r="J17" i="38"/>
  <c r="T12" i="38"/>
  <c r="AT12" i="38"/>
  <c r="U12" i="38"/>
  <c r="AU12" i="38"/>
  <c r="Q12" i="38"/>
  <c r="AQ12" i="38"/>
  <c r="R12" i="38"/>
  <c r="AR12" i="38"/>
  <c r="AC9" i="35"/>
  <c r="BT12" i="27"/>
  <c r="BM12" i="27"/>
  <c r="BC12" i="27"/>
  <c r="AS12" i="27"/>
  <c r="AE235" i="33"/>
  <c r="X235" i="33"/>
  <c r="Q235" i="33"/>
  <c r="J235" i="33"/>
  <c r="AE234" i="33"/>
  <c r="X234" i="33"/>
  <c r="Q234" i="33"/>
  <c r="J234" i="33"/>
  <c r="AE233" i="33"/>
  <c r="X233" i="33"/>
  <c r="Q233" i="33"/>
  <c r="J233" i="33"/>
  <c r="AE231" i="33"/>
  <c r="X231" i="33"/>
  <c r="Q231" i="33"/>
  <c r="J231" i="33"/>
  <c r="AE230" i="33"/>
  <c r="X230" i="33"/>
  <c r="Q230" i="33"/>
  <c r="J230" i="33"/>
  <c r="AE229" i="33"/>
  <c r="X229" i="33"/>
  <c r="Q229" i="33"/>
  <c r="J229" i="33"/>
  <c r="AE228" i="33"/>
  <c r="X228" i="33"/>
  <c r="Q228" i="33"/>
  <c r="J228" i="33"/>
  <c r="Q227" i="33"/>
  <c r="J227" i="33"/>
  <c r="AE226" i="33"/>
  <c r="X226" i="33"/>
  <c r="Q226" i="33"/>
  <c r="J226" i="33"/>
  <c r="AE225" i="33"/>
  <c r="X225" i="33"/>
  <c r="Q225" i="33"/>
  <c r="J225" i="33"/>
  <c r="AE224" i="33"/>
  <c r="X224" i="33"/>
  <c r="Q224" i="33"/>
  <c r="J224" i="33"/>
  <c r="AE223" i="33"/>
  <c r="X223" i="33"/>
  <c r="Q223" i="33"/>
  <c r="J223" i="33"/>
  <c r="H235" i="33"/>
  <c r="H234" i="33"/>
  <c r="H233" i="33"/>
  <c r="H231" i="33"/>
  <c r="H230" i="33"/>
  <c r="H229" i="33"/>
  <c r="H228" i="33"/>
  <c r="H227" i="33"/>
  <c r="H226" i="33"/>
  <c r="H225" i="33"/>
  <c r="H224" i="33"/>
  <c r="H223" i="33"/>
  <c r="G235" i="33"/>
  <c r="G234" i="33"/>
  <c r="G233" i="33"/>
  <c r="G231" i="33"/>
  <c r="G230" i="33"/>
  <c r="G228" i="33"/>
  <c r="G227" i="33"/>
  <c r="G226" i="33"/>
  <c r="G225" i="33"/>
  <c r="G224" i="33"/>
  <c r="G223" i="33"/>
  <c r="AF9" i="35" l="1"/>
  <c r="AE9" i="35"/>
  <c r="AD9" i="35"/>
  <c r="AH9" i="35"/>
  <c r="AG9" i="35"/>
  <c r="R136" i="33"/>
  <c r="AE222" i="33"/>
  <c r="X222" i="33"/>
  <c r="Q222" i="33"/>
  <c r="J222" i="33"/>
  <c r="H222" i="33"/>
  <c r="G222" i="33"/>
  <c r="AE221" i="33"/>
  <c r="X221" i="33"/>
  <c r="Q221" i="33"/>
  <c r="J221" i="33"/>
  <c r="H221" i="33"/>
  <c r="G221" i="33"/>
  <c r="AE164" i="33"/>
  <c r="X164" i="33"/>
  <c r="Q164" i="33"/>
  <c r="J164" i="33"/>
  <c r="H164" i="33"/>
  <c r="G164" i="33"/>
  <c r="AE163" i="33"/>
  <c r="X163" i="33"/>
  <c r="Q163" i="33"/>
  <c r="J163" i="33"/>
  <c r="H163" i="33"/>
  <c r="G163" i="33"/>
  <c r="AE162" i="33"/>
  <c r="X162" i="33"/>
  <c r="Q162" i="33"/>
  <c r="J162" i="33"/>
  <c r="H162" i="33"/>
  <c r="G162" i="33"/>
  <c r="AE39" i="33"/>
  <c r="X39" i="33"/>
  <c r="Q39" i="33"/>
  <c r="G39" i="33"/>
  <c r="AE38" i="33"/>
  <c r="X38" i="33"/>
  <c r="Q38" i="33"/>
  <c r="G38" i="33"/>
  <c r="AE37" i="33"/>
  <c r="X37" i="33"/>
  <c r="Q37" i="33"/>
  <c r="G37" i="33"/>
  <c r="AE36" i="33"/>
  <c r="X36" i="33"/>
  <c r="Q36" i="33"/>
  <c r="J36" i="33"/>
  <c r="G36" i="33"/>
  <c r="I9" i="35"/>
  <c r="F29" i="37"/>
  <c r="N28" i="37"/>
  <c r="J28" i="37"/>
  <c r="J27" i="37"/>
  <c r="J29" i="37" s="1"/>
  <c r="J24" i="37"/>
  <c r="F24" i="37"/>
  <c r="C23" i="37"/>
  <c r="N22" i="37"/>
  <c r="N24" i="37" s="1"/>
  <c r="C22" i="37"/>
  <c r="J19" i="37"/>
  <c r="F19" i="37"/>
  <c r="C18" i="37"/>
  <c r="N17" i="37"/>
  <c r="N19" i="37" s="1"/>
  <c r="C17" i="37"/>
  <c r="AG15" i="35"/>
  <c r="N27" i="37" l="1"/>
  <c r="N29" i="37" s="1"/>
  <c r="K9" i="35"/>
  <c r="J9" i="35"/>
  <c r="N9" i="35"/>
  <c r="M9" i="35"/>
  <c r="L9" i="35"/>
  <c r="C24" i="37"/>
  <c r="C28" i="37"/>
  <c r="C27" i="37"/>
  <c r="C19" i="37"/>
  <c r="C29" i="37" l="1"/>
  <c r="AE306" i="33"/>
  <c r="X306" i="33"/>
  <c r="Q306" i="33"/>
  <c r="AE308" i="33"/>
  <c r="AE307" i="33"/>
  <c r="J306" i="33"/>
  <c r="H306" i="33"/>
  <c r="X308" i="33"/>
  <c r="Q308" i="33"/>
  <c r="J308" i="33"/>
  <c r="H308" i="33"/>
  <c r="G308" i="33"/>
  <c r="X307" i="33"/>
  <c r="Q307" i="33"/>
  <c r="J307" i="33"/>
  <c r="H307" i="33"/>
  <c r="G307" i="33"/>
  <c r="AE205" i="33"/>
  <c r="X205" i="33"/>
  <c r="Q205" i="33"/>
  <c r="J205" i="33"/>
  <c r="H205" i="33"/>
  <c r="G205" i="33"/>
  <c r="J206" i="33"/>
  <c r="H206" i="33"/>
  <c r="G206" i="33"/>
  <c r="AE255" i="33"/>
  <c r="X255" i="33"/>
  <c r="Q255" i="33"/>
  <c r="J255" i="33"/>
  <c r="H255" i="33"/>
  <c r="G255" i="33"/>
  <c r="AE204" i="33"/>
  <c r="X204" i="33"/>
  <c r="Q204" i="33"/>
  <c r="J204" i="33"/>
  <c r="H204" i="33"/>
  <c r="AE203" i="33"/>
  <c r="X203" i="33"/>
  <c r="Q203" i="33"/>
  <c r="J203" i="33"/>
  <c r="H203" i="33"/>
  <c r="AE202" i="33"/>
  <c r="X202" i="33"/>
  <c r="Q202" i="33"/>
  <c r="J202" i="33"/>
  <c r="H202" i="33"/>
  <c r="AE201" i="33"/>
  <c r="X201" i="33"/>
  <c r="Q201" i="33"/>
  <c r="J201" i="33"/>
  <c r="H201" i="33"/>
  <c r="AE200" i="33"/>
  <c r="X200" i="33"/>
  <c r="Q200" i="33"/>
  <c r="J200" i="33"/>
  <c r="H200" i="33"/>
  <c r="J305" i="33"/>
  <c r="H305" i="33"/>
  <c r="AE303" i="33"/>
  <c r="X303" i="33"/>
  <c r="Q303" i="33"/>
  <c r="J303" i="33"/>
  <c r="H303" i="33"/>
  <c r="G303" i="33"/>
  <c r="AE364" i="33"/>
  <c r="Q364" i="33"/>
  <c r="J364" i="33"/>
  <c r="H364" i="33"/>
  <c r="G364" i="33"/>
  <c r="AE363" i="33"/>
  <c r="X363" i="33"/>
  <c r="Q363" i="33"/>
  <c r="J363" i="33"/>
  <c r="H363" i="33"/>
  <c r="G363" i="33"/>
  <c r="AE199" i="33"/>
  <c r="X199" i="33"/>
  <c r="Q199" i="33"/>
  <c r="J199" i="33"/>
  <c r="H199" i="33"/>
  <c r="AE302" i="33"/>
  <c r="X302" i="33"/>
  <c r="Q302" i="33"/>
  <c r="J302" i="33"/>
  <c r="H302" i="33"/>
  <c r="G302" i="33"/>
  <c r="G301" i="33"/>
  <c r="H301" i="33"/>
  <c r="AE360" i="33"/>
  <c r="X360" i="33"/>
  <c r="Q360" i="33"/>
  <c r="J360" i="33"/>
  <c r="H360" i="33"/>
  <c r="G360" i="33"/>
  <c r="AE359" i="33"/>
  <c r="X359" i="33"/>
  <c r="Q359" i="33"/>
  <c r="J359" i="33"/>
  <c r="H359" i="33"/>
  <c r="G359" i="33"/>
  <c r="AE358" i="33"/>
  <c r="X358" i="33"/>
  <c r="Q358" i="33"/>
  <c r="J358" i="33"/>
  <c r="H358" i="33"/>
  <c r="G358" i="33"/>
  <c r="AE295" i="33"/>
  <c r="X295" i="33"/>
  <c r="Q295" i="33"/>
  <c r="J295" i="33"/>
  <c r="H295" i="33"/>
  <c r="G295" i="33"/>
  <c r="AE294" i="33"/>
  <c r="X294" i="33"/>
  <c r="Q294" i="33"/>
  <c r="J294" i="33"/>
  <c r="H294" i="33"/>
  <c r="G294" i="33"/>
  <c r="AE293" i="33"/>
  <c r="X293" i="33"/>
  <c r="Q293" i="33"/>
  <c r="J293" i="33"/>
  <c r="H293" i="33"/>
  <c r="G293" i="33"/>
  <c r="AE292" i="33"/>
  <c r="X292" i="33"/>
  <c r="Q292" i="33"/>
  <c r="J292" i="33"/>
  <c r="H292" i="33"/>
  <c r="G292" i="33"/>
  <c r="G291" i="33"/>
  <c r="AE301" i="33"/>
  <c r="X301" i="33"/>
  <c r="Q301" i="33"/>
  <c r="J301" i="33"/>
  <c r="AE300" i="33"/>
  <c r="X300" i="33"/>
  <c r="Q300" i="33"/>
  <c r="J300" i="33"/>
  <c r="H300" i="33"/>
  <c r="G300" i="33"/>
  <c r="AE198" i="33"/>
  <c r="X198" i="33"/>
  <c r="Q198" i="33"/>
  <c r="J198" i="33"/>
  <c r="H198" i="33"/>
  <c r="AE299" i="33"/>
  <c r="X299" i="33"/>
  <c r="Q299" i="33"/>
  <c r="J299" i="33"/>
  <c r="H299" i="33"/>
  <c r="G299" i="33"/>
  <c r="AE297" i="33"/>
  <c r="X297" i="33"/>
  <c r="Q297" i="33"/>
  <c r="J297" i="33"/>
  <c r="H297" i="33"/>
  <c r="G297" i="33"/>
  <c r="AE298" i="33"/>
  <c r="X298" i="33"/>
  <c r="Q298" i="33"/>
  <c r="J298" i="33"/>
  <c r="H298" i="33"/>
  <c r="G298" i="33"/>
  <c r="AE296" i="33"/>
  <c r="X296" i="33"/>
  <c r="Q296" i="33"/>
  <c r="J296" i="33"/>
  <c r="H296" i="33"/>
  <c r="G296" i="33"/>
  <c r="AE291" i="33"/>
  <c r="X291" i="33"/>
  <c r="Q291" i="33"/>
  <c r="J291" i="33"/>
  <c r="H291" i="33"/>
  <c r="X289" i="33"/>
  <c r="Q289" i="33"/>
  <c r="J289" i="33"/>
  <c r="H289" i="33"/>
  <c r="G289" i="33"/>
  <c r="AE288" i="33"/>
  <c r="X288" i="33"/>
  <c r="Q288" i="33"/>
  <c r="J288" i="33"/>
  <c r="H288" i="33"/>
  <c r="G288" i="33"/>
  <c r="J196" i="33"/>
  <c r="H196" i="33"/>
  <c r="G131" i="33"/>
  <c r="G130" i="33"/>
  <c r="G129" i="33"/>
  <c r="G128" i="33"/>
  <c r="G127" i="33"/>
  <c r="G126" i="33"/>
  <c r="AE287" i="33"/>
  <c r="X287" i="33"/>
  <c r="Q287" i="33"/>
  <c r="J287" i="33"/>
  <c r="H287" i="33"/>
  <c r="G287" i="33"/>
  <c r="AE284" i="33"/>
  <c r="X284" i="33"/>
  <c r="Q284" i="33"/>
  <c r="J284" i="33"/>
  <c r="H284" i="33"/>
  <c r="G284" i="33"/>
  <c r="AE283" i="33"/>
  <c r="X283" i="33"/>
  <c r="Q283" i="33"/>
  <c r="J283" i="33"/>
  <c r="H283" i="33"/>
  <c r="G283" i="33"/>
  <c r="AE282" i="33"/>
  <c r="X282" i="33"/>
  <c r="Q282" i="33"/>
  <c r="J282" i="33"/>
  <c r="H282" i="33"/>
  <c r="G282" i="33"/>
  <c r="AE281" i="33"/>
  <c r="X281" i="33"/>
  <c r="Q281" i="33"/>
  <c r="J281" i="33"/>
  <c r="H281" i="33"/>
  <c r="G281" i="33"/>
  <c r="AE194" i="33"/>
  <c r="X194" i="33"/>
  <c r="Q194" i="33"/>
  <c r="J194" i="33"/>
  <c r="H194" i="33"/>
  <c r="AE193" i="33"/>
  <c r="X193" i="33"/>
  <c r="Q193" i="33"/>
  <c r="J193" i="33"/>
  <c r="H193" i="33"/>
  <c r="AE192" i="33"/>
  <c r="X192" i="33"/>
  <c r="Q192" i="33"/>
  <c r="J192" i="33"/>
  <c r="H192" i="33"/>
  <c r="Q191" i="33"/>
  <c r="J191" i="33"/>
  <c r="H191" i="33"/>
  <c r="AE190" i="33"/>
  <c r="X190" i="33"/>
  <c r="Q190" i="33"/>
  <c r="J190" i="33"/>
  <c r="H190" i="33"/>
  <c r="AE189" i="33"/>
  <c r="X189" i="33"/>
  <c r="Q189" i="33"/>
  <c r="J189" i="33"/>
  <c r="H189" i="33"/>
  <c r="AE188" i="33"/>
  <c r="X188" i="33"/>
  <c r="Q188" i="33"/>
  <c r="J188" i="33"/>
  <c r="H188" i="33"/>
  <c r="AE187" i="33"/>
  <c r="X187" i="33"/>
  <c r="Q187" i="33"/>
  <c r="J187" i="33"/>
  <c r="H187" i="33"/>
  <c r="AE185" i="33"/>
  <c r="X185" i="33"/>
  <c r="Q185" i="33"/>
  <c r="J185" i="33"/>
  <c r="H185" i="33"/>
  <c r="AE357" i="33"/>
  <c r="X357" i="33"/>
  <c r="Q357" i="33"/>
  <c r="J357" i="33"/>
  <c r="H357" i="33"/>
  <c r="G357" i="33"/>
  <c r="AE280" i="33"/>
  <c r="AE279" i="33"/>
  <c r="AE278" i="33"/>
  <c r="AE277" i="33"/>
  <c r="X280" i="33"/>
  <c r="Q280" i="33"/>
  <c r="J280" i="33"/>
  <c r="H280" i="33"/>
  <c r="G280" i="33"/>
  <c r="AE184" i="33"/>
  <c r="X184" i="33"/>
  <c r="Q184" i="33"/>
  <c r="J184" i="33"/>
  <c r="H184" i="33"/>
  <c r="X279" i="33"/>
  <c r="Q279" i="33"/>
  <c r="J279" i="33"/>
  <c r="H279" i="33"/>
  <c r="G279" i="33"/>
  <c r="X278" i="33"/>
  <c r="Q278" i="33"/>
  <c r="J278" i="33"/>
  <c r="H278" i="33"/>
  <c r="G278" i="33"/>
  <c r="X277" i="33"/>
  <c r="Q277" i="33"/>
  <c r="J277" i="33"/>
  <c r="H277" i="33"/>
  <c r="G277" i="33"/>
  <c r="G349" i="33"/>
  <c r="G348" i="33"/>
  <c r="G347" i="33"/>
  <c r="J355" i="33"/>
  <c r="H355" i="33"/>
  <c r="G355" i="33"/>
  <c r="G346" i="33"/>
  <c r="J354" i="33"/>
  <c r="H354" i="33"/>
  <c r="G354" i="33"/>
  <c r="J353" i="33"/>
  <c r="H353" i="33"/>
  <c r="G353" i="33"/>
  <c r="AE351" i="33"/>
  <c r="X351" i="33"/>
  <c r="Q351" i="33"/>
  <c r="J351" i="33"/>
  <c r="H351" i="33"/>
  <c r="G345" i="33"/>
  <c r="G344" i="33"/>
  <c r="G343" i="33"/>
  <c r="G342" i="33"/>
  <c r="G341" i="33"/>
  <c r="G340" i="33"/>
  <c r="G339" i="33"/>
  <c r="G338" i="33"/>
  <c r="G337" i="33"/>
  <c r="G336" i="33"/>
  <c r="G335" i="33"/>
  <c r="G334" i="33"/>
  <c r="G333" i="33"/>
  <c r="AE332" i="33"/>
  <c r="X332" i="33"/>
  <c r="Q332" i="33"/>
  <c r="J332" i="33"/>
  <c r="H332" i="33"/>
  <c r="G332" i="33"/>
  <c r="AE331" i="33"/>
  <c r="X331" i="33"/>
  <c r="Q331" i="33"/>
  <c r="J331" i="33"/>
  <c r="H331" i="33"/>
  <c r="G331" i="33"/>
  <c r="AE330" i="33"/>
  <c r="X330" i="33"/>
  <c r="Q330" i="33"/>
  <c r="J330" i="33"/>
  <c r="H330" i="33"/>
  <c r="G330" i="33"/>
  <c r="AE329" i="33"/>
  <c r="X329" i="33"/>
  <c r="Q329" i="33"/>
  <c r="J329" i="33"/>
  <c r="H329" i="33"/>
  <c r="G329" i="33"/>
  <c r="AE328" i="33"/>
  <c r="X328" i="33"/>
  <c r="Q328" i="33"/>
  <c r="J328" i="33"/>
  <c r="H328" i="33"/>
  <c r="G328" i="33"/>
  <c r="AE327" i="33"/>
  <c r="X327" i="33"/>
  <c r="Q327" i="33"/>
  <c r="J327" i="33"/>
  <c r="H327" i="33"/>
  <c r="G327" i="33"/>
  <c r="AE326" i="33"/>
  <c r="X326" i="33"/>
  <c r="Q326" i="33"/>
  <c r="J326" i="33"/>
  <c r="H326" i="33"/>
  <c r="G326" i="33"/>
  <c r="AE325" i="33"/>
  <c r="X325" i="33"/>
  <c r="Q325" i="33"/>
  <c r="J325" i="33"/>
  <c r="H325" i="33"/>
  <c r="G325" i="33"/>
  <c r="AE324" i="33"/>
  <c r="X324" i="33"/>
  <c r="Q324" i="33"/>
  <c r="J324" i="33"/>
  <c r="H324" i="33"/>
  <c r="G324" i="33"/>
  <c r="AE323" i="33"/>
  <c r="X323" i="33"/>
  <c r="Q323" i="33"/>
  <c r="J323" i="33"/>
  <c r="H323" i="33"/>
  <c r="G323" i="33"/>
  <c r="AE322" i="33"/>
  <c r="X322" i="33"/>
  <c r="Q322" i="33"/>
  <c r="J322" i="33"/>
  <c r="H322" i="33"/>
  <c r="G322" i="33"/>
  <c r="G318" i="33"/>
  <c r="G317" i="33"/>
  <c r="AE316" i="33"/>
  <c r="X316" i="33"/>
  <c r="Q316" i="33"/>
  <c r="J316" i="33"/>
  <c r="H316" i="33"/>
  <c r="G316" i="33"/>
  <c r="AE315" i="33"/>
  <c r="X315" i="33"/>
  <c r="Q315" i="33"/>
  <c r="J315" i="33"/>
  <c r="H315" i="33"/>
  <c r="G315" i="33"/>
  <c r="AE314" i="33"/>
  <c r="X314" i="33"/>
  <c r="Q314" i="33"/>
  <c r="J314" i="33"/>
  <c r="H314" i="33"/>
  <c r="G314" i="33"/>
  <c r="AE313" i="33"/>
  <c r="X313" i="33"/>
  <c r="Q313" i="33"/>
  <c r="J313" i="33"/>
  <c r="H313" i="33"/>
  <c r="G313" i="33"/>
  <c r="AE276" i="33"/>
  <c r="X276" i="33"/>
  <c r="Q276" i="33"/>
  <c r="J276" i="33"/>
  <c r="H276" i="33"/>
  <c r="G276" i="33"/>
  <c r="J275" i="33"/>
  <c r="H275" i="33"/>
  <c r="G275" i="33"/>
  <c r="J274" i="33"/>
  <c r="H274" i="33"/>
  <c r="G274" i="33"/>
  <c r="J273" i="33"/>
  <c r="H273" i="33"/>
  <c r="G273" i="33"/>
  <c r="J272" i="33"/>
  <c r="H272" i="33"/>
  <c r="G272" i="33"/>
  <c r="AE271" i="33"/>
  <c r="X271" i="33"/>
  <c r="Q271" i="33"/>
  <c r="J271" i="33"/>
  <c r="H271" i="33"/>
  <c r="G271" i="33"/>
  <c r="AE270" i="33"/>
  <c r="X270" i="33"/>
  <c r="Q270" i="33"/>
  <c r="J270" i="33"/>
  <c r="H270" i="33"/>
  <c r="G270" i="33"/>
  <c r="J269" i="33"/>
  <c r="H269" i="33"/>
  <c r="G269" i="33"/>
  <c r="J268" i="33"/>
  <c r="H268" i="33"/>
  <c r="G268" i="33"/>
  <c r="AE183" i="33"/>
  <c r="X183" i="33"/>
  <c r="Q183" i="33"/>
  <c r="J183" i="33"/>
  <c r="H183" i="33"/>
  <c r="AE267" i="33"/>
  <c r="X267" i="33"/>
  <c r="Q267" i="33"/>
  <c r="J267" i="33"/>
  <c r="H267" i="33"/>
  <c r="G267" i="33"/>
  <c r="AE266" i="33"/>
  <c r="X266" i="33"/>
  <c r="Q266" i="33"/>
  <c r="J266" i="33"/>
  <c r="H266" i="33"/>
  <c r="G266" i="33"/>
  <c r="AE265" i="33"/>
  <c r="X265" i="33"/>
  <c r="Q265" i="33"/>
  <c r="J265" i="33"/>
  <c r="H265" i="33"/>
  <c r="G265" i="33"/>
  <c r="AE264" i="33"/>
  <c r="X264" i="33"/>
  <c r="Q264" i="33"/>
  <c r="J264" i="33"/>
  <c r="H264" i="33"/>
  <c r="G264" i="33"/>
  <c r="AE263" i="33"/>
  <c r="X263" i="33"/>
  <c r="Q263" i="33"/>
  <c r="J263" i="33"/>
  <c r="H263" i="33"/>
  <c r="G263" i="33"/>
  <c r="AE262" i="33"/>
  <c r="X262" i="33"/>
  <c r="Q262" i="33"/>
  <c r="J262" i="33"/>
  <c r="H262" i="33"/>
  <c r="G262" i="33"/>
  <c r="AE312" i="33"/>
  <c r="X312" i="33"/>
  <c r="Q312" i="33"/>
  <c r="J312" i="33"/>
  <c r="H312" i="33"/>
  <c r="G312" i="33"/>
  <c r="AE311" i="33"/>
  <c r="X311" i="33"/>
  <c r="Q311" i="33"/>
  <c r="J311" i="33"/>
  <c r="H311" i="33"/>
  <c r="G311" i="33"/>
  <c r="AE310" i="33"/>
  <c r="X310" i="33"/>
  <c r="Q310" i="33"/>
  <c r="J310" i="33"/>
  <c r="H310" i="33"/>
  <c r="G310" i="33"/>
  <c r="G122" i="33" l="1"/>
  <c r="G121" i="33"/>
  <c r="CC117" i="3"/>
  <c r="CC116" i="3"/>
  <c r="BS117" i="3"/>
  <c r="BS116" i="3"/>
  <c r="BI117" i="3"/>
  <c r="BI116" i="3"/>
  <c r="AY117" i="3"/>
  <c r="M120" i="33" s="1"/>
  <c r="N120" i="33" s="1"/>
  <c r="AY116" i="3"/>
  <c r="M119" i="33" s="1"/>
  <c r="N119" i="33" s="1"/>
  <c r="G113" i="33"/>
  <c r="G112" i="33"/>
  <c r="G120" i="33"/>
  <c r="G111" i="33"/>
  <c r="G119" i="33"/>
  <c r="G118" i="33"/>
  <c r="G117" i="33"/>
  <c r="G110" i="33"/>
  <c r="G109" i="33"/>
  <c r="G108" i="33"/>
  <c r="G107" i="33"/>
  <c r="G106" i="33"/>
  <c r="G105" i="33"/>
  <c r="G104" i="33"/>
  <c r="G103" i="33"/>
  <c r="G102" i="33"/>
  <c r="G101" i="33"/>
  <c r="G100" i="33"/>
  <c r="G99" i="33"/>
  <c r="G98" i="33"/>
  <c r="G97" i="33"/>
  <c r="G96" i="33"/>
  <c r="G95" i="33"/>
  <c r="G94" i="33"/>
  <c r="G93" i="33"/>
  <c r="G92" i="33"/>
  <c r="G91" i="33"/>
  <c r="G88" i="33"/>
  <c r="G87" i="33"/>
  <c r="G86" i="33"/>
  <c r="G85" i="33"/>
  <c r="G84" i="33"/>
  <c r="G83" i="33"/>
  <c r="G82" i="33"/>
  <c r="G81" i="33"/>
  <c r="G80" i="33"/>
  <c r="G79" i="33"/>
  <c r="G78" i="33"/>
  <c r="G77" i="33"/>
  <c r="G76" i="33"/>
  <c r="G75" i="33"/>
  <c r="G74" i="33"/>
  <c r="G73" i="33"/>
  <c r="G72" i="33"/>
  <c r="G71" i="33"/>
  <c r="G70" i="33"/>
  <c r="G69" i="33"/>
  <c r="G68" i="33"/>
  <c r="G67" i="33"/>
  <c r="AE261" i="33"/>
  <c r="X261" i="33"/>
  <c r="Q261" i="33"/>
  <c r="J261" i="33"/>
  <c r="H261" i="33"/>
  <c r="G261" i="33"/>
  <c r="G66" i="33"/>
  <c r="AE260" i="33"/>
  <c r="X260" i="33"/>
  <c r="Q260" i="33"/>
  <c r="J260" i="33"/>
  <c r="H260" i="33"/>
  <c r="G260" i="33"/>
  <c r="AE259" i="33"/>
  <c r="X259" i="33"/>
  <c r="Q259" i="33"/>
  <c r="J259" i="33"/>
  <c r="H259" i="33"/>
  <c r="G259" i="33"/>
  <c r="AE258" i="33"/>
  <c r="X258" i="33"/>
  <c r="Q258" i="33"/>
  <c r="J258" i="33"/>
  <c r="H258" i="33"/>
  <c r="G258" i="33"/>
  <c r="AE257" i="33"/>
  <c r="X257" i="33"/>
  <c r="Q257" i="33"/>
  <c r="J257" i="33"/>
  <c r="H257" i="33"/>
  <c r="G257" i="33"/>
  <c r="AE256" i="33"/>
  <c r="X256" i="33"/>
  <c r="Q256" i="33"/>
  <c r="J256" i="33"/>
  <c r="H256" i="33"/>
  <c r="G256" i="33"/>
  <c r="AE254" i="33"/>
  <c r="X254" i="33"/>
  <c r="Q254" i="33"/>
  <c r="J254" i="33"/>
  <c r="H254" i="33"/>
  <c r="G254" i="33"/>
  <c r="AE362" i="33"/>
  <c r="X362" i="33"/>
  <c r="Q362" i="33"/>
  <c r="J362" i="33"/>
  <c r="H362" i="33"/>
  <c r="G362" i="33"/>
  <c r="AE253" i="33"/>
  <c r="X253" i="33"/>
  <c r="Q253" i="33"/>
  <c r="J253" i="33"/>
  <c r="H253" i="33"/>
  <c r="G253" i="33"/>
  <c r="AE182" i="33"/>
  <c r="X182" i="33"/>
  <c r="Q182" i="33"/>
  <c r="J182" i="33"/>
  <c r="H182" i="33"/>
  <c r="G182" i="33"/>
  <c r="AE252" i="33"/>
  <c r="X252" i="33"/>
  <c r="Q252" i="33"/>
  <c r="J252" i="33"/>
  <c r="H252" i="33"/>
  <c r="G252" i="33"/>
  <c r="AE251" i="33"/>
  <c r="X251" i="33"/>
  <c r="Q251" i="33"/>
  <c r="J251" i="33"/>
  <c r="H251" i="33"/>
  <c r="G251" i="33"/>
  <c r="AE250" i="33"/>
  <c r="X250" i="33"/>
  <c r="Q250" i="33"/>
  <c r="J250" i="33"/>
  <c r="H250" i="33"/>
  <c r="G250" i="33"/>
  <c r="H40" i="33"/>
  <c r="AE249" i="33"/>
  <c r="X249" i="33"/>
  <c r="Q249" i="33"/>
  <c r="J249" i="33"/>
  <c r="H249" i="33"/>
  <c r="G249" i="33"/>
  <c r="AE170" i="33"/>
  <c r="X170" i="33"/>
  <c r="Q170" i="33"/>
  <c r="J170" i="33"/>
  <c r="H170" i="33"/>
  <c r="G170" i="33"/>
  <c r="J169" i="33"/>
  <c r="H169" i="33"/>
  <c r="G169" i="33"/>
  <c r="J168" i="33"/>
  <c r="H168" i="33"/>
  <c r="G168" i="33"/>
  <c r="AE167" i="33" l="1"/>
  <c r="X167" i="33"/>
  <c r="Q167" i="33"/>
  <c r="J167" i="33"/>
  <c r="H167" i="33"/>
  <c r="G167" i="33"/>
  <c r="AE166" i="33"/>
  <c r="X166" i="33"/>
  <c r="Q166" i="33"/>
  <c r="J166" i="33"/>
  <c r="H166" i="33"/>
  <c r="G166" i="33"/>
  <c r="AE165" i="33"/>
  <c r="X165" i="33"/>
  <c r="Q165" i="33"/>
  <c r="J165" i="33"/>
  <c r="H165" i="33"/>
  <c r="G165" i="33"/>
  <c r="AE248" i="33"/>
  <c r="X248" i="33"/>
  <c r="Q248" i="33"/>
  <c r="J248" i="33"/>
  <c r="H248" i="33"/>
  <c r="G248" i="33"/>
  <c r="AE247" i="33"/>
  <c r="X247" i="33"/>
  <c r="Q247" i="33"/>
  <c r="J247" i="33"/>
  <c r="H247" i="33"/>
  <c r="G247" i="33"/>
  <c r="AE246" i="33"/>
  <c r="X246" i="33"/>
  <c r="Q246" i="33"/>
  <c r="J246" i="33"/>
  <c r="H246" i="33"/>
  <c r="G246" i="33"/>
  <c r="AE245" i="33"/>
  <c r="X245" i="33"/>
  <c r="Q245" i="33"/>
  <c r="J245" i="33"/>
  <c r="H245" i="33"/>
  <c r="G245" i="33"/>
  <c r="AE244" i="33"/>
  <c r="X244" i="33"/>
  <c r="Q244" i="33"/>
  <c r="J244" i="33"/>
  <c r="H244" i="33"/>
  <c r="G244" i="33"/>
  <c r="AV42" i="3"/>
  <c r="G58" i="33"/>
  <c r="G57" i="33"/>
  <c r="G56" i="33"/>
  <c r="G41" i="33"/>
  <c r="G54" i="33"/>
  <c r="G53" i="33"/>
  <c r="G52" i="33"/>
  <c r="G51" i="33"/>
  <c r="G50" i="33"/>
  <c r="G49" i="33"/>
  <c r="G47" i="33"/>
  <c r="G46" i="33"/>
  <c r="G45" i="33"/>
  <c r="G44" i="33"/>
  <c r="G43" i="33"/>
  <c r="G42" i="33"/>
  <c r="G40" i="33"/>
  <c r="AE181" i="33"/>
  <c r="X181" i="33"/>
  <c r="Q181" i="33"/>
  <c r="J181" i="33"/>
  <c r="H181" i="33"/>
  <c r="G181" i="33"/>
  <c r="AE179" i="33"/>
  <c r="X179" i="33"/>
  <c r="Q179" i="33"/>
  <c r="J179" i="33"/>
  <c r="H179" i="33"/>
  <c r="G179" i="33"/>
  <c r="AE177" i="33"/>
  <c r="X177" i="33"/>
  <c r="Q177" i="33"/>
  <c r="J177" i="33"/>
  <c r="H177" i="33"/>
  <c r="G177" i="33"/>
  <c r="AE176" i="33"/>
  <c r="X176" i="33"/>
  <c r="Q176" i="33"/>
  <c r="J176" i="33"/>
  <c r="H176" i="33"/>
  <c r="G176" i="33"/>
  <c r="AE175" i="33"/>
  <c r="X175" i="33"/>
  <c r="Q175" i="33"/>
  <c r="J175" i="33"/>
  <c r="H175" i="33"/>
  <c r="G175" i="33"/>
  <c r="AE174" i="33"/>
  <c r="AE238" i="33"/>
  <c r="X174" i="33"/>
  <c r="Q174" i="33"/>
  <c r="J174" i="33"/>
  <c r="J241" i="33"/>
  <c r="J240" i="33"/>
  <c r="J239" i="33"/>
  <c r="X238" i="33"/>
  <c r="Q238" i="33"/>
  <c r="J238" i="33"/>
  <c r="AE171" i="33"/>
  <c r="X171" i="33"/>
  <c r="Q171" i="33"/>
  <c r="J171" i="33"/>
  <c r="G174" i="33"/>
  <c r="G239" i="33"/>
  <c r="G238" i="33"/>
  <c r="G171" i="33"/>
  <c r="H174" i="33"/>
  <c r="H241" i="33"/>
  <c r="H240" i="33"/>
  <c r="H239" i="33"/>
  <c r="H238" i="33"/>
  <c r="H171" i="33"/>
  <c r="G65" i="33"/>
  <c r="G61" i="33"/>
  <c r="G60" i="33"/>
  <c r="G59" i="33"/>
  <c r="G33" i="33" l="1"/>
  <c r="G32" i="33"/>
  <c r="G31" i="33"/>
  <c r="G29" i="33"/>
  <c r="G34" i="33"/>
  <c r="AE237" i="33"/>
  <c r="X237" i="33"/>
  <c r="Q237" i="33"/>
  <c r="J237" i="33"/>
  <c r="H237" i="33"/>
  <c r="G237" i="33"/>
  <c r="AE236" i="33"/>
  <c r="X236" i="33"/>
  <c r="Q236" i="33"/>
  <c r="J236" i="33"/>
  <c r="H236" i="33"/>
  <c r="G236" i="33"/>
  <c r="AE35" i="33"/>
  <c r="X35" i="33"/>
  <c r="Q35" i="33"/>
  <c r="J35" i="33"/>
  <c r="H35" i="33"/>
  <c r="G35" i="33"/>
  <c r="AE161" i="33"/>
  <c r="X161" i="33"/>
  <c r="Q161" i="33"/>
  <c r="J161" i="33"/>
  <c r="H161" i="33"/>
  <c r="G161" i="33"/>
  <c r="AE220" i="33"/>
  <c r="X220" i="33"/>
  <c r="Q220" i="33"/>
  <c r="J220" i="33"/>
  <c r="H220" i="33"/>
  <c r="G220" i="33"/>
  <c r="AE219" i="33"/>
  <c r="X219" i="33"/>
  <c r="Q219" i="33"/>
  <c r="J219" i="33"/>
  <c r="H219" i="33"/>
  <c r="G219" i="33"/>
  <c r="AE218" i="33"/>
  <c r="X218" i="33"/>
  <c r="Q218" i="33"/>
  <c r="J218" i="33"/>
  <c r="H218" i="33"/>
  <c r="G218" i="33"/>
  <c r="J160" i="33"/>
  <c r="H160" i="33"/>
  <c r="G160" i="33"/>
  <c r="J158" i="33"/>
  <c r="H158" i="33"/>
  <c r="G158" i="33"/>
  <c r="AE217" i="33" l="1"/>
  <c r="X217" i="33"/>
  <c r="Q217" i="33"/>
  <c r="J217" i="33"/>
  <c r="H217" i="33"/>
  <c r="G217" i="33"/>
  <c r="AE216" i="33"/>
  <c r="X216" i="33"/>
  <c r="Q216" i="33"/>
  <c r="J216" i="33"/>
  <c r="H216" i="33"/>
  <c r="G216" i="33"/>
  <c r="AE215" i="33"/>
  <c r="X215" i="33"/>
  <c r="Q215" i="33"/>
  <c r="J215" i="33"/>
  <c r="H215" i="33"/>
  <c r="G215" i="33"/>
  <c r="AE157" i="33"/>
  <c r="X157" i="33"/>
  <c r="Q157" i="33"/>
  <c r="J157" i="33"/>
  <c r="H157" i="33"/>
  <c r="AE214" i="33"/>
  <c r="X214" i="33"/>
  <c r="Q214" i="33"/>
  <c r="AI34" i="27"/>
  <c r="J214" i="33"/>
  <c r="H214" i="33"/>
  <c r="G214" i="33"/>
  <c r="AE213" i="33"/>
  <c r="X213" i="33"/>
  <c r="Q213" i="33"/>
  <c r="J213" i="33"/>
  <c r="H213" i="33"/>
  <c r="G213" i="33"/>
  <c r="AE212" i="33"/>
  <c r="X212" i="33"/>
  <c r="Q212" i="33"/>
  <c r="J212" i="33"/>
  <c r="H212" i="33"/>
  <c r="G212" i="33"/>
  <c r="BN16" i="27"/>
  <c r="BO22" i="27"/>
  <c r="BO24" i="27"/>
  <c r="AA144" i="33"/>
  <c r="AB144" i="33" s="1"/>
  <c r="AC144" i="33" s="1"/>
  <c r="AI22" i="27"/>
  <c r="AE152" i="33"/>
  <c r="X152" i="33"/>
  <c r="Q152" i="33"/>
  <c r="J152" i="33"/>
  <c r="H152" i="33"/>
  <c r="G152" i="33"/>
  <c r="AE151" i="33"/>
  <c r="X151" i="33"/>
  <c r="Q151" i="33"/>
  <c r="J151" i="33"/>
  <c r="H151" i="33"/>
  <c r="G151" i="33"/>
  <c r="AE150" i="33"/>
  <c r="X150" i="33"/>
  <c r="Q150" i="33"/>
  <c r="J150" i="33"/>
  <c r="H150" i="33"/>
  <c r="G150" i="33"/>
  <c r="AE149" i="33"/>
  <c r="X149" i="33"/>
  <c r="Q149" i="33"/>
  <c r="J149" i="33"/>
  <c r="H149" i="33"/>
  <c r="G149" i="33"/>
  <c r="AE148" i="33"/>
  <c r="X148" i="33"/>
  <c r="Q148" i="33"/>
  <c r="J148" i="33"/>
  <c r="H148" i="33"/>
  <c r="G148" i="33"/>
  <c r="AE147" i="33"/>
  <c r="X147" i="33"/>
  <c r="Q147" i="33"/>
  <c r="J147" i="33"/>
  <c r="H147" i="33"/>
  <c r="G147" i="33"/>
  <c r="G27" i="33"/>
  <c r="G26" i="33"/>
  <c r="G25" i="33"/>
  <c r="G24" i="33"/>
  <c r="G23" i="33"/>
  <c r="AE211" i="33"/>
  <c r="X211" i="33"/>
  <c r="Q211" i="33"/>
  <c r="J211" i="33"/>
  <c r="H211" i="33"/>
  <c r="G211" i="33"/>
  <c r="AE146" i="33"/>
  <c r="X146" i="33"/>
  <c r="Q146" i="33"/>
  <c r="J146" i="33"/>
  <c r="H146" i="33"/>
  <c r="G146" i="33"/>
  <c r="G145" i="33"/>
  <c r="AE144" i="33"/>
  <c r="X144" i="33"/>
  <c r="Q144" i="33"/>
  <c r="J144" i="33"/>
  <c r="H144" i="33"/>
  <c r="G144" i="33"/>
  <c r="AE143" i="33"/>
  <c r="X143" i="33"/>
  <c r="Q143" i="33"/>
  <c r="J143" i="33"/>
  <c r="H143" i="33"/>
  <c r="G143" i="33"/>
  <c r="G22" i="33"/>
  <c r="G21" i="33"/>
  <c r="G20" i="33"/>
  <c r="G19" i="33"/>
  <c r="G18" i="33"/>
  <c r="AE142" i="33"/>
  <c r="X142" i="33"/>
  <c r="Q142" i="33"/>
  <c r="J142" i="33"/>
  <c r="AE141" i="33"/>
  <c r="X141" i="33"/>
  <c r="Q141" i="33"/>
  <c r="J141" i="33"/>
  <c r="AE140" i="33"/>
  <c r="X140" i="33"/>
  <c r="Q140" i="33"/>
  <c r="J140" i="33"/>
  <c r="AE139" i="33"/>
  <c r="X139" i="33"/>
  <c r="Q139" i="33"/>
  <c r="J139" i="33"/>
  <c r="H142" i="33"/>
  <c r="G142" i="33"/>
  <c r="H141" i="33"/>
  <c r="G141" i="33"/>
  <c r="H140" i="33"/>
  <c r="G140" i="33"/>
  <c r="H139" i="33"/>
  <c r="G139" i="33"/>
  <c r="AE138" i="33"/>
  <c r="X138" i="33"/>
  <c r="Q138" i="33"/>
  <c r="J138" i="33"/>
  <c r="H138" i="33"/>
  <c r="G138" i="33"/>
  <c r="AE210" i="33"/>
  <c r="X210" i="33"/>
  <c r="Q210" i="33"/>
  <c r="J210" i="33"/>
  <c r="AE209" i="33"/>
  <c r="X209" i="33"/>
  <c r="Q209" i="33"/>
  <c r="J209" i="33"/>
  <c r="H210" i="33"/>
  <c r="G210" i="33"/>
  <c r="H209" i="33"/>
  <c r="G209" i="33"/>
  <c r="G17" i="33"/>
  <c r="G16" i="33"/>
  <c r="AE136" i="33"/>
  <c r="X136" i="33"/>
  <c r="Q136" i="33"/>
  <c r="J136" i="33"/>
  <c r="AE133" i="33"/>
  <c r="X133" i="33"/>
  <c r="Q133" i="33"/>
  <c r="J133" i="33"/>
  <c r="K144" i="33" l="1"/>
  <c r="L144" i="33" s="1"/>
  <c r="M144" i="33"/>
  <c r="N144" i="33" s="1"/>
  <c r="O144" i="33" s="1"/>
  <c r="M146" i="33"/>
  <c r="N146" i="33" s="1"/>
  <c r="O146" i="33" s="1"/>
  <c r="T146" i="33"/>
  <c r="U146" i="33" s="1"/>
  <c r="V146" i="33" s="1"/>
  <c r="T144" i="33"/>
  <c r="U144" i="33" s="1"/>
  <c r="V144" i="33" s="1"/>
  <c r="AH144" i="33"/>
  <c r="AI144" i="33" s="1"/>
  <c r="AA146" i="33"/>
  <c r="AB146" i="33" s="1"/>
  <c r="AC146" i="33" s="1"/>
  <c r="AH146" i="33"/>
  <c r="AI146" i="33" s="1"/>
  <c r="H136" i="33"/>
  <c r="H133" i="33"/>
  <c r="G133" i="33"/>
  <c r="G15" i="33"/>
  <c r="E206" i="33"/>
  <c r="J366" i="33"/>
  <c r="J367" i="33" s="1"/>
  <c r="J368" i="33" s="1"/>
  <c r="Q366" i="33"/>
  <c r="Q367" i="33" s="1"/>
  <c r="Q368" i="33" s="1"/>
  <c r="X366" i="33"/>
  <c r="X367" i="33" s="1"/>
  <c r="X368" i="33" s="1"/>
  <c r="AE366" i="33"/>
  <c r="AE367" i="33" s="1"/>
  <c r="AE368" i="33" s="1"/>
  <c r="CB165" i="3" l="1"/>
  <c r="AH206" i="33" s="1"/>
  <c r="AI206" i="33" s="1"/>
  <c r="BZ165" i="3"/>
  <c r="CB176" i="3"/>
  <c r="AH205" i="33" s="1"/>
  <c r="AI205" i="33" s="1"/>
  <c r="BZ176" i="3"/>
  <c r="BR165" i="3"/>
  <c r="AA206" i="33" s="1"/>
  <c r="AB206" i="33" s="1"/>
  <c r="AC206" i="33" s="1"/>
  <c r="BP165" i="3"/>
  <c r="BR176" i="3"/>
  <c r="AA205" i="33" s="1"/>
  <c r="AB205" i="33" s="1"/>
  <c r="BP176" i="3"/>
  <c r="BH165" i="3"/>
  <c r="T206" i="33" s="1"/>
  <c r="U206" i="33" s="1"/>
  <c r="V206" i="33" s="1"/>
  <c r="BF165" i="3"/>
  <c r="BH176" i="3"/>
  <c r="T205" i="33" s="1"/>
  <c r="U205" i="33" s="1"/>
  <c r="BF176" i="3"/>
  <c r="AX165" i="3"/>
  <c r="M206" i="33" s="1"/>
  <c r="N206" i="33" s="1"/>
  <c r="O206" i="33" s="1"/>
  <c r="AV165" i="3"/>
  <c r="AX176" i="3"/>
  <c r="M205" i="33" s="1"/>
  <c r="AV176" i="3"/>
  <c r="B16" i="32" l="1"/>
  <c r="B15" i="32"/>
  <c r="E7" i="32"/>
  <c r="B6" i="32"/>
  <c r="E5" i="32"/>
  <c r="E4" i="32"/>
  <c r="B4" i="32"/>
  <c r="B19" i="32" s="1"/>
  <c r="B24" i="32" s="1"/>
  <c r="E8" i="32" l="1"/>
  <c r="E10" i="32" s="1"/>
  <c r="E12" i="32" s="1"/>
  <c r="B26" i="32" s="1"/>
  <c r="BM140" i="3"/>
  <c r="BW140" i="3"/>
  <c r="CB137" i="3"/>
  <c r="AH291" i="33" s="1"/>
  <c r="AI291" i="33" s="1"/>
  <c r="CA137" i="3"/>
  <c r="BZ137" i="3"/>
  <c r="BM139" i="3"/>
  <c r="BW139" i="3"/>
  <c r="BR137" i="3"/>
  <c r="AA291" i="33" s="1"/>
  <c r="AB291" i="33" s="1"/>
  <c r="AC291" i="33" s="1"/>
  <c r="BQ137" i="3"/>
  <c r="BP137" i="3"/>
  <c r="BH137" i="3"/>
  <c r="T291" i="33" s="1"/>
  <c r="U291" i="33" s="1"/>
  <c r="V291" i="33" s="1"/>
  <c r="BG137" i="3"/>
  <c r="BF137" i="3"/>
  <c r="AX137" i="3"/>
  <c r="M291" i="33" s="1"/>
  <c r="N291" i="33" s="1"/>
  <c r="O291" i="33" s="1"/>
  <c r="AW137" i="3"/>
  <c r="AV137" i="3"/>
  <c r="CL137" i="3"/>
  <c r="CK137" i="3"/>
  <c r="CJ137" i="3"/>
  <c r="CI137" i="3"/>
  <c r="CH137" i="3"/>
  <c r="CG137" i="3"/>
  <c r="CF137" i="3"/>
  <c r="CE137" i="3"/>
  <c r="K291" i="33" s="1"/>
  <c r="L291" i="33" s="1"/>
  <c r="AO137" i="3"/>
  <c r="CC137" i="3" s="1"/>
  <c r="G12" i="32" l="1"/>
  <c r="AY137" i="3"/>
  <c r="BI137" i="3"/>
  <c r="BS137" i="3"/>
  <c r="AO165" i="3"/>
  <c r="AN165" i="3"/>
  <c r="CM94" i="3"/>
  <c r="BB165" i="3" l="1"/>
  <c r="AR165" i="3"/>
  <c r="BV165" i="3"/>
  <c r="BL165" i="3"/>
  <c r="CC165" i="3"/>
  <c r="AS165" i="3"/>
  <c r="AW165" i="3" s="1"/>
  <c r="BS165" i="3"/>
  <c r="BW165" i="3"/>
  <c r="CA165" i="3" s="1"/>
  <c r="BI165" i="3"/>
  <c r="BM165" i="3"/>
  <c r="BQ165" i="3" s="1"/>
  <c r="AY165" i="3"/>
  <c r="BC165" i="3"/>
  <c r="BG165" i="3" s="1"/>
  <c r="AO41" i="3"/>
  <c r="CM11" i="3"/>
  <c r="CM12" i="3"/>
  <c r="CM13" i="3"/>
  <c r="CM27" i="3"/>
  <c r="CM28" i="3"/>
  <c r="CM30" i="3"/>
  <c r="CM32" i="3"/>
  <c r="CM33" i="3"/>
  <c r="CM34" i="3"/>
  <c r="CM36" i="3"/>
  <c r="CM40" i="3"/>
  <c r="CM43" i="3"/>
  <c r="CM44" i="3"/>
  <c r="CM45" i="3"/>
  <c r="CM46" i="3"/>
  <c r="CM47" i="3"/>
  <c r="CM48" i="3"/>
  <c r="CM51" i="3"/>
  <c r="CM52" i="3"/>
  <c r="CM53" i="3"/>
  <c r="CM54" i="3"/>
  <c r="CM55" i="3"/>
  <c r="CM57" i="3"/>
  <c r="CM58" i="3"/>
  <c r="CM59" i="3"/>
  <c r="CM60" i="3"/>
  <c r="CM61" i="3"/>
  <c r="CM62" i="3"/>
  <c r="CM63" i="3"/>
  <c r="CM64" i="3"/>
  <c r="CM65" i="3"/>
  <c r="CM66" i="3"/>
  <c r="CM67" i="3"/>
  <c r="CM68" i="3"/>
  <c r="CM69" i="3"/>
  <c r="CM70" i="3"/>
  <c r="CM71" i="3"/>
  <c r="CM72" i="3"/>
  <c r="CM86" i="3"/>
  <c r="CM87" i="3"/>
  <c r="CM88" i="3"/>
  <c r="CM89" i="3"/>
  <c r="CM90" i="3"/>
  <c r="CM91" i="3"/>
  <c r="CM116" i="3"/>
  <c r="CM117" i="3"/>
  <c r="CM118" i="3"/>
  <c r="CM119" i="3"/>
  <c r="CM120" i="3"/>
  <c r="CM123" i="3"/>
  <c r="CM124" i="3"/>
  <c r="CM125" i="3"/>
  <c r="CM126" i="3"/>
  <c r="CM127" i="3"/>
  <c r="CM128" i="3"/>
  <c r="CM129" i="3"/>
  <c r="CM130" i="3"/>
  <c r="CM131" i="3"/>
  <c r="CM132" i="3"/>
  <c r="CM142" i="3"/>
  <c r="CM154" i="3"/>
  <c r="CM157" i="3"/>
  <c r="CM158" i="3"/>
  <c r="CM164" i="3"/>
  <c r="CK176" i="3"/>
  <c r="AF205" i="33" s="1"/>
  <c r="AG205" i="33" s="1"/>
  <c r="CI176" i="3"/>
  <c r="Y205" i="33" s="1"/>
  <c r="CG176" i="3"/>
  <c r="R205" i="33" s="1"/>
  <c r="CE176" i="3"/>
  <c r="CK165" i="3"/>
  <c r="AF206" i="33" s="1"/>
  <c r="CI165" i="3"/>
  <c r="Y206" i="33" s="1"/>
  <c r="CG165" i="3"/>
  <c r="R206" i="33" s="1"/>
  <c r="CE165" i="3"/>
  <c r="K206" i="33" s="1"/>
  <c r="L206" i="33" s="1"/>
  <c r="CI140" i="3"/>
  <c r="Y297" i="33" s="1"/>
  <c r="Z297" i="33" s="1"/>
  <c r="CG140" i="3"/>
  <c r="R297" i="33" s="1"/>
  <c r="CK178" i="3"/>
  <c r="AF308" i="33" s="1"/>
  <c r="AG308" i="33" s="1"/>
  <c r="CI178" i="3"/>
  <c r="Y308" i="33" s="1"/>
  <c r="Z308" i="33" s="1"/>
  <c r="CG178" i="3"/>
  <c r="R308" i="33" s="1"/>
  <c r="S308" i="33" s="1"/>
  <c r="CE178" i="3"/>
  <c r="K308" i="33" s="1"/>
  <c r="CB178" i="3"/>
  <c r="AH308" i="33" s="1"/>
  <c r="AI308" i="33" s="1"/>
  <c r="BZ178" i="3"/>
  <c r="BR178" i="3"/>
  <c r="AA308" i="33" s="1"/>
  <c r="AB308" i="33" s="1"/>
  <c r="AC308" i="33" s="1"/>
  <c r="BP178" i="3"/>
  <c r="BH178" i="3"/>
  <c r="T308" i="33" s="1"/>
  <c r="U308" i="33" s="1"/>
  <c r="V308" i="33" s="1"/>
  <c r="BF178" i="3"/>
  <c r="AX178" i="3"/>
  <c r="M308" i="33" s="1"/>
  <c r="N308" i="33" s="1"/>
  <c r="AV178" i="3"/>
  <c r="AO178" i="3"/>
  <c r="CC178" i="3" s="1"/>
  <c r="AN178" i="3"/>
  <c r="BB178" i="3" s="1"/>
  <c r="CK177" i="3"/>
  <c r="AF307" i="33" s="1"/>
  <c r="AG307" i="33" s="1"/>
  <c r="CI177" i="3"/>
  <c r="Y307" i="33" s="1"/>
  <c r="Z307" i="33" s="1"/>
  <c r="CG177" i="3"/>
  <c r="R307" i="33" s="1"/>
  <c r="S307" i="33" s="1"/>
  <c r="CE177" i="3"/>
  <c r="K307" i="33" s="1"/>
  <c r="CB177" i="3"/>
  <c r="AH307" i="33" s="1"/>
  <c r="AI307" i="33" s="1"/>
  <c r="BZ177" i="3"/>
  <c r="BR177" i="3"/>
  <c r="AA307" i="33" s="1"/>
  <c r="AB307" i="33" s="1"/>
  <c r="AC307" i="33" s="1"/>
  <c r="BP177" i="3"/>
  <c r="BH177" i="3"/>
  <c r="T307" i="33" s="1"/>
  <c r="U307" i="33" s="1"/>
  <c r="V307" i="33" s="1"/>
  <c r="BF177" i="3"/>
  <c r="AX177" i="3"/>
  <c r="M307" i="33" s="1"/>
  <c r="N307" i="33" s="1"/>
  <c r="AV177" i="3"/>
  <c r="AO177" i="3"/>
  <c r="BM177" i="3" s="1"/>
  <c r="AN177" i="3"/>
  <c r="BB177" i="3" s="1"/>
  <c r="BZ11" i="29"/>
  <c r="BZ12" i="29"/>
  <c r="BZ15" i="29"/>
  <c r="BZ12" i="27"/>
  <c r="BZ22" i="27"/>
  <c r="BZ23" i="27"/>
  <c r="BZ24" i="27"/>
  <c r="BZ31" i="27"/>
  <c r="BM24" i="27"/>
  <c r="BM22" i="27"/>
  <c r="BC24" i="27"/>
  <c r="BC22" i="27"/>
  <c r="AS24" i="27"/>
  <c r="AS22" i="27"/>
  <c r="BX24" i="27"/>
  <c r="BV24" i="27"/>
  <c r="BT24" i="27"/>
  <c r="BR24" i="27"/>
  <c r="BX22" i="27"/>
  <c r="BV22" i="27"/>
  <c r="BT22" i="27"/>
  <c r="BR22" i="27"/>
  <c r="AO179" i="3"/>
  <c r="BW179" i="3" s="1"/>
  <c r="AN179" i="3"/>
  <c r="BV179" i="3" s="1"/>
  <c r="CK179" i="3"/>
  <c r="AF306" i="33" s="1"/>
  <c r="CI179" i="3"/>
  <c r="Y306" i="33" s="1"/>
  <c r="Z306" i="33" s="1"/>
  <c r="CG179" i="3"/>
  <c r="R306" i="33" s="1"/>
  <c r="CE179" i="3"/>
  <c r="K306" i="33" s="1"/>
  <c r="L306" i="33" s="1"/>
  <c r="CB179" i="3"/>
  <c r="AH306" i="33" s="1"/>
  <c r="AI306" i="33" s="1"/>
  <c r="BZ179" i="3"/>
  <c r="BR179" i="3"/>
  <c r="AA306" i="33" s="1"/>
  <c r="AB306" i="33" s="1"/>
  <c r="AC306" i="33" s="1"/>
  <c r="BP179" i="3"/>
  <c r="BH179" i="3"/>
  <c r="T306" i="33" s="1"/>
  <c r="U306" i="33" s="1"/>
  <c r="V306" i="33" s="1"/>
  <c r="BF179" i="3"/>
  <c r="AX179" i="3"/>
  <c r="M306" i="33" s="1"/>
  <c r="N306" i="33" s="1"/>
  <c r="O306" i="33" s="1"/>
  <c r="AV179" i="3"/>
  <c r="AS21" i="27"/>
  <c r="BX21" i="27"/>
  <c r="BV21" i="27"/>
  <c r="BT21" i="27"/>
  <c r="BR21" i="27"/>
  <c r="BO21" i="27"/>
  <c r="BM21" i="27"/>
  <c r="BE21" i="27"/>
  <c r="BC21" i="27"/>
  <c r="AB21" i="27"/>
  <c r="BJ21" i="27" s="1"/>
  <c r="BN21" i="27" s="1"/>
  <c r="AA21" i="27"/>
  <c r="AY21" i="27" s="1"/>
  <c r="BX9" i="27"/>
  <c r="BV9" i="27"/>
  <c r="BT9" i="27"/>
  <c r="BR9" i="27"/>
  <c r="BO9" i="27"/>
  <c r="BM9" i="27"/>
  <c r="AS9" i="27"/>
  <c r="AI9" i="27"/>
  <c r="K133" i="33" s="1"/>
  <c r="BX12" i="27"/>
  <c r="BV12" i="27"/>
  <c r="AF136" i="33"/>
  <c r="AG136" i="33" s="1"/>
  <c r="Y136" i="33"/>
  <c r="Z136" i="33" s="1"/>
  <c r="S136" i="33"/>
  <c r="AK12" i="27"/>
  <c r="AB9" i="27"/>
  <c r="BP9" i="27" s="1"/>
  <c r="AA9" i="27"/>
  <c r="BI9" i="27" s="1"/>
  <c r="K205" i="33" l="1"/>
  <c r="AF146" i="33"/>
  <c r="AG146" i="33" s="1"/>
  <c r="K143" i="33"/>
  <c r="L143" i="33" s="1"/>
  <c r="AH133" i="33"/>
  <c r="AI133" i="33" s="1"/>
  <c r="M143" i="33"/>
  <c r="N143" i="33" s="1"/>
  <c r="O143" i="33" s="1"/>
  <c r="T133" i="33"/>
  <c r="T136" i="33"/>
  <c r="U136" i="33" s="1"/>
  <c r="V136" i="33" s="1"/>
  <c r="Y143" i="33"/>
  <c r="Z143" i="33" s="1"/>
  <c r="T143" i="33"/>
  <c r="U143" i="33" s="1"/>
  <c r="V143" i="33" s="1"/>
  <c r="R144" i="33"/>
  <c r="S144" i="33" s="1"/>
  <c r="AH136" i="33"/>
  <c r="AI136" i="33" s="1"/>
  <c r="AF144" i="33"/>
  <c r="AG144" i="33" s="1"/>
  <c r="AA133" i="33"/>
  <c r="AB133" i="33" s="1"/>
  <c r="M133" i="33"/>
  <c r="AA143" i="33"/>
  <c r="AB143" i="33" s="1"/>
  <c r="AH15" i="33"/>
  <c r="AI15" i="33" s="1"/>
  <c r="R143" i="33"/>
  <c r="S143" i="33" s="1"/>
  <c r="R146" i="33"/>
  <c r="S146" i="33" s="1"/>
  <c r="AA136" i="33"/>
  <c r="AB136" i="33" s="1"/>
  <c r="AC136" i="33" s="1"/>
  <c r="AF143" i="33"/>
  <c r="AG143" i="33" s="1"/>
  <c r="Y144" i="33"/>
  <c r="Z144" i="33" s="1"/>
  <c r="AH143" i="33"/>
  <c r="AI143" i="33" s="1"/>
  <c r="Y146" i="33"/>
  <c r="Z146" i="33" s="1"/>
  <c r="CF165" i="3"/>
  <c r="CH165" i="3"/>
  <c r="CJ165" i="3"/>
  <c r="CL165" i="3"/>
  <c r="CM165" i="3"/>
  <c r="AV21" i="27"/>
  <c r="AO9" i="27"/>
  <c r="AF21" i="27"/>
  <c r="AJ21" i="27" s="1"/>
  <c r="AZ9" i="27"/>
  <c r="AF9" i="27"/>
  <c r="AV9" i="27"/>
  <c r="BJ9" i="27"/>
  <c r="AP9" i="27"/>
  <c r="AY9" i="27"/>
  <c r="AL21" i="27"/>
  <c r="BI21" i="27"/>
  <c r="BF21" i="27"/>
  <c r="AA18" i="33" s="1"/>
  <c r="AO21" i="27"/>
  <c r="AP21" i="27"/>
  <c r="BU21" i="27" s="1"/>
  <c r="AZ21" i="27"/>
  <c r="BW21" i="27" s="1"/>
  <c r="BF9" i="27"/>
  <c r="AA15" i="33" s="1"/>
  <c r="AE9" i="27"/>
  <c r="AL9" i="27"/>
  <c r="AR178" i="3"/>
  <c r="CC177" i="3"/>
  <c r="BS178" i="3"/>
  <c r="BW178" i="3"/>
  <c r="CL178" i="3" s="1"/>
  <c r="AS178" i="3"/>
  <c r="BI178" i="3"/>
  <c r="BV178" i="3"/>
  <c r="BL178" i="3"/>
  <c r="AY178" i="3"/>
  <c r="BM178" i="3"/>
  <c r="BC178" i="3"/>
  <c r="CJ177" i="3"/>
  <c r="BQ177" i="3"/>
  <c r="BC177" i="3"/>
  <c r="AR177" i="3"/>
  <c r="AS177" i="3"/>
  <c r="BS177" i="3"/>
  <c r="BV177" i="3"/>
  <c r="BI177" i="3"/>
  <c r="BW177" i="3"/>
  <c r="BL177" i="3"/>
  <c r="AY177" i="3"/>
  <c r="AY179" i="3"/>
  <c r="BC179" i="3"/>
  <c r="CH179" i="3" s="1"/>
  <c r="BM179" i="3"/>
  <c r="CJ179" i="3" s="1"/>
  <c r="CC179" i="3"/>
  <c r="BY21" i="27"/>
  <c r="CA179" i="3"/>
  <c r="CL179" i="3"/>
  <c r="BB179" i="3"/>
  <c r="BL179" i="3"/>
  <c r="AR179" i="3"/>
  <c r="BS179" i="3"/>
  <c r="AS179" i="3"/>
  <c r="BI179" i="3"/>
  <c r="BP21" i="27"/>
  <c r="AE21" i="27"/>
  <c r="AC134" i="3"/>
  <c r="AS134" i="3" s="1"/>
  <c r="AC143" i="33" l="1"/>
  <c r="CA9" i="27"/>
  <c r="BU9" i="27"/>
  <c r="R15" i="33" s="1"/>
  <c r="AT9" i="27"/>
  <c r="N133" i="33"/>
  <c r="O133" i="33" s="1"/>
  <c r="AT21" i="27"/>
  <c r="Q18" i="33" s="1"/>
  <c r="L133" i="33"/>
  <c r="BS21" i="27"/>
  <c r="K18" i="33" s="1"/>
  <c r="L18" i="33" s="1"/>
  <c r="U133" i="33"/>
  <c r="J18" i="33"/>
  <c r="T18" i="33"/>
  <c r="U18" i="33" s="1"/>
  <c r="V18" i="33" s="1"/>
  <c r="AF18" i="33"/>
  <c r="AG18" i="33" s="1"/>
  <c r="AH18" i="33"/>
  <c r="AI18" i="33" s="1"/>
  <c r="Y18" i="33"/>
  <c r="Z18" i="33" s="1"/>
  <c r="T15" i="33"/>
  <c r="R18" i="33"/>
  <c r="S18" i="33" s="1"/>
  <c r="AC133" i="33"/>
  <c r="M18" i="33"/>
  <c r="N18" i="33" s="1"/>
  <c r="O18" i="33" s="1"/>
  <c r="AB18" i="33"/>
  <c r="AC18" i="33" s="1"/>
  <c r="AB15" i="33"/>
  <c r="AC15" i="33" s="1"/>
  <c r="M15" i="33"/>
  <c r="BD21" i="27"/>
  <c r="BZ21" i="27"/>
  <c r="AJ9" i="27"/>
  <c r="BS9" i="27"/>
  <c r="K15" i="33" s="1"/>
  <c r="BN9" i="27"/>
  <c r="BY9" i="27"/>
  <c r="BZ9" i="27"/>
  <c r="BW9" i="27"/>
  <c r="BD9" i="27"/>
  <c r="CM177" i="3"/>
  <c r="CM179" i="3"/>
  <c r="CF178" i="3"/>
  <c r="CM178" i="3"/>
  <c r="CA178" i="3"/>
  <c r="AW178" i="3"/>
  <c r="BQ179" i="3"/>
  <c r="BG178" i="3"/>
  <c r="CH178" i="3"/>
  <c r="BQ178" i="3"/>
  <c r="CJ178" i="3"/>
  <c r="CH177" i="3"/>
  <c r="BG177" i="3"/>
  <c r="AW177" i="3"/>
  <c r="CF177" i="3"/>
  <c r="CA177" i="3"/>
  <c r="CL177" i="3"/>
  <c r="BG179" i="3"/>
  <c r="CF179" i="3"/>
  <c r="AW179" i="3"/>
  <c r="P25" i="27"/>
  <c r="N15" i="33" l="1"/>
  <c r="S15" i="33"/>
  <c r="U15" i="33"/>
  <c r="AE18" i="33"/>
  <c r="V133" i="33"/>
  <c r="L15" i="33"/>
  <c r="J15" i="33"/>
  <c r="X15" i="33"/>
  <c r="Y15" i="33"/>
  <c r="Z15" i="33" s="1"/>
  <c r="X18" i="33"/>
  <c r="AF15" i="33"/>
  <c r="AG15" i="33" s="1"/>
  <c r="AE15" i="33"/>
  <c r="Q15" i="33"/>
  <c r="AO176" i="3"/>
  <c r="AN176" i="3"/>
  <c r="O15" i="33" l="1"/>
  <c r="V15" i="33"/>
  <c r="BW176" i="3"/>
  <c r="BI176" i="3"/>
  <c r="BM176" i="3"/>
  <c r="BC176" i="3"/>
  <c r="AY176" i="3"/>
  <c r="CC176" i="3"/>
  <c r="AS176" i="3"/>
  <c r="BS176" i="3"/>
  <c r="BV176" i="3"/>
  <c r="AR176" i="3"/>
  <c r="BL176" i="3"/>
  <c r="BB176" i="3"/>
  <c r="CK174" i="3"/>
  <c r="AP18" i="38" s="1"/>
  <c r="CI174" i="3"/>
  <c r="CG174" i="3"/>
  <c r="CE174" i="3"/>
  <c r="K287" i="33" s="1"/>
  <c r="L287" i="33" s="1"/>
  <c r="C18" i="38" s="1"/>
  <c r="CB174" i="3"/>
  <c r="AV18" i="38" s="1"/>
  <c r="BZ174" i="3"/>
  <c r="BR174" i="3"/>
  <c r="BP174" i="3"/>
  <c r="BH174" i="3"/>
  <c r="V18" i="38" s="1"/>
  <c r="BF174" i="3"/>
  <c r="AX174" i="3"/>
  <c r="M287" i="33" s="1"/>
  <c r="AV174" i="3"/>
  <c r="CK173" i="3"/>
  <c r="AF284" i="33" s="1"/>
  <c r="AG284" i="33" s="1"/>
  <c r="CI173" i="3"/>
  <c r="Y284" i="33" s="1"/>
  <c r="Z284" i="33" s="1"/>
  <c r="CG173" i="3"/>
  <c r="R284" i="33" s="1"/>
  <c r="S284" i="33" s="1"/>
  <c r="CE173" i="3"/>
  <c r="K284" i="33" s="1"/>
  <c r="L284" i="33" s="1"/>
  <c r="CB173" i="3"/>
  <c r="AH284" i="33" s="1"/>
  <c r="AI284" i="33" s="1"/>
  <c r="BZ173" i="3"/>
  <c r="BR173" i="3"/>
  <c r="AA284" i="33" s="1"/>
  <c r="AB284" i="33" s="1"/>
  <c r="AC284" i="33" s="1"/>
  <c r="BP173" i="3"/>
  <c r="BH173" i="3"/>
  <c r="T284" i="33" s="1"/>
  <c r="U284" i="33" s="1"/>
  <c r="V284" i="33" s="1"/>
  <c r="BF173" i="3"/>
  <c r="AX173" i="3"/>
  <c r="M284" i="33" s="1"/>
  <c r="AV173" i="3"/>
  <c r="CK172" i="3"/>
  <c r="AF283" i="33" s="1"/>
  <c r="AG283" i="33" s="1"/>
  <c r="CI172" i="3"/>
  <c r="Y283" i="33" s="1"/>
  <c r="Z283" i="33" s="1"/>
  <c r="CG172" i="3"/>
  <c r="R283" i="33" s="1"/>
  <c r="S283" i="33" s="1"/>
  <c r="CE172" i="3"/>
  <c r="K283" i="33" s="1"/>
  <c r="L283" i="33" s="1"/>
  <c r="CB172" i="3"/>
  <c r="AH283" i="33" s="1"/>
  <c r="AI283" i="33" s="1"/>
  <c r="BZ172" i="3"/>
  <c r="BR172" i="3"/>
  <c r="AA283" i="33" s="1"/>
  <c r="AB283" i="33" s="1"/>
  <c r="AC283" i="33" s="1"/>
  <c r="BP172" i="3"/>
  <c r="BH172" i="3"/>
  <c r="T283" i="33" s="1"/>
  <c r="U283" i="33" s="1"/>
  <c r="V283" i="33" s="1"/>
  <c r="BF172" i="3"/>
  <c r="AX172" i="3"/>
  <c r="M283" i="33" s="1"/>
  <c r="AV172" i="3"/>
  <c r="AO174" i="3"/>
  <c r="BS174" i="3" s="1"/>
  <c r="AA122" i="33" s="1"/>
  <c r="AB122" i="33" s="1"/>
  <c r="AC122" i="33" s="1"/>
  <c r="AN174" i="3"/>
  <c r="AR174" i="3" s="1"/>
  <c r="AO173" i="3"/>
  <c r="BW173" i="3" s="1"/>
  <c r="CL173" i="3" s="1"/>
  <c r="AN173" i="3"/>
  <c r="AR173" i="3" s="1"/>
  <c r="AO172" i="3"/>
  <c r="BW172" i="3" s="1"/>
  <c r="CL172" i="3" s="1"/>
  <c r="AN172" i="3"/>
  <c r="BB172" i="3" s="1"/>
  <c r="AO171" i="3"/>
  <c r="CC171" i="3" s="1"/>
  <c r="AN171" i="3"/>
  <c r="BL171" i="3" s="1"/>
  <c r="CK171" i="3"/>
  <c r="AF282" i="33" s="1"/>
  <c r="AG282" i="33" s="1"/>
  <c r="CI171" i="3"/>
  <c r="Y282" i="33" s="1"/>
  <c r="Z282" i="33" s="1"/>
  <c r="CG171" i="3"/>
  <c r="R282" i="33" s="1"/>
  <c r="S282" i="33" s="1"/>
  <c r="CE171" i="3"/>
  <c r="K282" i="33" s="1"/>
  <c r="L282" i="33" s="1"/>
  <c r="CB171" i="3"/>
  <c r="AH282" i="33" s="1"/>
  <c r="AI282" i="33" s="1"/>
  <c r="BZ171" i="3"/>
  <c r="BR171" i="3"/>
  <c r="AA282" i="33" s="1"/>
  <c r="AB282" i="33" s="1"/>
  <c r="AC282" i="33" s="1"/>
  <c r="BP171" i="3"/>
  <c r="BH171" i="3"/>
  <c r="T282" i="33" s="1"/>
  <c r="U282" i="33" s="1"/>
  <c r="V282" i="33" s="1"/>
  <c r="BF171" i="3"/>
  <c r="AX171" i="3"/>
  <c r="M282" i="33" s="1"/>
  <c r="AV171" i="3"/>
  <c r="CK141" i="3"/>
  <c r="AF299" i="33" s="1"/>
  <c r="AG299" i="33" s="1"/>
  <c r="CI141" i="3"/>
  <c r="Y299" i="33" s="1"/>
  <c r="Z299" i="33" s="1"/>
  <c r="CG141" i="3"/>
  <c r="R299" i="33" s="1"/>
  <c r="S299" i="33" s="1"/>
  <c r="CE141" i="3"/>
  <c r="K299" i="33" s="1"/>
  <c r="CB141" i="3"/>
  <c r="AH299" i="33" s="1"/>
  <c r="AI299" i="33" s="1"/>
  <c r="BZ141" i="3"/>
  <c r="BR141" i="3"/>
  <c r="AA299" i="33" s="1"/>
  <c r="AB299" i="33" s="1"/>
  <c r="AC299" i="33" s="1"/>
  <c r="BP141" i="3"/>
  <c r="BH141" i="3"/>
  <c r="T299" i="33" s="1"/>
  <c r="U299" i="33" s="1"/>
  <c r="V299" i="33" s="1"/>
  <c r="BF141" i="3"/>
  <c r="AX141" i="3"/>
  <c r="M299" i="33" s="1"/>
  <c r="N299" i="33" s="1"/>
  <c r="AV141" i="3"/>
  <c r="AO141" i="3"/>
  <c r="CC141" i="3" s="1"/>
  <c r="AN141" i="3"/>
  <c r="BB141" i="3" s="1"/>
  <c r="CK133" i="3"/>
  <c r="AF281" i="33" s="1"/>
  <c r="AG281" i="33" s="1"/>
  <c r="CI133" i="3"/>
  <c r="Y281" i="33" s="1"/>
  <c r="Z281" i="33" s="1"/>
  <c r="CG133" i="3"/>
  <c r="R281" i="33" s="1"/>
  <c r="S281" i="33" s="1"/>
  <c r="CE133" i="3"/>
  <c r="K281" i="33" s="1"/>
  <c r="CB133" i="3"/>
  <c r="AH281" i="33" s="1"/>
  <c r="AI281" i="33" s="1"/>
  <c r="BZ133" i="3"/>
  <c r="BR133" i="3"/>
  <c r="AA281" i="33" s="1"/>
  <c r="AB281" i="33" s="1"/>
  <c r="AC281" i="33" s="1"/>
  <c r="BP133" i="3"/>
  <c r="BH133" i="3"/>
  <c r="T281" i="33" s="1"/>
  <c r="U281" i="33" s="1"/>
  <c r="V281" i="33" s="1"/>
  <c r="BF133" i="3"/>
  <c r="AX133" i="3"/>
  <c r="M281" i="33" s="1"/>
  <c r="N281" i="33" s="1"/>
  <c r="AV133" i="3"/>
  <c r="AO133" i="3"/>
  <c r="CC133" i="3" s="1"/>
  <c r="AN133" i="3"/>
  <c r="BB133" i="3" s="1"/>
  <c r="CK49" i="3"/>
  <c r="AF254" i="33" s="1"/>
  <c r="AG254" i="33" s="1"/>
  <c r="CI49" i="3"/>
  <c r="Y254" i="33" s="1"/>
  <c r="Z254" i="33" s="1"/>
  <c r="CG49" i="3"/>
  <c r="R254" i="33" s="1"/>
  <c r="S254" i="33" s="1"/>
  <c r="CE49" i="3"/>
  <c r="K254" i="33" s="1"/>
  <c r="CB49" i="3"/>
  <c r="AH254" i="33" s="1"/>
  <c r="AI254" i="33" s="1"/>
  <c r="BZ49" i="3"/>
  <c r="BR49" i="3"/>
  <c r="AA254" i="33" s="1"/>
  <c r="AB254" i="33" s="1"/>
  <c r="AC254" i="33" s="1"/>
  <c r="BP49" i="3"/>
  <c r="BH49" i="3"/>
  <c r="T254" i="33" s="1"/>
  <c r="U254" i="33" s="1"/>
  <c r="V254" i="33" s="1"/>
  <c r="BF49" i="3"/>
  <c r="AX49" i="3"/>
  <c r="M254" i="33" s="1"/>
  <c r="N254" i="33" s="1"/>
  <c r="AV49" i="3"/>
  <c r="AO49" i="3"/>
  <c r="BM49" i="3" s="1"/>
  <c r="AN49" i="3"/>
  <c r="BL49" i="3" s="1"/>
  <c r="AJ18" i="38" l="1"/>
  <c r="F18" i="38"/>
  <c r="E18" i="38"/>
  <c r="D18" i="38"/>
  <c r="H18" i="38"/>
  <c r="G18" i="38"/>
  <c r="AV13" i="38"/>
  <c r="BA13" i="38" s="1"/>
  <c r="C13" i="38"/>
  <c r="P13" i="38"/>
  <c r="U13" i="38" s="1"/>
  <c r="AC13" i="38"/>
  <c r="AS18" i="38"/>
  <c r="AQ18" i="38"/>
  <c r="AT18" i="38"/>
  <c r="AU18" i="38"/>
  <c r="AR18" i="38"/>
  <c r="V13" i="38"/>
  <c r="AP13" i="38"/>
  <c r="AY18" i="38"/>
  <c r="AX18" i="38"/>
  <c r="BA18" i="38"/>
  <c r="AW18" i="38"/>
  <c r="AZ18" i="38"/>
  <c r="AH18" i="38"/>
  <c r="AF18" i="38"/>
  <c r="AE18" i="38"/>
  <c r="AG18" i="38"/>
  <c r="AD18" i="38"/>
  <c r="Y18" i="38"/>
  <c r="W18" i="38"/>
  <c r="AA18" i="38" s="1"/>
  <c r="Z18" i="38"/>
  <c r="X18" i="38"/>
  <c r="AI13" i="38"/>
  <c r="S18" i="38"/>
  <c r="Q18" i="38"/>
  <c r="R18" i="38"/>
  <c r="U18" i="38"/>
  <c r="T18" i="38"/>
  <c r="N282" i="33"/>
  <c r="O282" i="33" s="1"/>
  <c r="N284" i="33"/>
  <c r="O284" i="33" s="1"/>
  <c r="N287" i="33"/>
  <c r="O287" i="33" s="1"/>
  <c r="I18" i="38" s="1"/>
  <c r="N283" i="33"/>
  <c r="O283" i="33" s="1"/>
  <c r="AW176" i="3"/>
  <c r="CF176" i="3"/>
  <c r="CM176" i="3"/>
  <c r="BG176" i="3"/>
  <c r="CH176" i="3"/>
  <c r="BQ176" i="3"/>
  <c r="CJ176" i="3"/>
  <c r="CA176" i="3"/>
  <c r="CL176" i="3"/>
  <c r="AS171" i="3"/>
  <c r="BM171" i="3"/>
  <c r="CJ171" i="3" s="1"/>
  <c r="AY171" i="3"/>
  <c r="BS171" i="3"/>
  <c r="BC171" i="3"/>
  <c r="CH171" i="3" s="1"/>
  <c r="BW171" i="3"/>
  <c r="CL171" i="3" s="1"/>
  <c r="AR172" i="3"/>
  <c r="BI171" i="3"/>
  <c r="BC172" i="3"/>
  <c r="CH172" i="3" s="1"/>
  <c r="CC172" i="3"/>
  <c r="AY172" i="3"/>
  <c r="BL173" i="3"/>
  <c r="BV174" i="3"/>
  <c r="BM172" i="3"/>
  <c r="BV173" i="3"/>
  <c r="BM173" i="3"/>
  <c r="AS172" i="3"/>
  <c r="BS172" i="3"/>
  <c r="AY173" i="3"/>
  <c r="CC173" i="3"/>
  <c r="BL174" i="3"/>
  <c r="BI174" i="3"/>
  <c r="T122" i="33" s="1"/>
  <c r="U122" i="33" s="1"/>
  <c r="V122" i="33" s="1"/>
  <c r="BV172" i="3"/>
  <c r="BB173" i="3"/>
  <c r="AY174" i="3"/>
  <c r="M122" i="33" s="1"/>
  <c r="CL174" i="3"/>
  <c r="BI172" i="3"/>
  <c r="BC173" i="3"/>
  <c r="CH173" i="3" s="1"/>
  <c r="BB174" i="3"/>
  <c r="CC174" i="3"/>
  <c r="AH122" i="33" s="1"/>
  <c r="AI122" i="33" s="1"/>
  <c r="BL172" i="3"/>
  <c r="BS173" i="3"/>
  <c r="AS173" i="3"/>
  <c r="BI173" i="3"/>
  <c r="CA173" i="3"/>
  <c r="CA172" i="3"/>
  <c r="BB171" i="3"/>
  <c r="AR171" i="3"/>
  <c r="BV171" i="3"/>
  <c r="BS141" i="3"/>
  <c r="AS141" i="3"/>
  <c r="BW141" i="3"/>
  <c r="CL141" i="3" s="1"/>
  <c r="BI141" i="3"/>
  <c r="AR141" i="3"/>
  <c r="BV141" i="3"/>
  <c r="BL141" i="3"/>
  <c r="AY141" i="3"/>
  <c r="BM141" i="3"/>
  <c r="BC141" i="3"/>
  <c r="AR133" i="3"/>
  <c r="BS133" i="3"/>
  <c r="BV133" i="3"/>
  <c r="BI133" i="3"/>
  <c r="BW133" i="3"/>
  <c r="BL133" i="3"/>
  <c r="AS133" i="3"/>
  <c r="AY133" i="3"/>
  <c r="BM133" i="3"/>
  <c r="BC133" i="3"/>
  <c r="CJ49" i="3"/>
  <c r="BQ49" i="3"/>
  <c r="AS49" i="3"/>
  <c r="BS49" i="3"/>
  <c r="BV49" i="3"/>
  <c r="BB49" i="3"/>
  <c r="BC49" i="3"/>
  <c r="CC49" i="3"/>
  <c r="AR49" i="3"/>
  <c r="BI49" i="3"/>
  <c r="BW49" i="3"/>
  <c r="AY49" i="3"/>
  <c r="AM18" i="38" l="1"/>
  <c r="AN18" i="38"/>
  <c r="AL18" i="38"/>
  <c r="AK18" i="38"/>
  <c r="AH13" i="38"/>
  <c r="AG13" i="38"/>
  <c r="AF13" i="38"/>
  <c r="AE13" i="38"/>
  <c r="AD13" i="38"/>
  <c r="AN13" i="38"/>
  <c r="AM13" i="38"/>
  <c r="AK13" i="38"/>
  <c r="AL13" i="38"/>
  <c r="AJ13" i="38"/>
  <c r="W13" i="38"/>
  <c r="X13" i="38"/>
  <c r="Z13" i="38"/>
  <c r="AA13" i="38"/>
  <c r="Y13" i="38"/>
  <c r="N18" i="38"/>
  <c r="M18" i="38"/>
  <c r="L18" i="38"/>
  <c r="K18" i="38"/>
  <c r="J18" i="38"/>
  <c r="E13" i="38"/>
  <c r="H13" i="38"/>
  <c r="F13" i="38"/>
  <c r="G13" i="38"/>
  <c r="D13" i="38"/>
  <c r="S13" i="38"/>
  <c r="Q13" i="38"/>
  <c r="T13" i="38"/>
  <c r="R13" i="38"/>
  <c r="AY13" i="38"/>
  <c r="AW13" i="38"/>
  <c r="AZ13" i="38"/>
  <c r="AX13" i="38"/>
  <c r="I13" i="38"/>
  <c r="AS13" i="38"/>
  <c r="AT13" i="38"/>
  <c r="AQ13" i="38"/>
  <c r="AR13" i="38"/>
  <c r="AU13" i="38"/>
  <c r="N122" i="33"/>
  <c r="O122" i="33" s="1"/>
  <c r="AW141" i="3"/>
  <c r="CM141" i="3"/>
  <c r="CM173" i="3"/>
  <c r="CM133" i="3"/>
  <c r="CM174" i="3"/>
  <c r="CM49" i="3"/>
  <c r="CM172" i="3"/>
  <c r="CF171" i="3"/>
  <c r="CM171" i="3"/>
  <c r="AW171" i="3"/>
  <c r="BG171" i="3"/>
  <c r="CA171" i="3"/>
  <c r="BQ171" i="3"/>
  <c r="BG172" i="3"/>
  <c r="CA141" i="3"/>
  <c r="CF141" i="3"/>
  <c r="CJ172" i="3"/>
  <c r="BQ172" i="3"/>
  <c r="CA174" i="3"/>
  <c r="AE122" i="33" s="1"/>
  <c r="CF173" i="3"/>
  <c r="AW173" i="3"/>
  <c r="CH174" i="3"/>
  <c r="BG174" i="3"/>
  <c r="Q122" i="33" s="1"/>
  <c r="AW174" i="3"/>
  <c r="J122" i="33" s="1"/>
  <c r="CF174" i="3"/>
  <c r="K122" i="33" s="1"/>
  <c r="L122" i="33" s="1"/>
  <c r="CJ174" i="3"/>
  <c r="BQ174" i="3"/>
  <c r="X122" i="33" s="1"/>
  <c r="CF172" i="3"/>
  <c r="AW172" i="3"/>
  <c r="BG173" i="3"/>
  <c r="CJ173" i="3"/>
  <c r="BQ173" i="3"/>
  <c r="CH141" i="3"/>
  <c r="BG141" i="3"/>
  <c r="BQ141" i="3"/>
  <c r="CJ141" i="3"/>
  <c r="CL133" i="3"/>
  <c r="CA133" i="3"/>
  <c r="CH133" i="3"/>
  <c r="BG133" i="3"/>
  <c r="AW133" i="3"/>
  <c r="CF133" i="3"/>
  <c r="BQ133" i="3"/>
  <c r="CJ133" i="3"/>
  <c r="CA49" i="3"/>
  <c r="CL49" i="3"/>
  <c r="AW49" i="3"/>
  <c r="CF49" i="3"/>
  <c r="CH49" i="3"/>
  <c r="BG49" i="3"/>
  <c r="M13" i="38" l="1"/>
  <c r="L13" i="38"/>
  <c r="K13" i="38"/>
  <c r="J13" i="38"/>
  <c r="N13" i="38"/>
  <c r="CK42" i="3"/>
  <c r="AF249" i="33" s="1"/>
  <c r="AG249" i="33" s="1"/>
  <c r="CI42" i="3"/>
  <c r="Y249" i="33" s="1"/>
  <c r="Z249" i="33" s="1"/>
  <c r="CG42" i="3"/>
  <c r="R249" i="33" s="1"/>
  <c r="S249" i="33" s="1"/>
  <c r="CE42" i="3"/>
  <c r="K249" i="33" s="1"/>
  <c r="AH249" i="33"/>
  <c r="AI249" i="33" s="1"/>
  <c r="BZ42" i="3"/>
  <c r="AA249" i="33"/>
  <c r="AB249" i="33" s="1"/>
  <c r="AC249" i="33" s="1"/>
  <c r="BP42" i="3"/>
  <c r="T249" i="33"/>
  <c r="U249" i="33" s="1"/>
  <c r="V249" i="33" s="1"/>
  <c r="BF42" i="3"/>
  <c r="AX42" i="3"/>
  <c r="M249" i="33" s="1"/>
  <c r="N249" i="33" s="1"/>
  <c r="AO42" i="3"/>
  <c r="CC42" i="3" s="1"/>
  <c r="AN42" i="3"/>
  <c r="BB42" i="3" s="1"/>
  <c r="CK18" i="3"/>
  <c r="AF244" i="33" s="1"/>
  <c r="AG244" i="33" s="1"/>
  <c r="CI18" i="3"/>
  <c r="Y244" i="33" s="1"/>
  <c r="Z244" i="33" s="1"/>
  <c r="CG18" i="3"/>
  <c r="R244" i="33" s="1"/>
  <c r="S244" i="33" s="1"/>
  <c r="CE18" i="3"/>
  <c r="K244" i="33" s="1"/>
  <c r="BZ18" i="3"/>
  <c r="BP18" i="3"/>
  <c r="BF18" i="3"/>
  <c r="AV18" i="3"/>
  <c r="AN18" i="3"/>
  <c r="BB18" i="3" s="1"/>
  <c r="AX18" i="3"/>
  <c r="M244" i="33" s="1"/>
  <c r="N244" i="33" s="1"/>
  <c r="BH18" i="3"/>
  <c r="T244" i="33" s="1"/>
  <c r="U244" i="33" s="1"/>
  <c r="V244" i="33" s="1"/>
  <c r="BR18" i="3"/>
  <c r="AA244" i="33" s="1"/>
  <c r="AB244" i="33" s="1"/>
  <c r="AC244" i="33" s="1"/>
  <c r="CB18" i="3"/>
  <c r="AH244" i="33" s="1"/>
  <c r="AI244" i="33" s="1"/>
  <c r="AO18" i="3"/>
  <c r="BS18" i="3" s="1"/>
  <c r="AS18" i="3" l="1"/>
  <c r="BI18" i="3"/>
  <c r="AY18" i="3"/>
  <c r="BW18" i="3"/>
  <c r="CL18" i="3" s="1"/>
  <c r="BM18" i="3"/>
  <c r="BC18" i="3"/>
  <c r="AR42" i="3"/>
  <c r="BV42" i="3"/>
  <c r="AS42" i="3"/>
  <c r="AW42" i="3" s="1"/>
  <c r="BS42" i="3"/>
  <c r="BI42" i="3"/>
  <c r="BW42" i="3"/>
  <c r="BL42" i="3"/>
  <c r="AY42" i="3"/>
  <c r="BM42" i="3"/>
  <c r="BC42" i="3"/>
  <c r="AR18" i="3"/>
  <c r="BV18" i="3"/>
  <c r="BL18" i="3"/>
  <c r="CC18" i="3"/>
  <c r="CM42" i="3" l="1"/>
  <c r="CF18" i="3"/>
  <c r="CM18" i="3"/>
  <c r="CA18" i="3"/>
  <c r="AW18" i="3"/>
  <c r="BG18" i="3"/>
  <c r="CH18" i="3"/>
  <c r="BQ18" i="3"/>
  <c r="CJ18" i="3"/>
  <c r="BQ42" i="3"/>
  <c r="CJ42" i="3"/>
  <c r="CL42" i="3"/>
  <c r="CA42" i="3"/>
  <c r="CF42" i="3"/>
  <c r="CH42" i="3"/>
  <c r="BG42" i="3"/>
  <c r="E18" i="31" l="1"/>
  <c r="D18" i="31"/>
  <c r="C18" i="31"/>
  <c r="F18" i="31"/>
  <c r="C16" i="31"/>
  <c r="D16" i="31"/>
  <c r="E16" i="31"/>
  <c r="H16" i="31"/>
  <c r="I16" i="31"/>
  <c r="J16" i="31"/>
  <c r="F14" i="31"/>
  <c r="K14" i="31" s="1"/>
  <c r="F13" i="31"/>
  <c r="G10" i="31"/>
  <c r="F10" i="31"/>
  <c r="F16" i="31" s="1"/>
  <c r="G9" i="31"/>
  <c r="G7" i="31"/>
  <c r="K3" i="31"/>
  <c r="G16" i="31" l="1"/>
  <c r="K18" i="31" l="1"/>
  <c r="K4" i="31"/>
  <c r="K5" i="31"/>
  <c r="K6" i="31"/>
  <c r="K7" i="31"/>
  <c r="K8" i="31"/>
  <c r="K9" i="31"/>
  <c r="K10" i="31"/>
  <c r="K11" i="31"/>
  <c r="K12" i="31"/>
  <c r="K13" i="31"/>
  <c r="K2" i="31"/>
  <c r="G18" i="31"/>
  <c r="H18" i="31"/>
  <c r="I18" i="31"/>
  <c r="J18" i="31"/>
  <c r="B18" i="31"/>
  <c r="B16" i="31"/>
  <c r="CK17" i="3"/>
  <c r="AF245" i="33" s="1"/>
  <c r="AG245" i="33" s="1"/>
  <c r="CI17" i="3"/>
  <c r="Y245" i="33" s="1"/>
  <c r="Z245" i="33" s="1"/>
  <c r="CG17" i="3"/>
  <c r="R245" i="33" s="1"/>
  <c r="K245" i="33"/>
  <c r="CB17" i="3"/>
  <c r="AH245" i="33" s="1"/>
  <c r="AI245" i="33" s="1"/>
  <c r="BZ17" i="3"/>
  <c r="BR17" i="3"/>
  <c r="AA245" i="33" s="1"/>
  <c r="AB245" i="33" s="1"/>
  <c r="AC245" i="33" s="1"/>
  <c r="BP17" i="3"/>
  <c r="BH17" i="3"/>
  <c r="T245" i="33" s="1"/>
  <c r="U245" i="33" s="1"/>
  <c r="BF17" i="3"/>
  <c r="AX17" i="3"/>
  <c r="M245" i="33" s="1"/>
  <c r="N245" i="33" s="1"/>
  <c r="AV17" i="3"/>
  <c r="AN17" i="3"/>
  <c r="BL17" i="3" s="1"/>
  <c r="AO17" i="3"/>
  <c r="BS17" i="3" s="1"/>
  <c r="K16" i="31" l="1"/>
  <c r="BB17" i="3"/>
  <c r="BI17" i="3"/>
  <c r="BW17" i="3"/>
  <c r="BM17" i="3"/>
  <c r="AR17" i="3"/>
  <c r="BV17" i="3"/>
  <c r="AS17" i="3"/>
  <c r="AY17" i="3"/>
  <c r="CC17" i="3"/>
  <c r="BC17" i="3"/>
  <c r="CH17" i="3" s="1"/>
  <c r="CK170" i="3"/>
  <c r="AF181" i="33" s="1"/>
  <c r="AG181" i="33" s="1"/>
  <c r="CI170" i="3"/>
  <c r="Y181" i="33" s="1"/>
  <c r="Z181" i="33" s="1"/>
  <c r="CG170" i="3"/>
  <c r="R181" i="33" s="1"/>
  <c r="S181" i="33" s="1"/>
  <c r="CE170" i="3"/>
  <c r="K181" i="33" s="1"/>
  <c r="L181" i="33" s="1"/>
  <c r="CB170" i="3"/>
  <c r="AH181" i="33" s="1"/>
  <c r="AI181" i="33" s="1"/>
  <c r="BZ170" i="3"/>
  <c r="BR170" i="3"/>
  <c r="AA181" i="33" s="1"/>
  <c r="AB181" i="33" s="1"/>
  <c r="AC181" i="33" s="1"/>
  <c r="BP170" i="3"/>
  <c r="BH170" i="3"/>
  <c r="T181" i="33" s="1"/>
  <c r="U181" i="33" s="1"/>
  <c r="V181" i="33" s="1"/>
  <c r="BF170" i="3"/>
  <c r="AX170" i="3"/>
  <c r="M181" i="33" s="1"/>
  <c r="AV170" i="3"/>
  <c r="AO170" i="3"/>
  <c r="CC170" i="3" s="1"/>
  <c r="AN170" i="3"/>
  <c r="BB170" i="3" s="1"/>
  <c r="CK168" i="3"/>
  <c r="AF179" i="33" s="1"/>
  <c r="CI168" i="3"/>
  <c r="Y179" i="33" s="1"/>
  <c r="Z179" i="33" s="1"/>
  <c r="CG168" i="3"/>
  <c r="R179" i="33" s="1"/>
  <c r="CE168" i="3"/>
  <c r="K179" i="33" s="1"/>
  <c r="CB168" i="3"/>
  <c r="AH179" i="33" s="1"/>
  <c r="AI179" i="33" s="1"/>
  <c r="BZ168" i="3"/>
  <c r="BR168" i="3"/>
  <c r="AA179" i="33" s="1"/>
  <c r="AB179" i="33" s="1"/>
  <c r="AC179" i="33" s="1"/>
  <c r="BP168" i="3"/>
  <c r="BH168" i="3"/>
  <c r="T179" i="33" s="1"/>
  <c r="U179" i="33" s="1"/>
  <c r="BF168" i="3"/>
  <c r="AX168" i="3"/>
  <c r="M179" i="33" s="1"/>
  <c r="N179" i="33" s="1"/>
  <c r="AV168" i="3"/>
  <c r="AO168" i="3"/>
  <c r="CC168" i="3" s="1"/>
  <c r="AN168" i="3"/>
  <c r="BB168" i="3" s="1"/>
  <c r="CK166" i="3"/>
  <c r="AF177" i="33" s="1"/>
  <c r="CI166" i="3"/>
  <c r="Y177" i="33" s="1"/>
  <c r="Z177" i="33" s="1"/>
  <c r="CG166" i="3"/>
  <c r="R177" i="33" s="1"/>
  <c r="CE166" i="3"/>
  <c r="K177" i="33" s="1"/>
  <c r="CB166" i="3"/>
  <c r="AH177" i="33" s="1"/>
  <c r="AI177" i="33" s="1"/>
  <c r="BZ166" i="3"/>
  <c r="BR166" i="3"/>
  <c r="AA177" i="33" s="1"/>
  <c r="AB177" i="33" s="1"/>
  <c r="AC177" i="33" s="1"/>
  <c r="BP166" i="3"/>
  <c r="BH166" i="3"/>
  <c r="T177" i="33" s="1"/>
  <c r="U177" i="33" s="1"/>
  <c r="BF166" i="3"/>
  <c r="AX166" i="3"/>
  <c r="M177" i="33" s="1"/>
  <c r="N177" i="33" s="1"/>
  <c r="AV166" i="3"/>
  <c r="AO166" i="3"/>
  <c r="AN166" i="3"/>
  <c r="BB166" i="3" s="1"/>
  <c r="BS166" i="3" l="1"/>
  <c r="CC188" i="3"/>
  <c r="N181" i="33"/>
  <c r="O181" i="33" s="1"/>
  <c r="AW17" i="3"/>
  <c r="CM17" i="3"/>
  <c r="BG17" i="3"/>
  <c r="BV166" i="3"/>
  <c r="BI166" i="3"/>
  <c r="AY166" i="3"/>
  <c r="CF17" i="3"/>
  <c r="CJ17" i="3"/>
  <c r="BQ17" i="3"/>
  <c r="CA17" i="3"/>
  <c r="CL17" i="3"/>
  <c r="BM166" i="3"/>
  <c r="BQ166" i="3" s="1"/>
  <c r="BS168" i="3"/>
  <c r="AY168" i="3"/>
  <c r="AS168" i="3"/>
  <c r="AW168" i="3" s="1"/>
  <c r="BW168" i="3"/>
  <c r="CL168" i="3" s="1"/>
  <c r="BI168" i="3"/>
  <c r="BM168" i="3"/>
  <c r="BQ168" i="3" s="1"/>
  <c r="BL168" i="3"/>
  <c r="AR168" i="3"/>
  <c r="BV168" i="3"/>
  <c r="BW166" i="3"/>
  <c r="AR170" i="3"/>
  <c r="AS170" i="3"/>
  <c r="BS170" i="3"/>
  <c r="BL166" i="3"/>
  <c r="BV170" i="3"/>
  <c r="BC166" i="3"/>
  <c r="CC166" i="3"/>
  <c r="BI170" i="3"/>
  <c r="BW170" i="3"/>
  <c r="AR166" i="3"/>
  <c r="BL170" i="3"/>
  <c r="AS166" i="3"/>
  <c r="AW166" i="3" s="1"/>
  <c r="BC168" i="3"/>
  <c r="AY170" i="3"/>
  <c r="BM170" i="3"/>
  <c r="BC170" i="3"/>
  <c r="CL166" i="3" l="1"/>
  <c r="CA188" i="3"/>
  <c r="CM170" i="3"/>
  <c r="CF168" i="3"/>
  <c r="CM168" i="3"/>
  <c r="CM166" i="3"/>
  <c r="CA168" i="3"/>
  <c r="CJ166" i="3"/>
  <c r="CJ168" i="3"/>
  <c r="CA166" i="3"/>
  <c r="BQ170" i="3"/>
  <c r="CJ170" i="3"/>
  <c r="BG168" i="3"/>
  <c r="CH168" i="3"/>
  <c r="CL170" i="3"/>
  <c r="CA170" i="3"/>
  <c r="CH170" i="3"/>
  <c r="BG170" i="3"/>
  <c r="AW170" i="3"/>
  <c r="CF170" i="3"/>
  <c r="CF166" i="3"/>
  <c r="CH166" i="3"/>
  <c r="BG166" i="3"/>
  <c r="BC9" i="3" l="1"/>
  <c r="P15" i="27" l="1"/>
  <c r="AC23" i="3" l="1"/>
  <c r="CL164" i="3" l="1"/>
  <c r="CK164" i="3"/>
  <c r="AF255" i="33" s="1"/>
  <c r="CJ164" i="3"/>
  <c r="CI164" i="3"/>
  <c r="Y255" i="33" s="1"/>
  <c r="Z255" i="33" s="1"/>
  <c r="CH164" i="3"/>
  <c r="CG164" i="3"/>
  <c r="R255" i="33" s="1"/>
  <c r="S255" i="33" s="1"/>
  <c r="CF164" i="3"/>
  <c r="CE164" i="3"/>
  <c r="K255" i="33" s="1"/>
  <c r="L255" i="33" s="1"/>
  <c r="CB164" i="3"/>
  <c r="AH255" i="33" s="1"/>
  <c r="AI255" i="33" s="1"/>
  <c r="CA164" i="3"/>
  <c r="BZ164" i="3"/>
  <c r="BR164" i="3"/>
  <c r="AA255" i="33" s="1"/>
  <c r="AB255" i="33" s="1"/>
  <c r="AC255" i="33" s="1"/>
  <c r="BQ164" i="3"/>
  <c r="BP164" i="3"/>
  <c r="BH164" i="3"/>
  <c r="T255" i="33" s="1"/>
  <c r="U255" i="33" s="1"/>
  <c r="V255" i="33" s="1"/>
  <c r="BG164" i="3"/>
  <c r="BF164" i="3"/>
  <c r="AX164" i="3"/>
  <c r="AW164" i="3"/>
  <c r="AV164" i="3"/>
  <c r="AO164" i="3"/>
  <c r="CC164" i="3" s="1"/>
  <c r="AN164" i="3"/>
  <c r="AR164" i="3" s="1"/>
  <c r="N205" i="33" l="1"/>
  <c r="M255" i="33"/>
  <c r="N255" i="33" s="1"/>
  <c r="O255" i="33" s="1"/>
  <c r="AY164" i="3"/>
  <c r="BI164" i="3"/>
  <c r="BL164" i="3"/>
  <c r="BS164" i="3"/>
  <c r="BV164" i="3"/>
  <c r="BB164" i="3"/>
  <c r="CL120" i="3" l="1"/>
  <c r="CK120" i="3"/>
  <c r="AF279" i="33" s="1"/>
  <c r="CJ120" i="3"/>
  <c r="CI120" i="3"/>
  <c r="Y279" i="33" s="1"/>
  <c r="Z279" i="33" s="1"/>
  <c r="CH120" i="3"/>
  <c r="CG120" i="3"/>
  <c r="R279" i="33" s="1"/>
  <c r="CF120" i="3"/>
  <c r="CE120" i="3"/>
  <c r="K279" i="33" s="1"/>
  <c r="CB120" i="3"/>
  <c r="AH279" i="33" s="1"/>
  <c r="AI279" i="33" s="1"/>
  <c r="CA120" i="3"/>
  <c r="BZ120" i="3"/>
  <c r="CL119" i="3"/>
  <c r="CK119" i="3"/>
  <c r="AF278" i="33" s="1"/>
  <c r="CJ119" i="3"/>
  <c r="CI119" i="3"/>
  <c r="Y278" i="33" s="1"/>
  <c r="Z278" i="33" s="1"/>
  <c r="CH119" i="3"/>
  <c r="CG119" i="3"/>
  <c r="R278" i="33" s="1"/>
  <c r="CF119" i="3"/>
  <c r="CE119" i="3"/>
  <c r="K278" i="33" s="1"/>
  <c r="CB119" i="3"/>
  <c r="AH278" i="33" s="1"/>
  <c r="AI278" i="33" s="1"/>
  <c r="CA119" i="3"/>
  <c r="BZ119" i="3"/>
  <c r="BR120" i="3"/>
  <c r="AA279" i="33" s="1"/>
  <c r="AB279" i="33" s="1"/>
  <c r="AC279" i="33" s="1"/>
  <c r="BQ120" i="3"/>
  <c r="BP120" i="3"/>
  <c r="BR119" i="3"/>
  <c r="AA278" i="33" s="1"/>
  <c r="AB278" i="33" s="1"/>
  <c r="AC278" i="33" s="1"/>
  <c r="BQ119" i="3"/>
  <c r="BP119" i="3"/>
  <c r="AX120" i="3"/>
  <c r="M279" i="33" s="1"/>
  <c r="N279" i="33" s="1"/>
  <c r="AW120" i="3"/>
  <c r="AV120" i="3"/>
  <c r="AX119" i="3"/>
  <c r="M278" i="33" s="1"/>
  <c r="N278" i="33" s="1"/>
  <c r="AW119" i="3"/>
  <c r="AV119" i="3"/>
  <c r="BH120" i="3"/>
  <c r="T279" i="33" s="1"/>
  <c r="U279" i="33" s="1"/>
  <c r="BG120" i="3"/>
  <c r="BF120" i="3"/>
  <c r="BH119" i="3"/>
  <c r="T278" i="33" s="1"/>
  <c r="U278" i="33" s="1"/>
  <c r="BG119" i="3"/>
  <c r="BF119" i="3"/>
  <c r="AO120" i="3"/>
  <c r="BS120" i="3" s="1"/>
  <c r="AN120" i="3"/>
  <c r="BB120" i="3" s="1"/>
  <c r="AO119" i="3"/>
  <c r="AY119" i="3" s="1"/>
  <c r="AN119" i="3"/>
  <c r="BV119" i="3" s="1"/>
  <c r="AY120" i="3" l="1"/>
  <c r="BV120" i="3"/>
  <c r="AR120" i="3"/>
  <c r="BI119" i="3"/>
  <c r="BB119" i="3"/>
  <c r="BS119" i="3"/>
  <c r="CC120" i="3"/>
  <c r="BI120" i="3"/>
  <c r="BL120" i="3"/>
  <c r="AR119" i="3"/>
  <c r="CC119" i="3"/>
  <c r="BL119" i="3"/>
  <c r="BW50" i="3" l="1"/>
  <c r="CB117" i="3" l="1"/>
  <c r="CA117" i="3"/>
  <c r="BZ117" i="3"/>
  <c r="CB116" i="3"/>
  <c r="CA116" i="3"/>
  <c r="BZ116" i="3"/>
  <c r="CC115" i="3"/>
  <c r="CB115" i="3"/>
  <c r="BZ115" i="3"/>
  <c r="CC114" i="3"/>
  <c r="CB114" i="3"/>
  <c r="AH351" i="33" s="1"/>
  <c r="AI351" i="33" s="1"/>
  <c r="CA114" i="3"/>
  <c r="AE117" i="33" s="1"/>
  <c r="BZ114" i="3"/>
  <c r="CC113" i="3"/>
  <c r="CB113" i="3"/>
  <c r="CA113" i="3"/>
  <c r="BZ113" i="3"/>
  <c r="CL117" i="3"/>
  <c r="CK117" i="3"/>
  <c r="CJ117" i="3"/>
  <c r="Y120" i="33" s="1"/>
  <c r="CI117" i="3"/>
  <c r="Y355" i="33" s="1"/>
  <c r="CH117" i="3"/>
  <c r="CG117" i="3"/>
  <c r="CF117" i="3"/>
  <c r="K120" i="33" s="1"/>
  <c r="CE117" i="3"/>
  <c r="K355" i="33" s="1"/>
  <c r="CL116" i="3"/>
  <c r="CK116" i="3"/>
  <c r="CJ116" i="3"/>
  <c r="Y119" i="33" s="1"/>
  <c r="CI116" i="3"/>
  <c r="Y354" i="33" s="1"/>
  <c r="CH116" i="3"/>
  <c r="CG116" i="3"/>
  <c r="CF116" i="3"/>
  <c r="K119" i="33" s="1"/>
  <c r="CE116" i="3"/>
  <c r="K354" i="33" s="1"/>
  <c r="CK115" i="3"/>
  <c r="CJ115" i="3"/>
  <c r="Y118" i="33" s="1"/>
  <c r="CI115" i="3"/>
  <c r="Y353" i="33" s="1"/>
  <c r="CG115" i="3"/>
  <c r="CF115" i="3"/>
  <c r="K118" i="33" s="1"/>
  <c r="CE115" i="3"/>
  <c r="K353" i="33" s="1"/>
  <c r="CL114" i="3"/>
  <c r="AF117" i="33" s="1"/>
  <c r="CK114" i="3"/>
  <c r="AF351" i="33" s="1"/>
  <c r="CI114" i="3"/>
  <c r="CH114" i="3"/>
  <c r="R117" i="33" s="1"/>
  <c r="CG114" i="3"/>
  <c r="R351" i="33" s="1"/>
  <c r="CF114" i="3"/>
  <c r="K117" i="33" s="1"/>
  <c r="CE114" i="3"/>
  <c r="CL113" i="3"/>
  <c r="CK113" i="3"/>
  <c r="CI113" i="3"/>
  <c r="CH113" i="3"/>
  <c r="CG113" i="3"/>
  <c r="CF113" i="3"/>
  <c r="CE113" i="3"/>
  <c r="CL94" i="3"/>
  <c r="AF97" i="33" s="1"/>
  <c r="AG97" i="33" s="1"/>
  <c r="CK94" i="3"/>
  <c r="AF332" i="33" s="1"/>
  <c r="AG332" i="33" s="1"/>
  <c r="CJ94" i="3"/>
  <c r="Y97" i="33" s="1"/>
  <c r="Z97" i="33" s="1"/>
  <c r="CI94" i="3"/>
  <c r="Y332" i="33" s="1"/>
  <c r="Z332" i="33" s="1"/>
  <c r="CG94" i="3"/>
  <c r="R332" i="33" s="1"/>
  <c r="S332" i="33" s="1"/>
  <c r="CF94" i="3"/>
  <c r="K97" i="33" s="1"/>
  <c r="CE94" i="3"/>
  <c r="K332" i="33" s="1"/>
  <c r="L332" i="33" s="1"/>
  <c r="C11" i="38" s="1"/>
  <c r="CK93" i="3"/>
  <c r="AF331" i="33" s="1"/>
  <c r="CI93" i="3"/>
  <c r="Y331" i="33" s="1"/>
  <c r="Z331" i="33" s="1"/>
  <c r="CG93" i="3"/>
  <c r="R331" i="33" s="1"/>
  <c r="CF93" i="3"/>
  <c r="CE93" i="3"/>
  <c r="K331" i="33" s="1"/>
  <c r="CK92" i="3"/>
  <c r="AF330" i="33" s="1"/>
  <c r="AG330" i="33" s="1"/>
  <c r="CI92" i="3"/>
  <c r="Y330" i="33" s="1"/>
  <c r="Z330" i="33" s="1"/>
  <c r="CG92" i="3"/>
  <c r="R330" i="33" s="1"/>
  <c r="S330" i="33" s="1"/>
  <c r="CF92" i="3"/>
  <c r="CE92" i="3"/>
  <c r="K330" i="33" s="1"/>
  <c r="L330" i="33" s="1"/>
  <c r="CL91" i="3"/>
  <c r="CK91" i="3"/>
  <c r="AF329" i="33" s="1"/>
  <c r="CJ91" i="3"/>
  <c r="CI91" i="3"/>
  <c r="Y329" i="33" s="1"/>
  <c r="Z329" i="33" s="1"/>
  <c r="CH91" i="3"/>
  <c r="CG91" i="3"/>
  <c r="R329" i="33" s="1"/>
  <c r="CF91" i="3"/>
  <c r="CE91" i="3"/>
  <c r="K329" i="33" s="1"/>
  <c r="CL90" i="3"/>
  <c r="CK90" i="3"/>
  <c r="AF328" i="33" s="1"/>
  <c r="AG328" i="33" s="1"/>
  <c r="CJ90" i="3"/>
  <c r="CI90" i="3"/>
  <c r="Y328" i="33" s="1"/>
  <c r="CH90" i="3"/>
  <c r="CG90" i="3"/>
  <c r="R328" i="33" s="1"/>
  <c r="CF90" i="3"/>
  <c r="CE90" i="3"/>
  <c r="K328" i="33" s="1"/>
  <c r="CL89" i="3"/>
  <c r="CK89" i="3"/>
  <c r="AF327" i="33" s="1"/>
  <c r="AG327" i="33" s="1"/>
  <c r="CJ89" i="3"/>
  <c r="CI89" i="3"/>
  <c r="Y327" i="33" s="1"/>
  <c r="CH89" i="3"/>
  <c r="CG89" i="3"/>
  <c r="R327" i="33" s="1"/>
  <c r="CF89" i="3"/>
  <c r="CE89" i="3"/>
  <c r="K327" i="33" s="1"/>
  <c r="CL88" i="3"/>
  <c r="CK88" i="3"/>
  <c r="AF326" i="33" s="1"/>
  <c r="CJ88" i="3"/>
  <c r="CI88" i="3"/>
  <c r="Y326" i="33" s="1"/>
  <c r="Z326" i="33" s="1"/>
  <c r="CH88" i="3"/>
  <c r="CG88" i="3"/>
  <c r="R326" i="33" s="1"/>
  <c r="CF88" i="3"/>
  <c r="CE88" i="3"/>
  <c r="K326" i="33" s="1"/>
  <c r="CL87" i="3"/>
  <c r="CK87" i="3"/>
  <c r="AF325" i="33" s="1"/>
  <c r="CJ87" i="3"/>
  <c r="CI87" i="3"/>
  <c r="Y325" i="33" s="1"/>
  <c r="CH87" i="3"/>
  <c r="CG87" i="3"/>
  <c r="R325" i="33" s="1"/>
  <c r="S325" i="33" s="1"/>
  <c r="CF87" i="3"/>
  <c r="CE87" i="3"/>
  <c r="K325" i="33" s="1"/>
  <c r="CL86" i="3"/>
  <c r="CK86" i="3"/>
  <c r="AF324" i="33" s="1"/>
  <c r="CJ86" i="3"/>
  <c r="CI86" i="3"/>
  <c r="Y324" i="33" s="1"/>
  <c r="Z324" i="33" s="1"/>
  <c r="CH86" i="3"/>
  <c r="CG86" i="3"/>
  <c r="R324" i="33" s="1"/>
  <c r="CF86" i="3"/>
  <c r="CE86" i="3"/>
  <c r="K324" i="33" s="1"/>
  <c r="CK79" i="3"/>
  <c r="AF323" i="33" s="1"/>
  <c r="AG323" i="33" s="1"/>
  <c r="CJ79" i="3"/>
  <c r="Y90" i="33" s="1"/>
  <c r="CI79" i="3"/>
  <c r="Y323" i="33" s="1"/>
  <c r="CH79" i="3"/>
  <c r="R90" i="33" s="1"/>
  <c r="CG79" i="3"/>
  <c r="R323" i="33" s="1"/>
  <c r="CF79" i="3"/>
  <c r="K90" i="33" s="1"/>
  <c r="CE79" i="3"/>
  <c r="K323" i="33" s="1"/>
  <c r="CL78" i="3"/>
  <c r="AF89" i="33" s="1"/>
  <c r="CK78" i="3"/>
  <c r="AF322" i="33" s="1"/>
  <c r="CI78" i="3"/>
  <c r="Y322" i="33" s="1"/>
  <c r="Z322" i="33" s="1"/>
  <c r="CH78" i="3"/>
  <c r="R89" i="33" s="1"/>
  <c r="CG78" i="3"/>
  <c r="R322" i="33" s="1"/>
  <c r="CF78" i="3"/>
  <c r="K89" i="33" s="1"/>
  <c r="CE78" i="3"/>
  <c r="K322" i="33" s="1"/>
  <c r="CL80" i="3"/>
  <c r="AF91" i="33" s="1"/>
  <c r="AG91" i="33" s="1"/>
  <c r="CK80" i="3"/>
  <c r="AF316" i="33" s="1"/>
  <c r="AG316" i="33" s="1"/>
  <c r="CJ80" i="3"/>
  <c r="Y91" i="33" s="1"/>
  <c r="Z91" i="33" s="1"/>
  <c r="CI80" i="3"/>
  <c r="Y316" i="33" s="1"/>
  <c r="Z316" i="33" s="1"/>
  <c r="CG80" i="3"/>
  <c r="R316" i="33" s="1"/>
  <c r="S316" i="33" s="1"/>
  <c r="CF80" i="3"/>
  <c r="K91" i="33" s="1"/>
  <c r="CE80" i="3"/>
  <c r="K316" i="33" s="1"/>
  <c r="CL77" i="3"/>
  <c r="AF88" i="33" s="1"/>
  <c r="CK77" i="3"/>
  <c r="AF315" i="33" s="1"/>
  <c r="CI77" i="3"/>
  <c r="Y315" i="33" s="1"/>
  <c r="Z315" i="33" s="1"/>
  <c r="CH77" i="3"/>
  <c r="R88" i="33" s="1"/>
  <c r="CG77" i="3"/>
  <c r="R315" i="33" s="1"/>
  <c r="CF77" i="3"/>
  <c r="K88" i="33" s="1"/>
  <c r="CE77" i="3"/>
  <c r="K315" i="33" s="1"/>
  <c r="BW115" i="3"/>
  <c r="CL115" i="3" s="1"/>
  <c r="BR117" i="3"/>
  <c r="BQ117" i="3"/>
  <c r="BP117" i="3"/>
  <c r="BR116" i="3"/>
  <c r="BQ116" i="3"/>
  <c r="BP116" i="3"/>
  <c r="BS115" i="3"/>
  <c r="AC118" i="33" s="1"/>
  <c r="BR115" i="3"/>
  <c r="AC353" i="33" s="1"/>
  <c r="BQ115" i="3"/>
  <c r="BP115" i="3"/>
  <c r="BS114" i="3"/>
  <c r="BR114" i="3"/>
  <c r="AA351" i="33" s="1"/>
  <c r="AB351" i="33" s="1"/>
  <c r="AC351" i="33" s="1"/>
  <c r="BP114" i="3"/>
  <c r="BS113" i="3"/>
  <c r="BR113" i="3"/>
  <c r="BP113" i="3"/>
  <c r="BM114" i="3"/>
  <c r="BM113" i="3"/>
  <c r="BH117" i="3"/>
  <c r="BG117" i="3"/>
  <c r="BF117" i="3"/>
  <c r="BH116" i="3"/>
  <c r="BG116" i="3"/>
  <c r="BF116" i="3"/>
  <c r="BI115" i="3"/>
  <c r="V118" i="33" s="1"/>
  <c r="BH115" i="3"/>
  <c r="V353" i="33" s="1"/>
  <c r="BF115" i="3"/>
  <c r="BI114" i="3"/>
  <c r="BH114" i="3"/>
  <c r="T351" i="33" s="1"/>
  <c r="U351" i="33" s="1"/>
  <c r="BG114" i="3"/>
  <c r="Q117" i="33" s="1"/>
  <c r="BF114" i="3"/>
  <c r="BI113" i="3"/>
  <c r="BH113" i="3"/>
  <c r="BG113" i="3"/>
  <c r="BF113" i="3"/>
  <c r="BC115" i="3"/>
  <c r="AX117" i="3"/>
  <c r="M355" i="33" s="1"/>
  <c r="N355" i="33" s="1"/>
  <c r="AW117" i="3"/>
  <c r="J120" i="33" s="1"/>
  <c r="AV117" i="3"/>
  <c r="AX116" i="3"/>
  <c r="M354" i="33" s="1"/>
  <c r="N354" i="33" s="1"/>
  <c r="AW116" i="3"/>
  <c r="J119" i="33" s="1"/>
  <c r="AV116" i="3"/>
  <c r="AY115" i="3"/>
  <c r="M118" i="33" s="1"/>
  <c r="N118" i="33" s="1"/>
  <c r="AX115" i="3"/>
  <c r="M353" i="33" s="1"/>
  <c r="N353" i="33" s="1"/>
  <c r="AW115" i="3"/>
  <c r="J118" i="33" s="1"/>
  <c r="AV115" i="3"/>
  <c r="AY114" i="3"/>
  <c r="AX114" i="3"/>
  <c r="AW114" i="3"/>
  <c r="J117" i="33" s="1"/>
  <c r="AV114" i="3"/>
  <c r="AY113" i="3"/>
  <c r="AX113" i="3"/>
  <c r="AW113" i="3"/>
  <c r="AV113" i="3"/>
  <c r="AN115" i="3"/>
  <c r="BV115" i="3" s="1"/>
  <c r="AN114" i="3"/>
  <c r="BV114" i="3" s="1"/>
  <c r="AX93" i="3"/>
  <c r="M331" i="33" s="1"/>
  <c r="N331" i="33" s="1"/>
  <c r="AW93" i="3"/>
  <c r="AV93" i="3"/>
  <c r="AX92" i="3"/>
  <c r="M330" i="33" s="1"/>
  <c r="AW92" i="3"/>
  <c r="AV92" i="3"/>
  <c r="AX91" i="3"/>
  <c r="M329" i="33" s="1"/>
  <c r="N329" i="33" s="1"/>
  <c r="AW91" i="3"/>
  <c r="AV91" i="3"/>
  <c r="AX90" i="3"/>
  <c r="M328" i="33" s="1"/>
  <c r="N328" i="33" s="1"/>
  <c r="AW90" i="3"/>
  <c r="AV90" i="3"/>
  <c r="AX89" i="3"/>
  <c r="M327" i="33" s="1"/>
  <c r="N327" i="33" s="1"/>
  <c r="AW89" i="3"/>
  <c r="AV89" i="3"/>
  <c r="AX88" i="3"/>
  <c r="M326" i="33" s="1"/>
  <c r="N326" i="33" s="1"/>
  <c r="AW88" i="3"/>
  <c r="AV88" i="3"/>
  <c r="AX87" i="3"/>
  <c r="M325" i="33" s="1"/>
  <c r="N325" i="33" s="1"/>
  <c r="AW87" i="3"/>
  <c r="AV87" i="3"/>
  <c r="AX86" i="3"/>
  <c r="M324" i="33" s="1"/>
  <c r="N324" i="33" s="1"/>
  <c r="AW86" i="3"/>
  <c r="AV86" i="3"/>
  <c r="AX79" i="3"/>
  <c r="M323" i="33" s="1"/>
  <c r="N323" i="33" s="1"/>
  <c r="AW79" i="3"/>
  <c r="J90" i="33" s="1"/>
  <c r="AV79" i="3"/>
  <c r="AX78" i="3"/>
  <c r="M322" i="33" s="1"/>
  <c r="N322" i="33" s="1"/>
  <c r="AW78" i="3"/>
  <c r="J89" i="33" s="1"/>
  <c r="AV78" i="3"/>
  <c r="AX80" i="3"/>
  <c r="M316" i="33" s="1"/>
  <c r="N316" i="33" s="1"/>
  <c r="J91" i="33"/>
  <c r="AV80" i="3"/>
  <c r="AX77" i="3"/>
  <c r="M315" i="33" s="1"/>
  <c r="N315" i="33" s="1"/>
  <c r="AW77" i="3"/>
  <c r="J88" i="33" s="1"/>
  <c r="AV77" i="3"/>
  <c r="AO93" i="3"/>
  <c r="BW93" i="3" s="1"/>
  <c r="CA93" i="3" s="1"/>
  <c r="AO92" i="3"/>
  <c r="BS92" i="3" s="1"/>
  <c r="AO91" i="3"/>
  <c r="BS91" i="3" s="1"/>
  <c r="AO90" i="3"/>
  <c r="AY90" i="3" s="1"/>
  <c r="AO89" i="3"/>
  <c r="CC89" i="3" s="1"/>
  <c r="AO88" i="3"/>
  <c r="AY88" i="3" s="1"/>
  <c r="AO87" i="3"/>
  <c r="BS87" i="3" s="1"/>
  <c r="AO86" i="3"/>
  <c r="BS86" i="3" s="1"/>
  <c r="AO79" i="3"/>
  <c r="AY79" i="3" s="1"/>
  <c r="AO78" i="3"/>
  <c r="BM78" i="3" s="1"/>
  <c r="BS80" i="3"/>
  <c r="AA91" i="33" s="1"/>
  <c r="AB91" i="33" s="1"/>
  <c r="AC91" i="33" s="1"/>
  <c r="AO77" i="3"/>
  <c r="BM77" i="3" s="1"/>
  <c r="CB93" i="3"/>
  <c r="AH331" i="33" s="1"/>
  <c r="AI331" i="33" s="1"/>
  <c r="BZ93" i="3"/>
  <c r="BR93" i="3"/>
  <c r="AA331" i="33" s="1"/>
  <c r="AB331" i="33" s="1"/>
  <c r="AC331" i="33" s="1"/>
  <c r="BP93" i="3"/>
  <c r="BH93" i="3"/>
  <c r="T331" i="33" s="1"/>
  <c r="U331" i="33" s="1"/>
  <c r="BF93" i="3"/>
  <c r="CB92" i="3"/>
  <c r="AH330" i="33" s="1"/>
  <c r="AI330" i="33" s="1"/>
  <c r="BZ92" i="3"/>
  <c r="BR92" i="3"/>
  <c r="AA330" i="33" s="1"/>
  <c r="AB330" i="33" s="1"/>
  <c r="AC330" i="33" s="1"/>
  <c r="BP92" i="3"/>
  <c r="BH92" i="3"/>
  <c r="T330" i="33" s="1"/>
  <c r="U330" i="33" s="1"/>
  <c r="V330" i="33" s="1"/>
  <c r="BF92" i="3"/>
  <c r="CB91" i="3"/>
  <c r="AH329" i="33" s="1"/>
  <c r="AI329" i="33" s="1"/>
  <c r="BZ91" i="3"/>
  <c r="CA91" i="3"/>
  <c r="BR91" i="3"/>
  <c r="AA329" i="33" s="1"/>
  <c r="AB329" i="33" s="1"/>
  <c r="AC329" i="33" s="1"/>
  <c r="BP91" i="3"/>
  <c r="BQ91" i="3"/>
  <c r="BH91" i="3"/>
  <c r="T329" i="33" s="1"/>
  <c r="U329" i="33" s="1"/>
  <c r="BG91" i="3"/>
  <c r="BF91" i="3"/>
  <c r="CB90" i="3"/>
  <c r="AH328" i="33" s="1"/>
  <c r="AI328" i="33" s="1"/>
  <c r="BZ90" i="3"/>
  <c r="CA90" i="3"/>
  <c r="BR90" i="3"/>
  <c r="AA328" i="33" s="1"/>
  <c r="AB328" i="33" s="1"/>
  <c r="BP90" i="3"/>
  <c r="BQ90" i="3"/>
  <c r="BH90" i="3"/>
  <c r="T328" i="33" s="1"/>
  <c r="U328" i="33" s="1"/>
  <c r="BF90" i="3"/>
  <c r="BG90" i="3"/>
  <c r="CB89" i="3"/>
  <c r="AH327" i="33" s="1"/>
  <c r="AI327" i="33" s="1"/>
  <c r="BZ89" i="3"/>
  <c r="CA89" i="3"/>
  <c r="BR89" i="3"/>
  <c r="AA327" i="33" s="1"/>
  <c r="AB327" i="33" s="1"/>
  <c r="BP89" i="3"/>
  <c r="BQ89" i="3"/>
  <c r="BH89" i="3"/>
  <c r="T327" i="33" s="1"/>
  <c r="U327" i="33" s="1"/>
  <c r="BF89" i="3"/>
  <c r="BG89" i="3"/>
  <c r="CB88" i="3"/>
  <c r="AH326" i="33" s="1"/>
  <c r="AI326" i="33" s="1"/>
  <c r="BZ88" i="3"/>
  <c r="CA88" i="3"/>
  <c r="BR88" i="3"/>
  <c r="AA326" i="33" s="1"/>
  <c r="AB326" i="33" s="1"/>
  <c r="AC326" i="33" s="1"/>
  <c r="BP88" i="3"/>
  <c r="BQ88" i="3"/>
  <c r="BH88" i="3"/>
  <c r="T326" i="33" s="1"/>
  <c r="U326" i="33" s="1"/>
  <c r="BF88" i="3"/>
  <c r="BG88" i="3"/>
  <c r="CB87" i="3"/>
  <c r="AH325" i="33" s="1"/>
  <c r="AI325" i="33" s="1"/>
  <c r="BZ87" i="3"/>
  <c r="CA87" i="3"/>
  <c r="BR87" i="3"/>
  <c r="AA325" i="33" s="1"/>
  <c r="AB325" i="33" s="1"/>
  <c r="AC325" i="33" s="1"/>
  <c r="BP87" i="3"/>
  <c r="BQ87" i="3"/>
  <c r="BH87" i="3"/>
  <c r="T325" i="33" s="1"/>
  <c r="U325" i="33" s="1"/>
  <c r="V325" i="33" s="1"/>
  <c r="BG87" i="3"/>
  <c r="BF87" i="3"/>
  <c r="CB86" i="3"/>
  <c r="AH324" i="33" s="1"/>
  <c r="AI324" i="33" s="1"/>
  <c r="BZ86" i="3"/>
  <c r="CA86" i="3"/>
  <c r="BR86" i="3"/>
  <c r="AA324" i="33" s="1"/>
  <c r="AB324" i="33" s="1"/>
  <c r="AC324" i="33" s="1"/>
  <c r="BP86" i="3"/>
  <c r="BQ86" i="3"/>
  <c r="BH86" i="3"/>
  <c r="T324" i="33" s="1"/>
  <c r="U324" i="33" s="1"/>
  <c r="BG86" i="3"/>
  <c r="BF86" i="3"/>
  <c r="CB79" i="3"/>
  <c r="AH323" i="33" s="1"/>
  <c r="AI323" i="33" s="1"/>
  <c r="BZ79" i="3"/>
  <c r="BR79" i="3"/>
  <c r="AA323" i="33" s="1"/>
  <c r="AB323" i="33" s="1"/>
  <c r="BP79" i="3"/>
  <c r="BQ79" i="3"/>
  <c r="BH79" i="3"/>
  <c r="T323" i="33" s="1"/>
  <c r="U323" i="33" s="1"/>
  <c r="BF79" i="3"/>
  <c r="BG79" i="3"/>
  <c r="CB78" i="3"/>
  <c r="AH322" i="33" s="1"/>
  <c r="AI322" i="33" s="1"/>
  <c r="BZ78" i="3"/>
  <c r="CA78" i="3"/>
  <c r="BR78" i="3"/>
  <c r="AA322" i="33" s="1"/>
  <c r="AB322" i="33" s="1"/>
  <c r="AC322" i="33" s="1"/>
  <c r="BP78" i="3"/>
  <c r="BH78" i="3"/>
  <c r="T322" i="33" s="1"/>
  <c r="U322" i="33" s="1"/>
  <c r="BF78" i="3"/>
  <c r="BG78" i="3"/>
  <c r="CB80" i="3"/>
  <c r="AH316" i="33" s="1"/>
  <c r="AI316" i="33" s="1"/>
  <c r="BZ80" i="3"/>
  <c r="CA80" i="3"/>
  <c r="AE91" i="33" s="1"/>
  <c r="BR80" i="3"/>
  <c r="AA316" i="33" s="1"/>
  <c r="AB316" i="33" s="1"/>
  <c r="AC316" i="33" s="1"/>
  <c r="BP80" i="3"/>
  <c r="BQ80" i="3"/>
  <c r="X91" i="33" s="1"/>
  <c r="BH80" i="3"/>
  <c r="T316" i="33" s="1"/>
  <c r="U316" i="33" s="1"/>
  <c r="V316" i="33" s="1"/>
  <c r="BF80" i="3"/>
  <c r="CB77" i="3"/>
  <c r="AH315" i="33" s="1"/>
  <c r="AI315" i="33" s="1"/>
  <c r="BZ77" i="3"/>
  <c r="CA77" i="3"/>
  <c r="BR77" i="3"/>
  <c r="AA315" i="33" s="1"/>
  <c r="AB315" i="33" s="1"/>
  <c r="AC315" i="33" s="1"/>
  <c r="BP77" i="3"/>
  <c r="BH77" i="3"/>
  <c r="T315" i="33" s="1"/>
  <c r="U315" i="33" s="1"/>
  <c r="BF77" i="3"/>
  <c r="BG77" i="3"/>
  <c r="AN92" i="3"/>
  <c r="BV92" i="3" s="1"/>
  <c r="AN79" i="3"/>
  <c r="BL79" i="3" s="1"/>
  <c r="AN78" i="3"/>
  <c r="BL78" i="3" s="1"/>
  <c r="BV80" i="3"/>
  <c r="AN77" i="3"/>
  <c r="BV77" i="3" s="1"/>
  <c r="CK75" i="3"/>
  <c r="AF313" i="33" s="1"/>
  <c r="AG313" i="33" s="1"/>
  <c r="CJ75" i="3"/>
  <c r="Y86" i="33" s="1"/>
  <c r="CI75" i="3"/>
  <c r="Y313" i="33" s="1"/>
  <c r="CH75" i="3"/>
  <c r="R86" i="33" s="1"/>
  <c r="CG75" i="3"/>
  <c r="R313" i="33" s="1"/>
  <c r="CF75" i="3"/>
  <c r="K86" i="33" s="1"/>
  <c r="CE75" i="3"/>
  <c r="K313" i="33" s="1"/>
  <c r="CB75" i="3"/>
  <c r="AH313" i="33" s="1"/>
  <c r="AI313" i="33" s="1"/>
  <c r="BZ75" i="3"/>
  <c r="BR75" i="3"/>
  <c r="AA313" i="33" s="1"/>
  <c r="AB313" i="33" s="1"/>
  <c r="BQ75" i="3"/>
  <c r="X86" i="33" s="1"/>
  <c r="BP75" i="3"/>
  <c r="BH75" i="3"/>
  <c r="T313" i="33" s="1"/>
  <c r="U313" i="33" s="1"/>
  <c r="BG75" i="3"/>
  <c r="Q86" i="33" s="1"/>
  <c r="BF75" i="3"/>
  <c r="AX75" i="3"/>
  <c r="M313" i="33" s="1"/>
  <c r="N313" i="33" s="1"/>
  <c r="AW75" i="3"/>
  <c r="J86" i="33" s="1"/>
  <c r="AV75" i="3"/>
  <c r="CK74" i="3"/>
  <c r="AF276" i="33" s="1"/>
  <c r="CI74" i="3"/>
  <c r="Y276" i="33" s="1"/>
  <c r="Z276" i="33" s="1"/>
  <c r="CH74" i="3"/>
  <c r="R85" i="33" s="1"/>
  <c r="CG74" i="3"/>
  <c r="R276" i="33" s="1"/>
  <c r="CF74" i="3"/>
  <c r="K85" i="33" s="1"/>
  <c r="CE74" i="3"/>
  <c r="K276" i="33" s="1"/>
  <c r="CB74" i="3"/>
  <c r="AH276" i="33" s="1"/>
  <c r="AI276" i="33" s="1"/>
  <c r="CA74" i="3"/>
  <c r="AE85" i="33" s="1"/>
  <c r="BZ74" i="3"/>
  <c r="CL74" i="3"/>
  <c r="AF85" i="33" s="1"/>
  <c r="BR74" i="3"/>
  <c r="AA276" i="33" s="1"/>
  <c r="AB276" i="33" s="1"/>
  <c r="AC276" i="33" s="1"/>
  <c r="BP74" i="3"/>
  <c r="BH74" i="3"/>
  <c r="T276" i="33" s="1"/>
  <c r="U276" i="33" s="1"/>
  <c r="BG74" i="3"/>
  <c r="Q85" i="33" s="1"/>
  <c r="BF74" i="3"/>
  <c r="AX74" i="3"/>
  <c r="M276" i="33" s="1"/>
  <c r="N276" i="33" s="1"/>
  <c r="AW74" i="3"/>
  <c r="J85" i="33" s="1"/>
  <c r="AV74" i="3"/>
  <c r="AO75" i="3"/>
  <c r="BI75" i="3" s="1"/>
  <c r="T86" i="33" s="1"/>
  <c r="U86" i="33" s="1"/>
  <c r="AN75" i="3"/>
  <c r="AR75" i="3" s="1"/>
  <c r="AO74" i="3"/>
  <c r="AY74" i="3" s="1"/>
  <c r="M85" i="33" s="1"/>
  <c r="N85" i="33" s="1"/>
  <c r="AN74" i="3"/>
  <c r="BL74" i="3" s="1"/>
  <c r="CK73" i="3"/>
  <c r="CJ73" i="3"/>
  <c r="Y84" i="33" s="1"/>
  <c r="CI73" i="3"/>
  <c r="Y275" i="33" s="1"/>
  <c r="CH73" i="3"/>
  <c r="R84" i="33" s="1"/>
  <c r="CG73" i="3"/>
  <c r="R275" i="33" s="1"/>
  <c r="CF73" i="3"/>
  <c r="K84" i="33" s="1"/>
  <c r="CE73" i="3"/>
  <c r="K275" i="33" s="1"/>
  <c r="CB73" i="3"/>
  <c r="BZ73" i="3"/>
  <c r="BR73" i="3"/>
  <c r="BQ73" i="3"/>
  <c r="BP73" i="3"/>
  <c r="BH73" i="3"/>
  <c r="BG73" i="3"/>
  <c r="BF73" i="3"/>
  <c r="AX73" i="3"/>
  <c r="M275" i="33" s="1"/>
  <c r="N275" i="33" s="1"/>
  <c r="AW73" i="3"/>
  <c r="J84" i="33" s="1"/>
  <c r="AV73" i="3"/>
  <c r="AO73" i="3"/>
  <c r="BW73" i="3" s="1"/>
  <c r="AN73" i="3"/>
  <c r="BL73" i="3" s="1"/>
  <c r="BW56" i="3"/>
  <c r="CA56" i="3" s="1"/>
  <c r="AE67" i="33" s="1"/>
  <c r="BM56" i="3"/>
  <c r="BC56" i="3"/>
  <c r="CK68" i="3"/>
  <c r="AF270" i="33" s="1"/>
  <c r="AG270" i="33" s="1"/>
  <c r="CI68" i="3"/>
  <c r="Y270" i="33" s="1"/>
  <c r="Z270" i="33" s="1"/>
  <c r="CG68" i="3"/>
  <c r="R270" i="33" s="1"/>
  <c r="S270" i="33" s="1"/>
  <c r="CE68" i="3"/>
  <c r="K270" i="33" s="1"/>
  <c r="L270" i="33" s="1"/>
  <c r="CB68" i="3"/>
  <c r="AH270" i="33" s="1"/>
  <c r="AI270" i="33" s="1"/>
  <c r="BZ68" i="3"/>
  <c r="BR68" i="3"/>
  <c r="AA270" i="33" s="1"/>
  <c r="AB270" i="33" s="1"/>
  <c r="AC270" i="33" s="1"/>
  <c r="BP68" i="3"/>
  <c r="BH68" i="3"/>
  <c r="T270" i="33" s="1"/>
  <c r="U270" i="33" s="1"/>
  <c r="V270" i="33" s="1"/>
  <c r="BF68" i="3"/>
  <c r="AX68" i="3"/>
  <c r="M270" i="33" s="1"/>
  <c r="AV68" i="3"/>
  <c r="CK72" i="3"/>
  <c r="CI72" i="3"/>
  <c r="Y274" i="33" s="1"/>
  <c r="CG72" i="3"/>
  <c r="R274" i="33" s="1"/>
  <c r="CE72" i="3"/>
  <c r="K274" i="33" s="1"/>
  <c r="CB72" i="3"/>
  <c r="BZ72" i="3"/>
  <c r="BR72" i="3"/>
  <c r="BP72" i="3"/>
  <c r="BH72" i="3"/>
  <c r="BF72" i="3"/>
  <c r="AX72" i="3"/>
  <c r="M274" i="33" s="1"/>
  <c r="N274" i="33" s="1"/>
  <c r="AV72" i="3"/>
  <c r="CK71" i="3"/>
  <c r="CI71" i="3"/>
  <c r="Y273" i="33" s="1"/>
  <c r="CG71" i="3"/>
  <c r="R273" i="33" s="1"/>
  <c r="CE71" i="3"/>
  <c r="K273" i="33" s="1"/>
  <c r="CB71" i="3"/>
  <c r="BZ71" i="3"/>
  <c r="BR71" i="3"/>
  <c r="BP71" i="3"/>
  <c r="BH71" i="3"/>
  <c r="BF71" i="3"/>
  <c r="AX71" i="3"/>
  <c r="M273" i="33" s="1"/>
  <c r="N273" i="33" s="1"/>
  <c r="AV71" i="3"/>
  <c r="CK70" i="3"/>
  <c r="CI70" i="3"/>
  <c r="Y272" i="33" s="1"/>
  <c r="CG70" i="3"/>
  <c r="CE70" i="3"/>
  <c r="K272" i="33" s="1"/>
  <c r="CB70" i="3"/>
  <c r="BZ70" i="3"/>
  <c r="BR70" i="3"/>
  <c r="AC272" i="33" s="1"/>
  <c r="BP70" i="3"/>
  <c r="BH70" i="3"/>
  <c r="V272" i="33" s="1"/>
  <c r="BF70" i="3"/>
  <c r="AX70" i="3"/>
  <c r="M272" i="33" s="1"/>
  <c r="N272" i="33" s="1"/>
  <c r="AV70" i="3"/>
  <c r="CK69" i="3"/>
  <c r="AF271" i="33" s="1"/>
  <c r="AG271" i="33" s="1"/>
  <c r="CI69" i="3"/>
  <c r="Y271" i="33" s="1"/>
  <c r="Z271" i="33" s="1"/>
  <c r="CG69" i="3"/>
  <c r="R271" i="33" s="1"/>
  <c r="S271" i="33" s="1"/>
  <c r="CE69" i="3"/>
  <c r="K271" i="33" s="1"/>
  <c r="L271" i="33" s="1"/>
  <c r="CB69" i="3"/>
  <c r="AH271" i="33" s="1"/>
  <c r="AI271" i="33" s="1"/>
  <c r="BZ69" i="3"/>
  <c r="BR69" i="3"/>
  <c r="AA271" i="33" s="1"/>
  <c r="AB271" i="33" s="1"/>
  <c r="AC271" i="33" s="1"/>
  <c r="BP69" i="3"/>
  <c r="BH69" i="3"/>
  <c r="T271" i="33" s="1"/>
  <c r="U271" i="33" s="1"/>
  <c r="V271" i="33" s="1"/>
  <c r="BF69" i="3"/>
  <c r="AX69" i="3"/>
  <c r="M271" i="33" s="1"/>
  <c r="AV69" i="3"/>
  <c r="CK67" i="3"/>
  <c r="CI67" i="3"/>
  <c r="Y269" i="33" s="1"/>
  <c r="CG67" i="3"/>
  <c r="CE67" i="3"/>
  <c r="K269" i="33" s="1"/>
  <c r="CB67" i="3"/>
  <c r="BZ67" i="3"/>
  <c r="BR67" i="3"/>
  <c r="BP67" i="3"/>
  <c r="BH67" i="3"/>
  <c r="BF67" i="3"/>
  <c r="AX67" i="3"/>
  <c r="M269" i="33" s="1"/>
  <c r="N269" i="33" s="1"/>
  <c r="AV67" i="3"/>
  <c r="CK66" i="3"/>
  <c r="AF268" i="33" s="1"/>
  <c r="CI66" i="3"/>
  <c r="Y268" i="33" s="1"/>
  <c r="CG66" i="3"/>
  <c r="CE66" i="3"/>
  <c r="K268" i="33" s="1"/>
  <c r="CB66" i="3"/>
  <c r="BZ66" i="3"/>
  <c r="BR66" i="3"/>
  <c r="AC268" i="33" s="1"/>
  <c r="BP66" i="3"/>
  <c r="BH66" i="3"/>
  <c r="V268" i="33" s="1"/>
  <c r="BF66" i="3"/>
  <c r="AX66" i="3"/>
  <c r="M268" i="33" s="1"/>
  <c r="N268" i="33" s="1"/>
  <c r="AV66" i="3"/>
  <c r="CK65" i="3"/>
  <c r="CI65" i="3"/>
  <c r="Y312" i="33" s="1"/>
  <c r="CG65" i="3"/>
  <c r="CE65" i="3"/>
  <c r="K312" i="33" s="1"/>
  <c r="L312" i="33" s="1"/>
  <c r="CB65" i="3"/>
  <c r="AH312" i="33" s="1"/>
  <c r="AI312" i="33" s="1"/>
  <c r="BZ65" i="3"/>
  <c r="BR65" i="3"/>
  <c r="AA312" i="33" s="1"/>
  <c r="AB312" i="33" s="1"/>
  <c r="AC312" i="33" s="1"/>
  <c r="BP65" i="3"/>
  <c r="BH65" i="3"/>
  <c r="T312" i="33" s="1"/>
  <c r="U312" i="33" s="1"/>
  <c r="V312" i="33" s="1"/>
  <c r="BF65" i="3"/>
  <c r="AX65" i="3"/>
  <c r="M312" i="33" s="1"/>
  <c r="N312" i="33" s="1"/>
  <c r="O312" i="33" s="1"/>
  <c r="AV65" i="3"/>
  <c r="CK64" i="3"/>
  <c r="AF183" i="33" s="1"/>
  <c r="AG183" i="33" s="1"/>
  <c r="CI64" i="3"/>
  <c r="Y183" i="33" s="1"/>
  <c r="CG64" i="3"/>
  <c r="R183" i="33" s="1"/>
  <c r="CE64" i="3"/>
  <c r="K183" i="33" s="1"/>
  <c r="CB64" i="3"/>
  <c r="AH183" i="33" s="1"/>
  <c r="AI183" i="33" s="1"/>
  <c r="BZ64" i="3"/>
  <c r="BR64" i="3"/>
  <c r="AA183" i="33" s="1"/>
  <c r="AB183" i="33" s="1"/>
  <c r="BP64" i="3"/>
  <c r="BH64" i="3"/>
  <c r="T183" i="33" s="1"/>
  <c r="U183" i="33" s="1"/>
  <c r="BF64" i="3"/>
  <c r="AX64" i="3"/>
  <c r="M183" i="33" s="1"/>
  <c r="N183" i="33" s="1"/>
  <c r="AV64" i="3"/>
  <c r="CK63" i="3"/>
  <c r="AF311" i="33" s="1"/>
  <c r="CI63" i="3"/>
  <c r="Y311" i="33" s="1"/>
  <c r="CG63" i="3"/>
  <c r="R311" i="33" s="1"/>
  <c r="CE63" i="3"/>
  <c r="K311" i="33" s="1"/>
  <c r="L311" i="33" s="1"/>
  <c r="CB63" i="3"/>
  <c r="AH311" i="33" s="1"/>
  <c r="AI311" i="33" s="1"/>
  <c r="BZ63" i="3"/>
  <c r="BR63" i="3"/>
  <c r="AA311" i="33" s="1"/>
  <c r="AB311" i="33" s="1"/>
  <c r="AC311" i="33" s="1"/>
  <c r="BP63" i="3"/>
  <c r="BH63" i="3"/>
  <c r="T311" i="33" s="1"/>
  <c r="U311" i="33" s="1"/>
  <c r="V311" i="33" s="1"/>
  <c r="BF63" i="3"/>
  <c r="AX63" i="3"/>
  <c r="M311" i="33" s="1"/>
  <c r="AV63" i="3"/>
  <c r="CK62" i="3"/>
  <c r="AF267" i="33" s="1"/>
  <c r="CI62" i="3"/>
  <c r="Y267" i="33" s="1"/>
  <c r="Z267" i="33" s="1"/>
  <c r="CG62" i="3"/>
  <c r="R267" i="33" s="1"/>
  <c r="CE62" i="3"/>
  <c r="K267" i="33" s="1"/>
  <c r="CB62" i="3"/>
  <c r="AH267" i="33" s="1"/>
  <c r="AI267" i="33" s="1"/>
  <c r="BZ62" i="3"/>
  <c r="BR62" i="3"/>
  <c r="AA267" i="33" s="1"/>
  <c r="AB267" i="33" s="1"/>
  <c r="AC267" i="33" s="1"/>
  <c r="BP62" i="3"/>
  <c r="BH62" i="3"/>
  <c r="BF62" i="3"/>
  <c r="AX62" i="3"/>
  <c r="AV62" i="3"/>
  <c r="CK61" i="3"/>
  <c r="AF266" i="33" s="1"/>
  <c r="CI61" i="3"/>
  <c r="Y266" i="33" s="1"/>
  <c r="Z266" i="33" s="1"/>
  <c r="CG61" i="3"/>
  <c r="R266" i="33" s="1"/>
  <c r="CE61" i="3"/>
  <c r="K266" i="33" s="1"/>
  <c r="CB61" i="3"/>
  <c r="AH266" i="33" s="1"/>
  <c r="AI266" i="33" s="1"/>
  <c r="BZ61" i="3"/>
  <c r="BR61" i="3"/>
  <c r="AA266" i="33" s="1"/>
  <c r="AB266" i="33" s="1"/>
  <c r="AC266" i="33" s="1"/>
  <c r="BP61" i="3"/>
  <c r="BH61" i="3"/>
  <c r="T266" i="33" s="1"/>
  <c r="U266" i="33" s="1"/>
  <c r="BF61" i="3"/>
  <c r="AX61" i="3"/>
  <c r="AV61" i="3"/>
  <c r="CK60" i="3"/>
  <c r="AF265" i="33" s="1"/>
  <c r="CI60" i="3"/>
  <c r="Y265" i="33" s="1"/>
  <c r="Z265" i="33" s="1"/>
  <c r="CG60" i="3"/>
  <c r="R265" i="33" s="1"/>
  <c r="CE60" i="3"/>
  <c r="K265" i="33" s="1"/>
  <c r="CB60" i="3"/>
  <c r="AH265" i="33" s="1"/>
  <c r="AI265" i="33" s="1"/>
  <c r="BZ60" i="3"/>
  <c r="BR60" i="3"/>
  <c r="AA265" i="33" s="1"/>
  <c r="AB265" i="33" s="1"/>
  <c r="AC265" i="33" s="1"/>
  <c r="BP60" i="3"/>
  <c r="BH60" i="3"/>
  <c r="T265" i="33" s="1"/>
  <c r="U265" i="33" s="1"/>
  <c r="BF60" i="3"/>
  <c r="AX60" i="3"/>
  <c r="M265" i="33" s="1"/>
  <c r="AV60" i="3"/>
  <c r="CK59" i="3"/>
  <c r="AF264" i="33" s="1"/>
  <c r="CI59" i="3"/>
  <c r="Y264" i="33" s="1"/>
  <c r="Z264" i="33" s="1"/>
  <c r="CG59" i="3"/>
  <c r="R264" i="33" s="1"/>
  <c r="CE59" i="3"/>
  <c r="K264" i="33" s="1"/>
  <c r="CB59" i="3"/>
  <c r="AH264" i="33" s="1"/>
  <c r="AI264" i="33" s="1"/>
  <c r="BZ59" i="3"/>
  <c r="BR59" i="3"/>
  <c r="AA264" i="33" s="1"/>
  <c r="AB264" i="33" s="1"/>
  <c r="AC264" i="33" s="1"/>
  <c r="BP59" i="3"/>
  <c r="BH59" i="3"/>
  <c r="T264" i="33" s="1"/>
  <c r="U264" i="33" s="1"/>
  <c r="BF59" i="3"/>
  <c r="AX59" i="3"/>
  <c r="M264" i="33" s="1"/>
  <c r="AV59" i="3"/>
  <c r="CK58" i="3"/>
  <c r="AF263" i="33" s="1"/>
  <c r="AG263" i="33" s="1"/>
  <c r="CI58" i="3"/>
  <c r="Y263" i="33" s="1"/>
  <c r="Z263" i="33" s="1"/>
  <c r="CG58" i="3"/>
  <c r="R263" i="33" s="1"/>
  <c r="CE58" i="3"/>
  <c r="K263" i="33" s="1"/>
  <c r="CB58" i="3"/>
  <c r="AH263" i="33" s="1"/>
  <c r="AI263" i="33" s="1"/>
  <c r="BZ58" i="3"/>
  <c r="BR58" i="3"/>
  <c r="AA263" i="33" s="1"/>
  <c r="AB263" i="33" s="1"/>
  <c r="AC263" i="33" s="1"/>
  <c r="BP58" i="3"/>
  <c r="BH58" i="3"/>
  <c r="T263" i="33" s="1"/>
  <c r="U263" i="33" s="1"/>
  <c r="BF58" i="3"/>
  <c r="AX58" i="3"/>
  <c r="M263" i="33" s="1"/>
  <c r="AV58" i="3"/>
  <c r="CK57" i="3"/>
  <c r="AF262" i="33" s="1"/>
  <c r="CI57" i="3"/>
  <c r="Y262" i="33" s="1"/>
  <c r="CG57" i="3"/>
  <c r="R262" i="33" s="1"/>
  <c r="CE57" i="3"/>
  <c r="K262" i="33" s="1"/>
  <c r="CB57" i="3"/>
  <c r="AH262" i="33" s="1"/>
  <c r="AI262" i="33" s="1"/>
  <c r="BZ57" i="3"/>
  <c r="BR57" i="3"/>
  <c r="AA262" i="33" s="1"/>
  <c r="AB262" i="33" s="1"/>
  <c r="AC262" i="33" s="1"/>
  <c r="BP57" i="3"/>
  <c r="BH57" i="3"/>
  <c r="T262" i="33" s="1"/>
  <c r="U262" i="33" s="1"/>
  <c r="BF57" i="3"/>
  <c r="AX57" i="3"/>
  <c r="M262" i="33" s="1"/>
  <c r="N262" i="33" s="1"/>
  <c r="AV57" i="3"/>
  <c r="AN72" i="3"/>
  <c r="BB72" i="3" s="1"/>
  <c r="AN71" i="3"/>
  <c r="BB71" i="3" s="1"/>
  <c r="AN70" i="3"/>
  <c r="BB70" i="3" s="1"/>
  <c r="BB69" i="3"/>
  <c r="AN68" i="3"/>
  <c r="BB68" i="3" s="1"/>
  <c r="AN67" i="3"/>
  <c r="BB67" i="3" s="1"/>
  <c r="AN66" i="3"/>
  <c r="BB66" i="3" s="1"/>
  <c r="AN65" i="3"/>
  <c r="BB65" i="3" s="1"/>
  <c r="AN64" i="3"/>
  <c r="BB64" i="3" s="1"/>
  <c r="AN63" i="3"/>
  <c r="BB63" i="3" s="1"/>
  <c r="AN62" i="3"/>
  <c r="BB62" i="3" s="1"/>
  <c r="AN61" i="3"/>
  <c r="BB61" i="3" s="1"/>
  <c r="AN60" i="3"/>
  <c r="BB60" i="3" s="1"/>
  <c r="AN59" i="3"/>
  <c r="BB59" i="3" s="1"/>
  <c r="AN58" i="3"/>
  <c r="BB58" i="3" s="1"/>
  <c r="AN57" i="3"/>
  <c r="BB57" i="3" s="1"/>
  <c r="P10" i="38" l="1"/>
  <c r="K351" i="33"/>
  <c r="K352" i="33"/>
  <c r="M351" i="33"/>
  <c r="N351" i="33" s="1"/>
  <c r="M352" i="33"/>
  <c r="N352" i="33" s="1"/>
  <c r="Y351" i="33"/>
  <c r="Z351" i="33" s="1"/>
  <c r="AC11" i="38" s="1"/>
  <c r="M266" i="33"/>
  <c r="N266" i="33" s="1"/>
  <c r="F11" i="38"/>
  <c r="G11" i="38"/>
  <c r="E11" i="38"/>
  <c r="D11" i="38"/>
  <c r="H11" i="38"/>
  <c r="AP10" i="38"/>
  <c r="P11" i="38"/>
  <c r="AP11" i="38"/>
  <c r="AC10" i="38"/>
  <c r="N263" i="33"/>
  <c r="N265" i="33"/>
  <c r="N271" i="33"/>
  <c r="O271" i="33" s="1"/>
  <c r="N270" i="33"/>
  <c r="O270" i="33" s="1"/>
  <c r="N330" i="33"/>
  <c r="O330" i="33" s="1"/>
  <c r="N264" i="33"/>
  <c r="N311" i="33"/>
  <c r="O311" i="33" s="1"/>
  <c r="CH115" i="3"/>
  <c r="CM115" i="3"/>
  <c r="BQ77" i="3"/>
  <c r="CM77" i="3"/>
  <c r="CM85" i="3"/>
  <c r="CJ114" i="3"/>
  <c r="CM114" i="3"/>
  <c r="CM81" i="3"/>
  <c r="CH94" i="3"/>
  <c r="R97" i="33" s="1"/>
  <c r="S97" i="33" s="1"/>
  <c r="CA73" i="3"/>
  <c r="CM73" i="3"/>
  <c r="CM82" i="3"/>
  <c r="BQ78" i="3"/>
  <c r="CM78" i="3"/>
  <c r="CJ113" i="3"/>
  <c r="CM113" i="3"/>
  <c r="BQ114" i="3"/>
  <c r="X117" i="33" s="1"/>
  <c r="BG115" i="3"/>
  <c r="AR114" i="3"/>
  <c r="AR115" i="3"/>
  <c r="BL114" i="3"/>
  <c r="BB114" i="3"/>
  <c r="BL115" i="3"/>
  <c r="BI80" i="3"/>
  <c r="T91" i="33" s="1"/>
  <c r="U91" i="33" s="1"/>
  <c r="V91" i="33" s="1"/>
  <c r="BB115" i="3"/>
  <c r="BQ113" i="3"/>
  <c r="CJ77" i="3"/>
  <c r="Y88" i="33" s="1"/>
  <c r="CJ78" i="3"/>
  <c r="Y89" i="33" s="1"/>
  <c r="CA115" i="3"/>
  <c r="CL93" i="3"/>
  <c r="BS93" i="3"/>
  <c r="BI79" i="3"/>
  <c r="CM83" i="3"/>
  <c r="BS79" i="3"/>
  <c r="CC79" i="3"/>
  <c r="AY91" i="3"/>
  <c r="BS78" i="3"/>
  <c r="BI90" i="3"/>
  <c r="BI93" i="3"/>
  <c r="BS89" i="3"/>
  <c r="BI87" i="3"/>
  <c r="BI91" i="3"/>
  <c r="CC91" i="3"/>
  <c r="BL75" i="3"/>
  <c r="CC90" i="3"/>
  <c r="BW79" i="3"/>
  <c r="CM79" i="3" s="1"/>
  <c r="BS73" i="3"/>
  <c r="CC77" i="3"/>
  <c r="BI88" i="3"/>
  <c r="CC88" i="3"/>
  <c r="AY87" i="3"/>
  <c r="BB74" i="3"/>
  <c r="BI77" i="3"/>
  <c r="CC93" i="3"/>
  <c r="CC78" i="3"/>
  <c r="BS77" i="3"/>
  <c r="BI78" i="3"/>
  <c r="CC87" i="3"/>
  <c r="BS88" i="3"/>
  <c r="BI92" i="3"/>
  <c r="BS74" i="3"/>
  <c r="AA85" i="33" s="1"/>
  <c r="AB85" i="33" s="1"/>
  <c r="AC85" i="33" s="1"/>
  <c r="BV74" i="3"/>
  <c r="CC75" i="3"/>
  <c r="AH86" i="33" s="1"/>
  <c r="AI86" i="33" s="1"/>
  <c r="BM74" i="3"/>
  <c r="CM74" i="3" s="1"/>
  <c r="BL80" i="3"/>
  <c r="AR78" i="3"/>
  <c r="AR79" i="3"/>
  <c r="BL92" i="3"/>
  <c r="CC92" i="3"/>
  <c r="AY75" i="3"/>
  <c r="M86" i="33" s="1"/>
  <c r="N86" i="33" s="1"/>
  <c r="BL77" i="3"/>
  <c r="BB78" i="3"/>
  <c r="BB79" i="3"/>
  <c r="BS90" i="3"/>
  <c r="BC92" i="3"/>
  <c r="AR74" i="3"/>
  <c r="BB75" i="3"/>
  <c r="AR92" i="3"/>
  <c r="AY77" i="3"/>
  <c r="AY78" i="3"/>
  <c r="AY89" i="3"/>
  <c r="AY93" i="3"/>
  <c r="BC93" i="3"/>
  <c r="BI74" i="3"/>
  <c r="T85" i="33" s="1"/>
  <c r="U85" i="33" s="1"/>
  <c r="BS75" i="3"/>
  <c r="AA86" i="33" s="1"/>
  <c r="AB86" i="33" s="1"/>
  <c r="AR77" i="3"/>
  <c r="AR80" i="3"/>
  <c r="BV78" i="3"/>
  <c r="BV79" i="3"/>
  <c r="BB92" i="3"/>
  <c r="BM92" i="3"/>
  <c r="BV75" i="3"/>
  <c r="BB77" i="3"/>
  <c r="BB80" i="3"/>
  <c r="CM84" i="3"/>
  <c r="BM93" i="3"/>
  <c r="CC74" i="3"/>
  <c r="AH85" i="33" s="1"/>
  <c r="AI85" i="33" s="1"/>
  <c r="BW75" i="3"/>
  <c r="AY80" i="3"/>
  <c r="M91" i="33" s="1"/>
  <c r="N91" i="33" s="1"/>
  <c r="AY86" i="3"/>
  <c r="AY92" i="3"/>
  <c r="BW92" i="3"/>
  <c r="CM80" i="3"/>
  <c r="CC80" i="3"/>
  <c r="AH91" i="33" s="1"/>
  <c r="AI91" i="33" s="1"/>
  <c r="BI86" i="3"/>
  <c r="CC86" i="3"/>
  <c r="BI89" i="3"/>
  <c r="BV62" i="3"/>
  <c r="BV67" i="3"/>
  <c r="BV64" i="3"/>
  <c r="BV59" i="3"/>
  <c r="BL67" i="3"/>
  <c r="BL64" i="3"/>
  <c r="BL72" i="3"/>
  <c r="BV70" i="3"/>
  <c r="BV68" i="3"/>
  <c r="BL57" i="3"/>
  <c r="BL59" i="3"/>
  <c r="BL62" i="3"/>
  <c r="BL65" i="3"/>
  <c r="BL60" i="3"/>
  <c r="BV57" i="3"/>
  <c r="BV60" i="3"/>
  <c r="BV72" i="3"/>
  <c r="BV65" i="3"/>
  <c r="BL70" i="3"/>
  <c r="BL68" i="3"/>
  <c r="AY73" i="3"/>
  <c r="M84" i="33" s="1"/>
  <c r="N84" i="33" s="1"/>
  <c r="BB73" i="3"/>
  <c r="BV73" i="3"/>
  <c r="BI73" i="3"/>
  <c r="AR73" i="3"/>
  <c r="CC73" i="3"/>
  <c r="CL73" i="3"/>
  <c r="BL58" i="3"/>
  <c r="BL61" i="3"/>
  <c r="BL66" i="3"/>
  <c r="BL69" i="3"/>
  <c r="BL71" i="3"/>
  <c r="BL63" i="3"/>
  <c r="AR57" i="3"/>
  <c r="AR58" i="3"/>
  <c r="AR59" i="3"/>
  <c r="AR60" i="3"/>
  <c r="AR61" i="3"/>
  <c r="AR62" i="3"/>
  <c r="AR63" i="3"/>
  <c r="AR64" i="3"/>
  <c r="AR65" i="3"/>
  <c r="AR66" i="3"/>
  <c r="AR67" i="3"/>
  <c r="AR69" i="3"/>
  <c r="AR70" i="3"/>
  <c r="AR71" i="3"/>
  <c r="AR72" i="3"/>
  <c r="AR68" i="3"/>
  <c r="BV66" i="3"/>
  <c r="BV61" i="3"/>
  <c r="BV63" i="3"/>
  <c r="BV69" i="3"/>
  <c r="BV71" i="3"/>
  <c r="BV58" i="3"/>
  <c r="AD10" i="38" l="1"/>
  <c r="AH10" i="38"/>
  <c r="AG10" i="38"/>
  <c r="AE10" i="38"/>
  <c r="AF10" i="38"/>
  <c r="AF11" i="38"/>
  <c r="AE11" i="38"/>
  <c r="AH11" i="38"/>
  <c r="AD11" i="38"/>
  <c r="AG11" i="38"/>
  <c r="AS11" i="38"/>
  <c r="AU11" i="38"/>
  <c r="AQ11" i="38"/>
  <c r="AT11" i="38"/>
  <c r="AR11" i="38"/>
  <c r="S11" i="38"/>
  <c r="T11" i="38"/>
  <c r="Q11" i="38"/>
  <c r="R11" i="38"/>
  <c r="U11" i="38"/>
  <c r="CM93" i="3"/>
  <c r="CM92" i="3"/>
  <c r="CL75" i="3"/>
  <c r="AF86" i="33" s="1"/>
  <c r="AG86" i="33" s="1"/>
  <c r="CM75" i="3"/>
  <c r="BG80" i="3"/>
  <c r="Q91" i="33" s="1"/>
  <c r="CH80" i="3"/>
  <c r="R91" i="33" s="1"/>
  <c r="S91" i="33" s="1"/>
  <c r="BQ93" i="3"/>
  <c r="CJ93" i="3"/>
  <c r="CA92" i="3"/>
  <c r="CL92" i="3"/>
  <c r="BG93" i="3"/>
  <c r="CH93" i="3"/>
  <c r="BG92" i="3"/>
  <c r="CH92" i="3"/>
  <c r="BQ92" i="3"/>
  <c r="CJ92" i="3"/>
  <c r="CA79" i="3"/>
  <c r="CL79" i="3"/>
  <c r="AF90" i="33" s="1"/>
  <c r="CA75" i="3"/>
  <c r="AE86" i="33" s="1"/>
  <c r="BQ74" i="3"/>
  <c r="X85" i="33" s="1"/>
  <c r="CJ74" i="3"/>
  <c r="Y85" i="33" s="1"/>
  <c r="Z85" i="33" s="1"/>
  <c r="AK13" i="29"/>
  <c r="M220" i="33" s="1"/>
  <c r="N220" i="33" s="1"/>
  <c r="O220" i="33" s="1"/>
  <c r="AI13" i="29"/>
  <c r="AU13" i="29"/>
  <c r="T220" i="33" s="1"/>
  <c r="U220" i="33" s="1"/>
  <c r="V220" i="33" s="1"/>
  <c r="AS13" i="29"/>
  <c r="BE13" i="29"/>
  <c r="AA220" i="33" s="1"/>
  <c r="AB220" i="33" s="1"/>
  <c r="AC220" i="33" s="1"/>
  <c r="BC13" i="29"/>
  <c r="BX13" i="29"/>
  <c r="AF220" i="33" s="1"/>
  <c r="AG220" i="33" s="1"/>
  <c r="BV13" i="29"/>
  <c r="Y220" i="33" s="1"/>
  <c r="Z220" i="33" s="1"/>
  <c r="BT13" i="29"/>
  <c r="R220" i="33" s="1"/>
  <c r="S220" i="33" s="1"/>
  <c r="BR13" i="29"/>
  <c r="K220" i="33" s="1"/>
  <c r="L220" i="33" s="1"/>
  <c r="BO13" i="29"/>
  <c r="AH220" i="33" s="1"/>
  <c r="AI220" i="33" s="1"/>
  <c r="BM13" i="29"/>
  <c r="AB13" i="29"/>
  <c r="AB10" i="29"/>
  <c r="AA13" i="29"/>
  <c r="AO13" i="29" s="1"/>
  <c r="BM50" i="3"/>
  <c r="BC50" i="3"/>
  <c r="AO50" i="3"/>
  <c r="AL13" i="29" l="1"/>
  <c r="M34" i="33" s="1"/>
  <c r="N34" i="33" s="1"/>
  <c r="O34" i="33" s="1"/>
  <c r="CM50" i="3"/>
  <c r="AV13" i="29"/>
  <c r="T34" i="33" s="1"/>
  <c r="U34" i="33" s="1"/>
  <c r="V34" i="33" s="1"/>
  <c r="BP13" i="29"/>
  <c r="AH34" i="33" s="1"/>
  <c r="AI34" i="33" s="1"/>
  <c r="AF13" i="29"/>
  <c r="AP13" i="29"/>
  <c r="AZ13" i="29"/>
  <c r="BJ13" i="29"/>
  <c r="BF13" i="29"/>
  <c r="AA34" i="33" s="1"/>
  <c r="AB34" i="33" s="1"/>
  <c r="AC34" i="33" s="1"/>
  <c r="AE13" i="29"/>
  <c r="BI13" i="29"/>
  <c r="AY13" i="29"/>
  <c r="BZ13" i="29" l="1"/>
  <c r="BU13" i="29"/>
  <c r="R34" i="33" s="1"/>
  <c r="S34" i="33" s="1"/>
  <c r="AT13" i="29"/>
  <c r="Q34" i="33" s="1"/>
  <c r="AJ13" i="29"/>
  <c r="J34" i="33" s="1"/>
  <c r="BS13" i="29"/>
  <c r="K34" i="33" s="1"/>
  <c r="L34" i="33" s="1"/>
  <c r="BN13" i="29"/>
  <c r="AE34" i="33" s="1"/>
  <c r="BY13" i="29"/>
  <c r="AF34" i="33" s="1"/>
  <c r="AG34" i="33" s="1"/>
  <c r="BD13" i="29"/>
  <c r="X34" i="33" s="1"/>
  <c r="BW13" i="29"/>
  <c r="Y34" i="33" s="1"/>
  <c r="Z34" i="33" s="1"/>
  <c r="AX123" i="3"/>
  <c r="M280" i="33" s="1"/>
  <c r="AW123" i="3"/>
  <c r="AV123" i="3"/>
  <c r="CL123" i="3"/>
  <c r="CK123" i="3"/>
  <c r="AF280" i="33" s="1"/>
  <c r="CJ123" i="3"/>
  <c r="CI123" i="3"/>
  <c r="Y280" i="33" s="1"/>
  <c r="CH123" i="3"/>
  <c r="CG123" i="3"/>
  <c r="R280" i="33" s="1"/>
  <c r="CF123" i="3"/>
  <c r="CE123" i="3"/>
  <c r="K280" i="33" s="1"/>
  <c r="L280" i="33" s="1"/>
  <c r="CB123" i="3"/>
  <c r="AH280" i="33" s="1"/>
  <c r="AI280" i="33" s="1"/>
  <c r="CA123" i="3"/>
  <c r="BZ123" i="3"/>
  <c r="BR123" i="3"/>
  <c r="AA280" i="33" s="1"/>
  <c r="AB280" i="33" s="1"/>
  <c r="AC280" i="33" s="1"/>
  <c r="BQ123" i="3"/>
  <c r="BP123" i="3"/>
  <c r="BH123" i="3"/>
  <c r="T280" i="33" s="1"/>
  <c r="U280" i="33" s="1"/>
  <c r="V280" i="33" s="1"/>
  <c r="BG123" i="3"/>
  <c r="BF123" i="3"/>
  <c r="AO123" i="3"/>
  <c r="BI123" i="3" s="1"/>
  <c r="AN123" i="3"/>
  <c r="BB123" i="3" s="1"/>
  <c r="N280" i="33" l="1"/>
  <c r="O280" i="33" s="1"/>
  <c r="AY123" i="3"/>
  <c r="CC123" i="3"/>
  <c r="BS123" i="3"/>
  <c r="BL123" i="3"/>
  <c r="AR123" i="3"/>
  <c r="BV123" i="3"/>
  <c r="AC31" i="3" l="1"/>
  <c r="CL50" i="3"/>
  <c r="AF66" i="33" s="1"/>
  <c r="AG66" i="33" s="1"/>
  <c r="CJ50" i="3"/>
  <c r="Y66" i="33" s="1"/>
  <c r="Z66" i="33" s="1"/>
  <c r="CH50" i="3"/>
  <c r="R66" i="33" s="1"/>
  <c r="S66" i="33" s="1"/>
  <c r="CF50" i="3"/>
  <c r="K66" i="33" s="1"/>
  <c r="L66" i="33" s="1"/>
  <c r="CC50" i="3"/>
  <c r="AH66" i="33" s="1"/>
  <c r="AI66" i="33" s="1"/>
  <c r="CA50" i="3"/>
  <c r="AE66" i="33" s="1"/>
  <c r="BS50" i="3"/>
  <c r="AA66" i="33" s="1"/>
  <c r="AB66" i="33" s="1"/>
  <c r="AC66" i="33" s="1"/>
  <c r="BQ50" i="3"/>
  <c r="X66" i="33" s="1"/>
  <c r="BI50" i="3"/>
  <c r="T66" i="33" s="1"/>
  <c r="U66" i="33" s="1"/>
  <c r="V66" i="33" s="1"/>
  <c r="BG50" i="3"/>
  <c r="Q66" i="33" s="1"/>
  <c r="AY50" i="3"/>
  <c r="M66" i="33" s="1"/>
  <c r="AW50" i="3"/>
  <c r="J66" i="33" s="1"/>
  <c r="N66" i="33" l="1"/>
  <c r="O66" i="33" s="1"/>
  <c r="AB15" i="27"/>
  <c r="P14" i="27"/>
  <c r="AA15" i="27"/>
  <c r="AE15" i="27" s="1"/>
  <c r="BX15" i="27"/>
  <c r="BV15" i="27"/>
  <c r="BT15" i="27"/>
  <c r="BR15" i="27"/>
  <c r="BO15" i="27"/>
  <c r="BM15" i="27"/>
  <c r="BE15" i="27"/>
  <c r="BC15" i="27"/>
  <c r="AU15" i="27"/>
  <c r="AS15" i="27"/>
  <c r="AK15" i="27"/>
  <c r="AI15" i="27"/>
  <c r="T210" i="33" l="1"/>
  <c r="U210" i="33" s="1"/>
  <c r="V210" i="33" s="1"/>
  <c r="AA210" i="33"/>
  <c r="AB210" i="33" s="1"/>
  <c r="AC210" i="33" s="1"/>
  <c r="K210" i="33"/>
  <c r="L210" i="33" s="1"/>
  <c r="R210" i="33"/>
  <c r="S210" i="33" s="1"/>
  <c r="M210" i="33"/>
  <c r="N210" i="33" s="1"/>
  <c r="O210" i="33" s="1"/>
  <c r="Y210" i="33"/>
  <c r="Z210" i="33" s="1"/>
  <c r="AF210" i="33"/>
  <c r="AG210" i="33" s="1"/>
  <c r="AH210" i="33"/>
  <c r="AI210" i="33" s="1"/>
  <c r="BF15" i="27"/>
  <c r="AA17" i="33" s="1"/>
  <c r="AF15" i="27"/>
  <c r="BJ15" i="27"/>
  <c r="BY15" i="27" s="1"/>
  <c r="AZ15" i="27"/>
  <c r="BW15" i="27" s="1"/>
  <c r="AP15" i="27"/>
  <c r="AT15" i="27" s="1"/>
  <c r="AV15" i="27"/>
  <c r="BP15" i="27"/>
  <c r="AL15" i="27"/>
  <c r="AY15" i="27"/>
  <c r="BI15" i="27"/>
  <c r="AO15" i="27"/>
  <c r="BS15" i="27" l="1"/>
  <c r="CA15" i="27"/>
  <c r="AH17" i="33"/>
  <c r="AI17" i="33" s="1"/>
  <c r="AF17" i="33"/>
  <c r="AG17" i="33" s="1"/>
  <c r="T17" i="33"/>
  <c r="U17" i="33" s="1"/>
  <c r="V17" i="33" s="1"/>
  <c r="K17" i="33"/>
  <c r="L17" i="33" s="1"/>
  <c r="Y17" i="33"/>
  <c r="Z17" i="33" s="1"/>
  <c r="M17" i="33"/>
  <c r="N17" i="33" s="1"/>
  <c r="O17" i="33" s="1"/>
  <c r="AB17" i="33"/>
  <c r="AC17" i="33" s="1"/>
  <c r="Q17" i="33"/>
  <c r="AE17" i="33"/>
  <c r="BZ15" i="27"/>
  <c r="BU15" i="27"/>
  <c r="BD15" i="27"/>
  <c r="AJ15" i="27"/>
  <c r="BN15" i="27"/>
  <c r="CK163" i="3"/>
  <c r="AF204" i="33" s="1"/>
  <c r="AG204" i="33" s="1"/>
  <c r="CI163" i="3"/>
  <c r="Y204" i="33" s="1"/>
  <c r="Z204" i="33" s="1"/>
  <c r="CG163" i="3"/>
  <c r="R204" i="33" s="1"/>
  <c r="S204" i="33" s="1"/>
  <c r="CE163" i="3"/>
  <c r="K204" i="33" s="1"/>
  <c r="L204" i="33" s="1"/>
  <c r="CB163" i="3"/>
  <c r="AH204" i="33" s="1"/>
  <c r="AI204" i="33" s="1"/>
  <c r="BZ163" i="3"/>
  <c r="CK162" i="3"/>
  <c r="AF203" i="33" s="1"/>
  <c r="CI162" i="3"/>
  <c r="Y203" i="33" s="1"/>
  <c r="CG162" i="3"/>
  <c r="R203" i="33" s="1"/>
  <c r="CE162" i="3"/>
  <c r="K203" i="33" s="1"/>
  <c r="L203" i="33" s="1"/>
  <c r="CB162" i="3"/>
  <c r="AH203" i="33" s="1"/>
  <c r="AI203" i="33" s="1"/>
  <c r="BZ162" i="3"/>
  <c r="CK161" i="3"/>
  <c r="AF202" i="33" s="1"/>
  <c r="CI161" i="3"/>
  <c r="Y202" i="33" s="1"/>
  <c r="CG161" i="3"/>
  <c r="R202" i="33" s="1"/>
  <c r="CE161" i="3"/>
  <c r="K202" i="33" s="1"/>
  <c r="L202" i="33" s="1"/>
  <c r="CB161" i="3"/>
  <c r="AH202" i="33" s="1"/>
  <c r="AI202" i="33" s="1"/>
  <c r="BZ161" i="3"/>
  <c r="CK160" i="3"/>
  <c r="AF201" i="33" s="1"/>
  <c r="CI160" i="3"/>
  <c r="Y201" i="33" s="1"/>
  <c r="CG160" i="3"/>
  <c r="R201" i="33" s="1"/>
  <c r="S201" i="33" s="1"/>
  <c r="CE160" i="3"/>
  <c r="K201" i="33" s="1"/>
  <c r="CB160" i="3"/>
  <c r="AH201" i="33" s="1"/>
  <c r="AI201" i="33" s="1"/>
  <c r="BZ160" i="3"/>
  <c r="CK159" i="3"/>
  <c r="AF200" i="33" s="1"/>
  <c r="CI159" i="3"/>
  <c r="Y200" i="33" s="1"/>
  <c r="CG159" i="3"/>
  <c r="R200" i="33" s="1"/>
  <c r="CE159" i="3"/>
  <c r="K200" i="33" s="1"/>
  <c r="L200" i="33" s="1"/>
  <c r="CB159" i="3"/>
  <c r="AH200" i="33" s="1"/>
  <c r="AI200" i="33" s="1"/>
  <c r="BZ159" i="3"/>
  <c r="CK158" i="3"/>
  <c r="CI158" i="3"/>
  <c r="CG158" i="3"/>
  <c r="CE158" i="3"/>
  <c r="CB158" i="3"/>
  <c r="BZ158" i="3"/>
  <c r="CK157" i="3"/>
  <c r="CI157" i="3"/>
  <c r="CG157" i="3"/>
  <c r="CE157" i="3"/>
  <c r="K305" i="33" s="1"/>
  <c r="L305" i="33" s="1"/>
  <c r="CB157" i="3"/>
  <c r="BZ157" i="3"/>
  <c r="CK155" i="3"/>
  <c r="AF303" i="33" s="1"/>
  <c r="AG303" i="33" s="1"/>
  <c r="CI155" i="3"/>
  <c r="Y303" i="33" s="1"/>
  <c r="CG155" i="3"/>
  <c r="R303" i="33" s="1"/>
  <c r="CE155" i="3"/>
  <c r="CB155" i="3"/>
  <c r="AH303" i="33" s="1"/>
  <c r="AI303" i="33" s="1"/>
  <c r="BZ155" i="3"/>
  <c r="CK154" i="3"/>
  <c r="AF363" i="33" s="1"/>
  <c r="CI154" i="3"/>
  <c r="Y363" i="33" s="1"/>
  <c r="CG154" i="3"/>
  <c r="R363" i="33" s="1"/>
  <c r="S363" i="33" s="1"/>
  <c r="CE154" i="3"/>
  <c r="K363" i="33" s="1"/>
  <c r="CB154" i="3"/>
  <c r="AH363" i="33" s="1"/>
  <c r="AI363" i="33" s="1"/>
  <c r="BZ154" i="3"/>
  <c r="BV154" i="3"/>
  <c r="CK153" i="3"/>
  <c r="AF199" i="33" s="1"/>
  <c r="CI153" i="3"/>
  <c r="Y199" i="33" s="1"/>
  <c r="CG153" i="3"/>
  <c r="R199" i="33" s="1"/>
  <c r="S199" i="33" s="1"/>
  <c r="CE153" i="3"/>
  <c r="K199" i="33" s="1"/>
  <c r="CB153" i="3"/>
  <c r="AH199" i="33" s="1"/>
  <c r="AI199" i="33" s="1"/>
  <c r="BZ153" i="3"/>
  <c r="CK152" i="3"/>
  <c r="AF302" i="33" s="1"/>
  <c r="CI152" i="3"/>
  <c r="Y302" i="33" s="1"/>
  <c r="CG152" i="3"/>
  <c r="R302" i="33" s="1"/>
  <c r="S302" i="33" s="1"/>
  <c r="CE152" i="3"/>
  <c r="K302" i="33" s="1"/>
  <c r="CB152" i="3"/>
  <c r="AH302" i="33" s="1"/>
  <c r="AI302" i="33" s="1"/>
  <c r="BZ152" i="3"/>
  <c r="BR163" i="3"/>
  <c r="AA204" i="33" s="1"/>
  <c r="AB204" i="33" s="1"/>
  <c r="AC204" i="33" s="1"/>
  <c r="BP163" i="3"/>
  <c r="BR162" i="3"/>
  <c r="AA203" i="33" s="1"/>
  <c r="AB203" i="33" s="1"/>
  <c r="AC203" i="33" s="1"/>
  <c r="BP162" i="3"/>
  <c r="BR161" i="3"/>
  <c r="AA202" i="33" s="1"/>
  <c r="AB202" i="33" s="1"/>
  <c r="AC202" i="33" s="1"/>
  <c r="BP161" i="3"/>
  <c r="BR160" i="3"/>
  <c r="AA201" i="33" s="1"/>
  <c r="AB201" i="33" s="1"/>
  <c r="AC201" i="33" s="1"/>
  <c r="BP160" i="3"/>
  <c r="BR159" i="3"/>
  <c r="AA200" i="33" s="1"/>
  <c r="AB200" i="33" s="1"/>
  <c r="AC200" i="33" s="1"/>
  <c r="BP159" i="3"/>
  <c r="BR158" i="3"/>
  <c r="BP158" i="3"/>
  <c r="BR157" i="3"/>
  <c r="AC305" i="33" s="1"/>
  <c r="BP157" i="3"/>
  <c r="BR155" i="3"/>
  <c r="AA303" i="33" s="1"/>
  <c r="AB303" i="33" s="1"/>
  <c r="AC303" i="33" s="1"/>
  <c r="BP155" i="3"/>
  <c r="BR154" i="3"/>
  <c r="AA363" i="33" s="1"/>
  <c r="AB363" i="33" s="1"/>
  <c r="AC363" i="33" s="1"/>
  <c r="BP154" i="3"/>
  <c r="BL154" i="3"/>
  <c r="BR153" i="3"/>
  <c r="AA199" i="33" s="1"/>
  <c r="AB199" i="33" s="1"/>
  <c r="AC199" i="33" s="1"/>
  <c r="BP153" i="3"/>
  <c r="BR152" i="3"/>
  <c r="AA302" i="33" s="1"/>
  <c r="AB302" i="33" s="1"/>
  <c r="AC302" i="33" s="1"/>
  <c r="BP152" i="3"/>
  <c r="BH163" i="3"/>
  <c r="T204" i="33" s="1"/>
  <c r="U204" i="33" s="1"/>
  <c r="V204" i="33" s="1"/>
  <c r="BF163" i="3"/>
  <c r="BH162" i="3"/>
  <c r="T203" i="33" s="1"/>
  <c r="U203" i="33" s="1"/>
  <c r="V203" i="33" s="1"/>
  <c r="BF162" i="3"/>
  <c r="BH161" i="3"/>
  <c r="T202" i="33" s="1"/>
  <c r="U202" i="33" s="1"/>
  <c r="V202" i="33" s="1"/>
  <c r="BF161" i="3"/>
  <c r="BH160" i="3"/>
  <c r="T201" i="33" s="1"/>
  <c r="U201" i="33" s="1"/>
  <c r="V201" i="33" s="1"/>
  <c r="BF160" i="3"/>
  <c r="BH159" i="3"/>
  <c r="T200" i="33" s="1"/>
  <c r="U200" i="33" s="1"/>
  <c r="V200" i="33" s="1"/>
  <c r="BF159" i="3"/>
  <c r="BH158" i="3"/>
  <c r="BF158" i="3"/>
  <c r="BH157" i="3"/>
  <c r="V305" i="33" s="1"/>
  <c r="BH155" i="3"/>
  <c r="T303" i="33" s="1"/>
  <c r="U303" i="33" s="1"/>
  <c r="V303" i="33" s="1"/>
  <c r="BF155" i="3"/>
  <c r="BH154" i="3"/>
  <c r="T363" i="33" s="1"/>
  <c r="U363" i="33" s="1"/>
  <c r="V363" i="33" s="1"/>
  <c r="BF154" i="3"/>
  <c r="BB154" i="3"/>
  <c r="BH153" i="3"/>
  <c r="T199" i="33" s="1"/>
  <c r="U199" i="33" s="1"/>
  <c r="V199" i="33" s="1"/>
  <c r="BF153" i="3"/>
  <c r="BH152" i="3"/>
  <c r="T302" i="33" s="1"/>
  <c r="U302" i="33" s="1"/>
  <c r="V302" i="33" s="1"/>
  <c r="BF152" i="3"/>
  <c r="AX163" i="3"/>
  <c r="M204" i="33" s="1"/>
  <c r="N204" i="33" s="1"/>
  <c r="O204" i="33" s="1"/>
  <c r="AV163" i="3"/>
  <c r="AX162" i="3"/>
  <c r="M203" i="33" s="1"/>
  <c r="N203" i="33" s="1"/>
  <c r="O203" i="33" s="1"/>
  <c r="AV162" i="3"/>
  <c r="AX161" i="3"/>
  <c r="M202" i="33" s="1"/>
  <c r="N202" i="33" s="1"/>
  <c r="O202" i="33" s="1"/>
  <c r="AV161" i="3"/>
  <c r="AX160" i="3"/>
  <c r="M201" i="33" s="1"/>
  <c r="N201" i="33" s="1"/>
  <c r="AV160" i="3"/>
  <c r="AX159" i="3"/>
  <c r="M200" i="33" s="1"/>
  <c r="N200" i="33" s="1"/>
  <c r="O200" i="33" s="1"/>
  <c r="AV159" i="3"/>
  <c r="AX158" i="3"/>
  <c r="AX157" i="3"/>
  <c r="M305" i="33" s="1"/>
  <c r="N305" i="33" s="1"/>
  <c r="O305" i="33" s="1"/>
  <c r="AX155" i="3"/>
  <c r="M303" i="33" s="1"/>
  <c r="N303" i="33" s="1"/>
  <c r="O303" i="33" s="1"/>
  <c r="AV155" i="3"/>
  <c r="M363" i="33"/>
  <c r="N363" i="33" s="1"/>
  <c r="AX153" i="3"/>
  <c r="M199" i="33" s="1"/>
  <c r="N199" i="33" s="1"/>
  <c r="AX152" i="3"/>
  <c r="M302" i="33" s="1"/>
  <c r="N302" i="33" s="1"/>
  <c r="AV152" i="3"/>
  <c r="AO163" i="3"/>
  <c r="BW163" i="3" s="1"/>
  <c r="CL163" i="3" s="1"/>
  <c r="AN163" i="3"/>
  <c r="AO162" i="3"/>
  <c r="BC162" i="3" s="1"/>
  <c r="AN162" i="3"/>
  <c r="BV162" i="3" s="1"/>
  <c r="AO161" i="3"/>
  <c r="AN161" i="3"/>
  <c r="AR161" i="3" s="1"/>
  <c r="AO160" i="3"/>
  <c r="AN160" i="3"/>
  <c r="BV160" i="3" s="1"/>
  <c r="AO159" i="3"/>
  <c r="AN159" i="3"/>
  <c r="BB159" i="3" s="1"/>
  <c r="AO155" i="3"/>
  <c r="AN155" i="3"/>
  <c r="AO153" i="3"/>
  <c r="AN153" i="3"/>
  <c r="BL153" i="3" s="1"/>
  <c r="AO152" i="3"/>
  <c r="BC152" i="3" s="1"/>
  <c r="AN152" i="3"/>
  <c r="BV152" i="3" s="1"/>
  <c r="CK20" i="3"/>
  <c r="AF247" i="33" s="1"/>
  <c r="CI20" i="3"/>
  <c r="Y247" i="33" s="1"/>
  <c r="Z247" i="33" s="1"/>
  <c r="CG20" i="3"/>
  <c r="R247" i="33" s="1"/>
  <c r="S247" i="33" s="1"/>
  <c r="CE20" i="3"/>
  <c r="K247" i="33" s="1"/>
  <c r="L247" i="33" s="1"/>
  <c r="CB20" i="3"/>
  <c r="AH247" i="33" s="1"/>
  <c r="AI247" i="33" s="1"/>
  <c r="BZ20" i="3"/>
  <c r="BR20" i="3"/>
  <c r="AA247" i="33" s="1"/>
  <c r="AB247" i="33" s="1"/>
  <c r="AC247" i="33" s="1"/>
  <c r="BP20" i="3"/>
  <c r="BH20" i="3"/>
  <c r="T247" i="33" s="1"/>
  <c r="U247" i="33" s="1"/>
  <c r="V247" i="33" s="1"/>
  <c r="BF20" i="3"/>
  <c r="AX20" i="3"/>
  <c r="M247" i="33" s="1"/>
  <c r="AV20" i="3"/>
  <c r="AO20" i="3"/>
  <c r="BS20" i="3" s="1"/>
  <c r="AA124" i="33" s="1"/>
  <c r="AB124" i="33" s="1"/>
  <c r="AC124" i="33" s="1"/>
  <c r="AN20" i="3"/>
  <c r="BB20" i="3" s="1"/>
  <c r="BL163" i="3" l="1"/>
  <c r="AR163" i="3"/>
  <c r="CC155" i="3"/>
  <c r="BS155" i="3"/>
  <c r="BI155" i="3"/>
  <c r="K303" i="33"/>
  <c r="L303" i="33" s="1"/>
  <c r="R364" i="33"/>
  <c r="S364" i="33" s="1"/>
  <c r="Y364" i="33"/>
  <c r="Z364" i="33" s="1"/>
  <c r="AF364" i="33"/>
  <c r="AG364" i="33" s="1"/>
  <c r="AA364" i="33"/>
  <c r="AB364" i="33" s="1"/>
  <c r="AC364" i="33" s="1"/>
  <c r="K364" i="33"/>
  <c r="BM153" i="3"/>
  <c r="CJ153" i="3" s="1"/>
  <c r="AY153" i="3"/>
  <c r="BM155" i="3"/>
  <c r="AY155" i="3"/>
  <c r="T364" i="33"/>
  <c r="U364" i="33" s="1"/>
  <c r="V364" i="33" s="1"/>
  <c r="M364" i="33"/>
  <c r="N364" i="33" s="1"/>
  <c r="AH364" i="33"/>
  <c r="AI364" i="33" s="1"/>
  <c r="J17" i="33"/>
  <c r="R17" i="33"/>
  <c r="S17" i="33" s="1"/>
  <c r="X17" i="33"/>
  <c r="BM160" i="3"/>
  <c r="CJ160" i="3" s="1"/>
  <c r="CC182" i="3"/>
  <c r="BL155" i="3"/>
  <c r="AR155" i="3"/>
  <c r="AS161" i="3"/>
  <c r="AW161" i="3" s="1"/>
  <c r="AY159" i="3"/>
  <c r="CC181" i="3"/>
  <c r="N247" i="33"/>
  <c r="O247" i="33" s="1"/>
  <c r="BI160" i="3"/>
  <c r="BV159" i="3"/>
  <c r="AR159" i="3"/>
  <c r="AY161" i="3"/>
  <c r="BS162" i="3"/>
  <c r="BM163" i="3"/>
  <c r="BQ163" i="3" s="1"/>
  <c r="BC159" i="3"/>
  <c r="BG159" i="3" s="1"/>
  <c r="BI162" i="3"/>
  <c r="BS160" i="3"/>
  <c r="BW155" i="3"/>
  <c r="AS153" i="3"/>
  <c r="AW153" i="3" s="1"/>
  <c r="AR160" i="3"/>
  <c r="AY162" i="3"/>
  <c r="BI153" i="3"/>
  <c r="BW162" i="3"/>
  <c r="CL162" i="3" s="1"/>
  <c r="BI163" i="3"/>
  <c r="BS161" i="3"/>
  <c r="CC153" i="3"/>
  <c r="BB152" i="3"/>
  <c r="CC152" i="3"/>
  <c r="BL160" i="3"/>
  <c r="BG152" i="3"/>
  <c r="CH152" i="3"/>
  <c r="CH162" i="3"/>
  <c r="BG162" i="3"/>
  <c r="CC163" i="3"/>
  <c r="AY152" i="3"/>
  <c r="AS160" i="3"/>
  <c r="BB161" i="3"/>
  <c r="BL152" i="3"/>
  <c r="BL159" i="3"/>
  <c r="BL162" i="3"/>
  <c r="BV153" i="3"/>
  <c r="BW159" i="3"/>
  <c r="CC160" i="3"/>
  <c r="AR153" i="3"/>
  <c r="AS155" i="3"/>
  <c r="AS163" i="3"/>
  <c r="BI152" i="3"/>
  <c r="BC161" i="3"/>
  <c r="BM152" i="3"/>
  <c r="BS153" i="3"/>
  <c r="BM159" i="3"/>
  <c r="BM162" i="3"/>
  <c r="BW153" i="3"/>
  <c r="BV161" i="3"/>
  <c r="BS163" i="3"/>
  <c r="BW161" i="3"/>
  <c r="AR152" i="3"/>
  <c r="AS159" i="3"/>
  <c r="AR162" i="3"/>
  <c r="BC153" i="3"/>
  <c r="BB155" i="3"/>
  <c r="BB160" i="3"/>
  <c r="BB163" i="3"/>
  <c r="BL161" i="3"/>
  <c r="CC159" i="3"/>
  <c r="CC162" i="3"/>
  <c r="BV163" i="3"/>
  <c r="BB153" i="3"/>
  <c r="BI159" i="3"/>
  <c r="AS152" i="3"/>
  <c r="AY160" i="3"/>
  <c r="AS162" i="3"/>
  <c r="AY163" i="3"/>
  <c r="BC155" i="3"/>
  <c r="BC160" i="3"/>
  <c r="BI161" i="3"/>
  <c r="BC163" i="3"/>
  <c r="BS152" i="3"/>
  <c r="BS159" i="3"/>
  <c r="BM161" i="3"/>
  <c r="BW152" i="3"/>
  <c r="BV155" i="3"/>
  <c r="BW160" i="3"/>
  <c r="CA182" i="3" s="1"/>
  <c r="CC161" i="3"/>
  <c r="BB162" i="3"/>
  <c r="CA163" i="3"/>
  <c r="CL20" i="3"/>
  <c r="AF124" i="33" s="1"/>
  <c r="AG124" i="33" s="1"/>
  <c r="BI20" i="3"/>
  <c r="T124" i="33" s="1"/>
  <c r="U124" i="33" s="1"/>
  <c r="CC20" i="3"/>
  <c r="AH124" i="33" s="1"/>
  <c r="AI124" i="33" s="1"/>
  <c r="AY20" i="3"/>
  <c r="M124" i="33" s="1"/>
  <c r="N124" i="33" s="1"/>
  <c r="BL20" i="3"/>
  <c r="AR20" i="3"/>
  <c r="BV20" i="3"/>
  <c r="CH155" i="3" l="1"/>
  <c r="BG155" i="3"/>
  <c r="CJ155" i="3"/>
  <c r="BQ155" i="3"/>
  <c r="CL155" i="3"/>
  <c r="CA155" i="3"/>
  <c r="BQ153" i="3"/>
  <c r="CF155" i="3"/>
  <c r="AW155" i="3"/>
  <c r="CF161" i="3"/>
  <c r="CL159" i="3"/>
  <c r="CA181" i="3"/>
  <c r="BQ160" i="3"/>
  <c r="CM162" i="3"/>
  <c r="CM155" i="3"/>
  <c r="CM161" i="3"/>
  <c r="CM153" i="3"/>
  <c r="AW20" i="3"/>
  <c r="J124" i="33" s="1"/>
  <c r="CM20" i="3"/>
  <c r="CM152" i="3"/>
  <c r="CM163" i="3"/>
  <c r="CM159" i="3"/>
  <c r="CM160" i="3"/>
  <c r="CH159" i="3"/>
  <c r="CA20" i="3"/>
  <c r="AE124" i="33" s="1"/>
  <c r="CA162" i="3"/>
  <c r="CF153" i="3"/>
  <c r="CJ163" i="3"/>
  <c r="BQ152" i="3"/>
  <c r="CJ152" i="3"/>
  <c r="BG161" i="3"/>
  <c r="CH161" i="3"/>
  <c r="BG163" i="3"/>
  <c r="CH163" i="3"/>
  <c r="AW159" i="3"/>
  <c r="CF159" i="3"/>
  <c r="AW160" i="3"/>
  <c r="CF160" i="3"/>
  <c r="CA152" i="3"/>
  <c r="CL152" i="3"/>
  <c r="CL153" i="3"/>
  <c r="CA153" i="3"/>
  <c r="AW163" i="3"/>
  <c r="CF163" i="3"/>
  <c r="BQ161" i="3"/>
  <c r="CJ161" i="3"/>
  <c r="AW162" i="3"/>
  <c r="CF162" i="3"/>
  <c r="BQ162" i="3"/>
  <c r="CJ162" i="3"/>
  <c r="BG153" i="3"/>
  <c r="CH153" i="3"/>
  <c r="BG160" i="3"/>
  <c r="CH160" i="3"/>
  <c r="CA159" i="3"/>
  <c r="CA161" i="3"/>
  <c r="CL161" i="3"/>
  <c r="BQ159" i="3"/>
  <c r="CJ159" i="3"/>
  <c r="CA160" i="3"/>
  <c r="CL160" i="3"/>
  <c r="AW152" i="3"/>
  <c r="CF152" i="3"/>
  <c r="CH20" i="3"/>
  <c r="BG20" i="3"/>
  <c r="Q124" i="33" s="1"/>
  <c r="CF20" i="3"/>
  <c r="K124" i="33" s="1"/>
  <c r="CJ20" i="3"/>
  <c r="Y124" i="33" s="1"/>
  <c r="Z124" i="33" s="1"/>
  <c r="BQ20" i="3"/>
  <c r="X124" i="33" s="1"/>
  <c r="AC122" i="3" l="1"/>
  <c r="CK151" i="3" l="1"/>
  <c r="AF360" i="33" s="1"/>
  <c r="AG360" i="33" s="1"/>
  <c r="CJ151" i="3"/>
  <c r="CI151" i="3"/>
  <c r="Y360" i="33" s="1"/>
  <c r="CH151" i="3"/>
  <c r="CG151" i="3"/>
  <c r="R360" i="33" s="1"/>
  <c r="S360" i="33" s="1"/>
  <c r="CE151" i="3"/>
  <c r="K360" i="33" s="1"/>
  <c r="CK150" i="3"/>
  <c r="AF359" i="33" s="1"/>
  <c r="AG359" i="33" s="1"/>
  <c r="CJ150" i="3"/>
  <c r="CI150" i="3"/>
  <c r="Y359" i="33" s="1"/>
  <c r="Z359" i="33" s="1"/>
  <c r="CH150" i="3"/>
  <c r="CG150" i="3"/>
  <c r="R359" i="33" s="1"/>
  <c r="S359" i="33" s="1"/>
  <c r="CE150" i="3"/>
  <c r="K359" i="33" s="1"/>
  <c r="L359" i="33" s="1"/>
  <c r="CK149" i="3"/>
  <c r="AF295" i="33" s="1"/>
  <c r="AG295" i="33" s="1"/>
  <c r="CJ149" i="3"/>
  <c r="CI149" i="3"/>
  <c r="Y295" i="33" s="1"/>
  <c r="Z295" i="33" s="1"/>
  <c r="CH149" i="3"/>
  <c r="CG149" i="3"/>
  <c r="R295" i="33" s="1"/>
  <c r="CE149" i="3"/>
  <c r="K295" i="33" s="1"/>
  <c r="L295" i="33" s="1"/>
  <c r="CB151" i="3"/>
  <c r="AH360" i="33" s="1"/>
  <c r="AI360" i="33" s="1"/>
  <c r="BZ151" i="3"/>
  <c r="CB150" i="3"/>
  <c r="AH359" i="33" s="1"/>
  <c r="AI359" i="33" s="1"/>
  <c r="BZ150" i="3"/>
  <c r="CB149" i="3"/>
  <c r="AH295" i="33" s="1"/>
  <c r="AI295" i="33" s="1"/>
  <c r="BZ149" i="3"/>
  <c r="BR151" i="3"/>
  <c r="AA360" i="33" s="1"/>
  <c r="AB360" i="33" s="1"/>
  <c r="AC360" i="33" s="1"/>
  <c r="BQ151" i="3"/>
  <c r="BP151" i="3"/>
  <c r="BR150" i="3"/>
  <c r="AA359" i="33" s="1"/>
  <c r="AB359" i="33" s="1"/>
  <c r="AC359" i="33" s="1"/>
  <c r="BQ150" i="3"/>
  <c r="BP150" i="3"/>
  <c r="AA295" i="33"/>
  <c r="AB295" i="33" s="1"/>
  <c r="AC295" i="33" s="1"/>
  <c r="BQ149" i="3"/>
  <c r="BP149" i="3"/>
  <c r="BR148" i="3"/>
  <c r="AA294" i="33" s="1"/>
  <c r="AB294" i="33" s="1"/>
  <c r="AC294" i="33" s="1"/>
  <c r="BQ148" i="3"/>
  <c r="BP148" i="3"/>
  <c r="BH151" i="3"/>
  <c r="T360" i="33" s="1"/>
  <c r="U360" i="33" s="1"/>
  <c r="V360" i="33" s="1"/>
  <c r="BG151" i="3"/>
  <c r="BF151" i="3"/>
  <c r="BH150" i="3"/>
  <c r="T359" i="33" s="1"/>
  <c r="U359" i="33" s="1"/>
  <c r="V359" i="33" s="1"/>
  <c r="BG150" i="3"/>
  <c r="BF150" i="3"/>
  <c r="BH149" i="3"/>
  <c r="T295" i="33" s="1"/>
  <c r="U295" i="33" s="1"/>
  <c r="V295" i="33" s="1"/>
  <c r="BG149" i="3"/>
  <c r="BF149" i="3"/>
  <c r="BH148" i="3"/>
  <c r="T294" i="33" s="1"/>
  <c r="U294" i="33" s="1"/>
  <c r="V294" i="33" s="1"/>
  <c r="BG148" i="3"/>
  <c r="BF148" i="3"/>
  <c r="BH147" i="3"/>
  <c r="T293" i="33" s="1"/>
  <c r="U293" i="33" s="1"/>
  <c r="V293" i="33" s="1"/>
  <c r="BG147" i="3"/>
  <c r="BF147" i="3"/>
  <c r="AX151" i="3"/>
  <c r="M360" i="33" s="1"/>
  <c r="N360" i="33" s="1"/>
  <c r="AV151" i="3"/>
  <c r="AX150" i="3"/>
  <c r="M359" i="33" s="1"/>
  <c r="N359" i="33" s="1"/>
  <c r="O359" i="33" s="1"/>
  <c r="AV150" i="3"/>
  <c r="AX149" i="3"/>
  <c r="M295" i="33" s="1"/>
  <c r="N295" i="33" s="1"/>
  <c r="O295" i="33" s="1"/>
  <c r="AV149" i="3"/>
  <c r="AX148" i="3"/>
  <c r="M294" i="33" s="1"/>
  <c r="N294" i="33" s="1"/>
  <c r="AV148" i="3"/>
  <c r="AX147" i="3"/>
  <c r="M293" i="33" s="1"/>
  <c r="N293" i="33" s="1"/>
  <c r="O293" i="33" s="1"/>
  <c r="AV147" i="3"/>
  <c r="AX146" i="3"/>
  <c r="M292" i="33" s="1"/>
  <c r="N292" i="33" s="1"/>
  <c r="AV146" i="3"/>
  <c r="AO151" i="3"/>
  <c r="BS151" i="3" s="1"/>
  <c r="AO150" i="3"/>
  <c r="CC150" i="3" s="1"/>
  <c r="AO149" i="3"/>
  <c r="BI149" i="3" s="1"/>
  <c r="AO148" i="3"/>
  <c r="BW148" i="3" s="1"/>
  <c r="AO147" i="3"/>
  <c r="BI147" i="3" s="1"/>
  <c r="AO146" i="3"/>
  <c r="BS146" i="3" s="1"/>
  <c r="AN151" i="3"/>
  <c r="BB151" i="3" s="1"/>
  <c r="AN150" i="3"/>
  <c r="BB150" i="3" s="1"/>
  <c r="AN149" i="3"/>
  <c r="BV149" i="3" s="1"/>
  <c r="AN148" i="3"/>
  <c r="BB148" i="3" s="1"/>
  <c r="AN147" i="3"/>
  <c r="BV147" i="3" s="1"/>
  <c r="AN146" i="3"/>
  <c r="BV146" i="3" s="1"/>
  <c r="CK148" i="3"/>
  <c r="AF294" i="33" s="1"/>
  <c r="AG294" i="33" s="1"/>
  <c r="CJ148" i="3"/>
  <c r="CI148" i="3"/>
  <c r="Y294" i="33" s="1"/>
  <c r="CH148" i="3"/>
  <c r="CG148" i="3"/>
  <c r="R294" i="33" s="1"/>
  <c r="S294" i="33" s="1"/>
  <c r="CE148" i="3"/>
  <c r="K294" i="33" s="1"/>
  <c r="CB148" i="3"/>
  <c r="AH294" i="33" s="1"/>
  <c r="AI294" i="33" s="1"/>
  <c r="BZ148" i="3"/>
  <c r="CK147" i="3"/>
  <c r="AF293" i="33" s="1"/>
  <c r="CJ147" i="3"/>
  <c r="CI147" i="3"/>
  <c r="Y293" i="33" s="1"/>
  <c r="CH147" i="3"/>
  <c r="CG147" i="3"/>
  <c r="R293" i="33" s="1"/>
  <c r="CE147" i="3"/>
  <c r="K293" i="33" s="1"/>
  <c r="L293" i="33" s="1"/>
  <c r="CB147" i="3"/>
  <c r="AH293" i="33" s="1"/>
  <c r="AI293" i="33" s="1"/>
  <c r="BZ147" i="3"/>
  <c r="CK146" i="3"/>
  <c r="AF292" i="33" s="1"/>
  <c r="AG292" i="33" s="1"/>
  <c r="CJ146" i="3"/>
  <c r="CI146" i="3"/>
  <c r="Y292" i="33" s="1"/>
  <c r="CH146" i="3"/>
  <c r="CG146" i="3"/>
  <c r="R292" i="33" s="1"/>
  <c r="S292" i="33" s="1"/>
  <c r="CE146" i="3"/>
  <c r="K292" i="33" s="1"/>
  <c r="CB146" i="3"/>
  <c r="AH292" i="33" s="1"/>
  <c r="AI292" i="33" s="1"/>
  <c r="BZ146" i="3"/>
  <c r="CK145" i="3"/>
  <c r="CJ145" i="3"/>
  <c r="CI145" i="3"/>
  <c r="Y361" i="33" s="1"/>
  <c r="CH145" i="3"/>
  <c r="CG145" i="3"/>
  <c r="R361" i="33" s="1"/>
  <c r="CE145" i="3"/>
  <c r="K361" i="33" s="1"/>
  <c r="CB145" i="3"/>
  <c r="BZ145" i="3"/>
  <c r="CK144" i="3"/>
  <c r="AF301" i="33" s="1"/>
  <c r="AG301" i="33" s="1"/>
  <c r="AP17" i="38" s="1"/>
  <c r="CJ144" i="3"/>
  <c r="CI144" i="3"/>
  <c r="Y301" i="33" s="1"/>
  <c r="CH144" i="3"/>
  <c r="CG144" i="3"/>
  <c r="R301" i="33" s="1"/>
  <c r="CE144" i="3"/>
  <c r="K301" i="33" s="1"/>
  <c r="CB144" i="3"/>
  <c r="AH301" i="33" s="1"/>
  <c r="AI301" i="33" s="1"/>
  <c r="BZ144" i="3"/>
  <c r="CL143" i="3"/>
  <c r="CK143" i="3"/>
  <c r="AF300" i="33" s="1"/>
  <c r="CJ143" i="3"/>
  <c r="Y300" i="33"/>
  <c r="Z300" i="33" s="1"/>
  <c r="AC17" i="38" s="1"/>
  <c r="CH143" i="3"/>
  <c r="CG143" i="3"/>
  <c r="R300" i="33" s="1"/>
  <c r="S300" i="33" s="1"/>
  <c r="P17" i="38" s="1"/>
  <c r="CE143" i="3"/>
  <c r="K300" i="33" s="1"/>
  <c r="CB143" i="3"/>
  <c r="AH300" i="33" s="1"/>
  <c r="AI300" i="33" s="1"/>
  <c r="CA143" i="3"/>
  <c r="BZ143" i="3"/>
  <c r="CL142" i="3"/>
  <c r="CK142" i="3"/>
  <c r="AF198" i="33" s="1"/>
  <c r="CJ142" i="3"/>
  <c r="CI142" i="3"/>
  <c r="Y198" i="33" s="1"/>
  <c r="CH142" i="3"/>
  <c r="CG142" i="3"/>
  <c r="R198" i="33" s="1"/>
  <c r="CF142" i="3"/>
  <c r="CE142" i="3"/>
  <c r="K198" i="33" s="1"/>
  <c r="L198" i="33" s="1"/>
  <c r="CB142" i="3"/>
  <c r="AH198" i="33" s="1"/>
  <c r="AI198" i="33" s="1"/>
  <c r="CA142" i="3"/>
  <c r="BZ142" i="3"/>
  <c r="BR147" i="3"/>
  <c r="AA293" i="33" s="1"/>
  <c r="AB293" i="33" s="1"/>
  <c r="AC293" i="33" s="1"/>
  <c r="BQ147" i="3"/>
  <c r="BP147" i="3"/>
  <c r="BR146" i="3"/>
  <c r="AA292" i="33" s="1"/>
  <c r="AB292" i="33" s="1"/>
  <c r="AC292" i="33" s="1"/>
  <c r="BQ146" i="3"/>
  <c r="BP146" i="3"/>
  <c r="BR145" i="3"/>
  <c r="AA361" i="33" s="1"/>
  <c r="AB361" i="33" s="1"/>
  <c r="BQ145" i="3"/>
  <c r="BP145" i="3"/>
  <c r="BR144" i="3"/>
  <c r="AA301" i="33" s="1"/>
  <c r="AB301" i="33" s="1"/>
  <c r="BQ144" i="3"/>
  <c r="BP144" i="3"/>
  <c r="BR143" i="3"/>
  <c r="BQ143" i="3"/>
  <c r="BR142" i="3"/>
  <c r="AA198" i="33" s="1"/>
  <c r="AB198" i="33" s="1"/>
  <c r="AC198" i="33" s="1"/>
  <c r="BQ142" i="3"/>
  <c r="BP142" i="3"/>
  <c r="BH146" i="3"/>
  <c r="T292" i="33" s="1"/>
  <c r="U292" i="33" s="1"/>
  <c r="V292" i="33" s="1"/>
  <c r="BG146" i="3"/>
  <c r="BF146" i="3"/>
  <c r="BH145" i="3"/>
  <c r="T361" i="33" s="1"/>
  <c r="U361" i="33" s="1"/>
  <c r="BG145" i="3"/>
  <c r="BF145" i="3"/>
  <c r="BH144" i="3"/>
  <c r="T301" i="33" s="1"/>
  <c r="U301" i="33" s="1"/>
  <c r="BG144" i="3"/>
  <c r="BF144" i="3"/>
  <c r="BH143" i="3"/>
  <c r="T300" i="33" s="1"/>
  <c r="U300" i="33" s="1"/>
  <c r="V300" i="33" s="1"/>
  <c r="V17" i="38" s="1"/>
  <c r="BG143" i="3"/>
  <c r="BF143" i="3"/>
  <c r="BH142" i="3"/>
  <c r="T198" i="33" s="1"/>
  <c r="U198" i="33" s="1"/>
  <c r="V198" i="33" s="1"/>
  <c r="BG142" i="3"/>
  <c r="BF142" i="3"/>
  <c r="AX145" i="3"/>
  <c r="M361" i="33" s="1"/>
  <c r="N361" i="33" s="1"/>
  <c r="AV145" i="3"/>
  <c r="AX144" i="3"/>
  <c r="M301" i="33" s="1"/>
  <c r="N301" i="33" s="1"/>
  <c r="AV144" i="3"/>
  <c r="AX143" i="3"/>
  <c r="M300" i="33" s="1"/>
  <c r="N300" i="33" s="1"/>
  <c r="AV143" i="3"/>
  <c r="AX142" i="3"/>
  <c r="M198" i="33" s="1"/>
  <c r="N198" i="33" s="1"/>
  <c r="O198" i="33" s="1"/>
  <c r="AW142" i="3"/>
  <c r="AV142" i="3"/>
  <c r="AO145" i="3"/>
  <c r="BW145" i="3" s="1"/>
  <c r="AO144" i="3"/>
  <c r="BI144" i="3" s="1"/>
  <c r="AO143" i="3"/>
  <c r="AS143" i="3" s="1"/>
  <c r="CM143" i="3" s="1"/>
  <c r="AO142" i="3"/>
  <c r="BI142" i="3" s="1"/>
  <c r="AN145" i="3"/>
  <c r="BB145" i="3" s="1"/>
  <c r="AN144" i="3"/>
  <c r="BB144" i="3" s="1"/>
  <c r="AN143" i="3"/>
  <c r="AR143" i="3" s="1"/>
  <c r="AN142" i="3"/>
  <c r="BV142" i="3" s="1"/>
  <c r="C16" i="38" l="1"/>
  <c r="P16" i="38"/>
  <c r="AH17" i="38"/>
  <c r="AD17" i="38"/>
  <c r="AE17" i="38"/>
  <c r="AF17" i="38"/>
  <c r="AG17" i="38"/>
  <c r="AC16" i="38"/>
  <c r="AA300" i="33"/>
  <c r="AB300" i="33" s="1"/>
  <c r="AC300" i="33" s="1"/>
  <c r="I16" i="38"/>
  <c r="V16" i="38"/>
  <c r="AA17" i="38"/>
  <c r="Z17" i="38"/>
  <c r="Y17" i="38"/>
  <c r="X17" i="38"/>
  <c r="W17" i="38"/>
  <c r="U17" i="38"/>
  <c r="T17" i="38"/>
  <c r="S17" i="38"/>
  <c r="R17" i="38"/>
  <c r="Q17" i="38"/>
  <c r="R358" i="33"/>
  <c r="AF358" i="33"/>
  <c r="AG358" i="33" s="1"/>
  <c r="AP14" i="38" s="1"/>
  <c r="M358" i="33"/>
  <c r="N358" i="33" s="1"/>
  <c r="T358" i="33"/>
  <c r="U358" i="33" s="1"/>
  <c r="AH358" i="33"/>
  <c r="AI358" i="33" s="1"/>
  <c r="Y358" i="33"/>
  <c r="AA358" i="33"/>
  <c r="AB358" i="33" s="1"/>
  <c r="K358" i="33"/>
  <c r="C9" i="38"/>
  <c r="D9" i="38" s="1"/>
  <c r="I9" i="38"/>
  <c r="AS17" i="38"/>
  <c r="AU17" i="38"/>
  <c r="AR17" i="38"/>
  <c r="AT17" i="38"/>
  <c r="AQ17" i="38"/>
  <c r="AV17" i="38"/>
  <c r="AC9" i="38"/>
  <c r="CC148" i="3"/>
  <c r="CC147" i="3"/>
  <c r="AY143" i="3"/>
  <c r="BS147" i="3"/>
  <c r="CC145" i="3"/>
  <c r="AS149" i="3"/>
  <c r="AS147" i="3"/>
  <c r="BL146" i="3"/>
  <c r="AY145" i="3"/>
  <c r="AR144" i="3"/>
  <c r="CC143" i="3"/>
  <c r="BB143" i="3"/>
  <c r="AR147" i="3"/>
  <c r="AY149" i="3"/>
  <c r="CC149" i="3"/>
  <c r="BI146" i="3"/>
  <c r="AS151" i="3"/>
  <c r="AW151" i="3" s="1"/>
  <c r="AY148" i="3"/>
  <c r="BL143" i="3"/>
  <c r="BW146" i="3"/>
  <c r="CL146" i="3" s="1"/>
  <c r="BS145" i="3"/>
  <c r="BV143" i="3"/>
  <c r="BB147" i="3"/>
  <c r="BS149" i="3"/>
  <c r="BW149" i="3"/>
  <c r="CA149" i="3" s="1"/>
  <c r="BS143" i="3"/>
  <c r="AY146" i="3"/>
  <c r="BS148" i="3"/>
  <c r="CA145" i="3"/>
  <c r="CL145" i="3"/>
  <c r="CL148" i="3"/>
  <c r="CA148" i="3"/>
  <c r="AW143" i="3"/>
  <c r="CF143" i="3"/>
  <c r="AR145" i="3"/>
  <c r="BI143" i="3"/>
  <c r="BI145" i="3"/>
  <c r="BL144" i="3"/>
  <c r="BV144" i="3"/>
  <c r="AS148" i="3"/>
  <c r="CM148" i="3" s="1"/>
  <c r="BB149" i="3"/>
  <c r="BI148" i="3"/>
  <c r="BL147" i="3"/>
  <c r="BB142" i="3"/>
  <c r="BL145" i="3"/>
  <c r="BS142" i="3"/>
  <c r="BS144" i="3"/>
  <c r="BV145" i="3"/>
  <c r="AR146" i="3"/>
  <c r="BL148" i="3"/>
  <c r="BW147" i="3"/>
  <c r="BL150" i="3"/>
  <c r="BW144" i="3"/>
  <c r="BV148" i="3"/>
  <c r="BL151" i="3"/>
  <c r="AS145" i="3"/>
  <c r="CM145" i="3" s="1"/>
  <c r="AY142" i="3"/>
  <c r="AY144" i="3"/>
  <c r="CC142" i="3"/>
  <c r="CC144" i="3"/>
  <c r="CC146" i="3"/>
  <c r="AR148" i="3"/>
  <c r="AY147" i="3"/>
  <c r="BL149" i="3"/>
  <c r="BV150" i="3"/>
  <c r="AS144" i="3"/>
  <c r="BB146" i="3"/>
  <c r="BW150" i="3"/>
  <c r="AR149" i="3"/>
  <c r="BV151" i="3"/>
  <c r="AR142" i="3"/>
  <c r="BL142" i="3"/>
  <c r="AS146" i="3"/>
  <c r="BW151" i="3"/>
  <c r="CA151" i="3" s="1"/>
  <c r="CC151" i="3"/>
  <c r="BS150" i="3"/>
  <c r="AY151" i="3"/>
  <c r="BI150" i="3"/>
  <c r="AS150" i="3"/>
  <c r="AY150" i="3"/>
  <c r="BI151" i="3"/>
  <c r="AR151" i="3"/>
  <c r="AR150" i="3"/>
  <c r="BH118" i="3"/>
  <c r="T277" i="33" s="1"/>
  <c r="U277" i="33" s="1"/>
  <c r="BG118" i="3"/>
  <c r="BF118" i="3"/>
  <c r="AX118" i="3"/>
  <c r="M277" i="33" s="1"/>
  <c r="N277" i="33" s="1"/>
  <c r="AW118" i="3"/>
  <c r="AV118" i="3"/>
  <c r="CL118" i="3"/>
  <c r="CK118" i="3"/>
  <c r="AF277" i="33" s="1"/>
  <c r="CJ118" i="3"/>
  <c r="CI118" i="3"/>
  <c r="Y277" i="33" s="1"/>
  <c r="Z277" i="33" s="1"/>
  <c r="AC12" i="38" s="1"/>
  <c r="CH118" i="3"/>
  <c r="CG118" i="3"/>
  <c r="R277" i="33" s="1"/>
  <c r="CF118" i="3"/>
  <c r="CE118" i="3"/>
  <c r="K277" i="33" s="1"/>
  <c r="CB118" i="3"/>
  <c r="AH277" i="33" s="1"/>
  <c r="AI277" i="33" s="1"/>
  <c r="AV12" i="38" s="1"/>
  <c r="CA118" i="3"/>
  <c r="BZ118" i="3"/>
  <c r="CB94" i="3"/>
  <c r="AH332" i="33" s="1"/>
  <c r="AI332" i="33" s="1"/>
  <c r="AV11" i="38" s="1"/>
  <c r="BZ94" i="3"/>
  <c r="BR118" i="3"/>
  <c r="AA277" i="33" s="1"/>
  <c r="AB277" i="33" s="1"/>
  <c r="AC277" i="33" s="1"/>
  <c r="AI12" i="38" s="1"/>
  <c r="BQ118" i="3"/>
  <c r="BP118" i="3"/>
  <c r="BR94" i="3"/>
  <c r="AA332" i="33" s="1"/>
  <c r="AB332" i="33" s="1"/>
  <c r="AC332" i="33" s="1"/>
  <c r="AI11" i="38" s="1"/>
  <c r="BP94" i="3"/>
  <c r="BH94" i="3"/>
  <c r="T332" i="33" s="1"/>
  <c r="U332" i="33" s="1"/>
  <c r="V332" i="33" s="1"/>
  <c r="V11" i="38" s="1"/>
  <c r="BF94" i="3"/>
  <c r="AX94" i="3"/>
  <c r="M332" i="33" s="1"/>
  <c r="N332" i="33" s="1"/>
  <c r="O332" i="33" s="1"/>
  <c r="I11" i="38" s="1"/>
  <c r="AW94" i="3"/>
  <c r="J97" i="33" s="1"/>
  <c r="AV94" i="3"/>
  <c r="BQ94" i="3"/>
  <c r="X97" i="33" s="1"/>
  <c r="BG94" i="3"/>
  <c r="Q97" i="33" s="1"/>
  <c r="AO118" i="3"/>
  <c r="CC118" i="3" s="1"/>
  <c r="AN118" i="3"/>
  <c r="AR118" i="3" s="1"/>
  <c r="AN94" i="3"/>
  <c r="AI16" i="38" l="1"/>
  <c r="AI17" i="38"/>
  <c r="AJ17" i="38" s="1"/>
  <c r="AH16" i="38"/>
  <c r="AG16" i="38"/>
  <c r="AF16" i="38"/>
  <c r="AE16" i="38"/>
  <c r="AD16" i="38"/>
  <c r="AM12" i="38"/>
  <c r="AL12" i="38"/>
  <c r="AK12" i="38"/>
  <c r="AJ12" i="38"/>
  <c r="AN12" i="38"/>
  <c r="AF12" i="38"/>
  <c r="AD12" i="38"/>
  <c r="AE12" i="38"/>
  <c r="AG12" i="38"/>
  <c r="AH12" i="38"/>
  <c r="AH9" i="38"/>
  <c r="AG9" i="38"/>
  <c r="AF9" i="38"/>
  <c r="AE9" i="38"/>
  <c r="AD9" i="38"/>
  <c r="AN11" i="38"/>
  <c r="AM11" i="38"/>
  <c r="AL11" i="38"/>
  <c r="AK11" i="38"/>
  <c r="AJ11" i="38"/>
  <c r="AP9" i="38"/>
  <c r="AS9" i="38" s="1"/>
  <c r="Y11" i="38"/>
  <c r="AA11" i="38"/>
  <c r="X11" i="38"/>
  <c r="W11" i="38"/>
  <c r="Z11" i="38"/>
  <c r="R16" i="38"/>
  <c r="U16" i="38"/>
  <c r="Q16" i="38"/>
  <c r="T16" i="38"/>
  <c r="S16" i="38"/>
  <c r="N11" i="38"/>
  <c r="M11" i="38"/>
  <c r="L11" i="38"/>
  <c r="K11" i="38"/>
  <c r="J11" i="38"/>
  <c r="N16" i="38"/>
  <c r="M16" i="38"/>
  <c r="L16" i="38"/>
  <c r="K16" i="38"/>
  <c r="J16" i="38"/>
  <c r="BA11" i="38"/>
  <c r="AW11" i="38"/>
  <c r="AZ11" i="38"/>
  <c r="AX11" i="38"/>
  <c r="AY11" i="38"/>
  <c r="H9" i="38"/>
  <c r="F9" i="38"/>
  <c r="E9" i="38"/>
  <c r="G9" i="38"/>
  <c r="BA12" i="38"/>
  <c r="AZ12" i="38"/>
  <c r="AW12" i="38"/>
  <c r="AX12" i="38"/>
  <c r="AY12" i="38"/>
  <c r="AC14" i="38"/>
  <c r="BA17" i="38"/>
  <c r="AX17" i="38"/>
  <c r="AZ17" i="38"/>
  <c r="AW17" i="38"/>
  <c r="AY17" i="38"/>
  <c r="K9" i="38"/>
  <c r="M9" i="38"/>
  <c r="J9" i="38"/>
  <c r="N9" i="38"/>
  <c r="L9" i="38"/>
  <c r="CM144" i="3"/>
  <c r="CM146" i="3"/>
  <c r="CM150" i="3"/>
  <c r="AW147" i="3"/>
  <c r="CM147" i="3"/>
  <c r="CF149" i="3"/>
  <c r="CM149" i="3"/>
  <c r="CM151" i="3"/>
  <c r="AW149" i="3"/>
  <c r="AR94" i="3"/>
  <c r="BV94" i="3"/>
  <c r="BB94" i="3"/>
  <c r="BL94" i="3"/>
  <c r="CF147" i="3"/>
  <c r="CA146" i="3"/>
  <c r="CF151" i="3"/>
  <c r="CL149" i="3"/>
  <c r="CL150" i="3"/>
  <c r="CA150" i="3"/>
  <c r="AW145" i="3"/>
  <c r="CF145" i="3"/>
  <c r="AW146" i="3"/>
  <c r="CF146" i="3"/>
  <c r="CA147" i="3"/>
  <c r="CL147" i="3"/>
  <c r="CF144" i="3"/>
  <c r="AW144" i="3"/>
  <c r="CL144" i="3"/>
  <c r="CA144" i="3"/>
  <c r="CL151" i="3"/>
  <c r="AW148" i="3"/>
  <c r="CF148" i="3"/>
  <c r="CF150" i="3"/>
  <c r="AW150" i="3"/>
  <c r="AY94" i="3"/>
  <c r="M97" i="33" s="1"/>
  <c r="N97" i="33" s="1"/>
  <c r="BV118" i="3"/>
  <c r="BL118" i="3"/>
  <c r="BB118" i="3"/>
  <c r="CA94" i="3"/>
  <c r="AE97" i="33" s="1"/>
  <c r="BS94" i="3"/>
  <c r="AA97" i="33" s="1"/>
  <c r="AB97" i="33" s="1"/>
  <c r="AC97" i="33" s="1"/>
  <c r="CC94" i="3"/>
  <c r="AH97" i="33" s="1"/>
  <c r="AI97" i="33" s="1"/>
  <c r="BI94" i="3"/>
  <c r="T97" i="33" s="1"/>
  <c r="U97" i="33" s="1"/>
  <c r="V97" i="33" s="1"/>
  <c r="BI118" i="3"/>
  <c r="BS118" i="3"/>
  <c r="AY118" i="3"/>
  <c r="AN50" i="3"/>
  <c r="BL50" i="3" s="1"/>
  <c r="AX50" i="3"/>
  <c r="M256" i="33" s="1"/>
  <c r="BF50" i="3"/>
  <c r="BH50" i="3"/>
  <c r="T256" i="33" s="1"/>
  <c r="U256" i="33" s="1"/>
  <c r="V256" i="33" s="1"/>
  <c r="BP50" i="3"/>
  <c r="BR50" i="3"/>
  <c r="AA256" i="33" s="1"/>
  <c r="AB256" i="33" s="1"/>
  <c r="AC256" i="33" s="1"/>
  <c r="BZ50" i="3"/>
  <c r="CB50" i="3"/>
  <c r="AH256" i="33" s="1"/>
  <c r="AI256" i="33" s="1"/>
  <c r="CE50" i="3"/>
  <c r="K256" i="33" s="1"/>
  <c r="L256" i="33" s="1"/>
  <c r="C8" i="38" s="1"/>
  <c r="CG50" i="3"/>
  <c r="R256" i="33" s="1"/>
  <c r="S256" i="33" s="1"/>
  <c r="CI50" i="3"/>
  <c r="Y256" i="33" s="1"/>
  <c r="Z256" i="33" s="1"/>
  <c r="AN51" i="3"/>
  <c r="BB51" i="3" s="1"/>
  <c r="AO51" i="3"/>
  <c r="CC51" i="3" s="1"/>
  <c r="AV51" i="3"/>
  <c r="AW51" i="3"/>
  <c r="AX51" i="3"/>
  <c r="M257" i="33" s="1"/>
  <c r="N257" i="33" s="1"/>
  <c r="BF51" i="3"/>
  <c r="BG51" i="3"/>
  <c r="BH51" i="3"/>
  <c r="T257" i="33" s="1"/>
  <c r="U257" i="33" s="1"/>
  <c r="BP51" i="3"/>
  <c r="BQ51" i="3"/>
  <c r="BR51" i="3"/>
  <c r="AA257" i="33" s="1"/>
  <c r="AB257" i="33" s="1"/>
  <c r="AC257" i="33" s="1"/>
  <c r="BZ51" i="3"/>
  <c r="CA51" i="3"/>
  <c r="CB51" i="3"/>
  <c r="AH257" i="33" s="1"/>
  <c r="AI257" i="33" s="1"/>
  <c r="CE51" i="3"/>
  <c r="K257" i="33" s="1"/>
  <c r="CF51" i="3"/>
  <c r="CG51" i="3"/>
  <c r="R257" i="33" s="1"/>
  <c r="CH51" i="3"/>
  <c r="CI51" i="3"/>
  <c r="Y257" i="33" s="1"/>
  <c r="Z257" i="33" s="1"/>
  <c r="CJ51" i="3"/>
  <c r="AN52" i="3"/>
  <c r="AO52" i="3"/>
  <c r="CC52" i="3" s="1"/>
  <c r="AV52" i="3"/>
  <c r="AW52" i="3"/>
  <c r="AX52" i="3"/>
  <c r="M258" i="33" s="1"/>
  <c r="N258" i="33" s="1"/>
  <c r="BF52" i="3"/>
  <c r="BG52" i="3"/>
  <c r="BH52" i="3"/>
  <c r="T258" i="33" s="1"/>
  <c r="U258" i="33" s="1"/>
  <c r="BP52" i="3"/>
  <c r="BQ52" i="3"/>
  <c r="BR52" i="3"/>
  <c r="AA258" i="33" s="1"/>
  <c r="AB258" i="33" s="1"/>
  <c r="AC258" i="33" s="1"/>
  <c r="BZ52" i="3"/>
  <c r="CA52" i="3"/>
  <c r="CB52" i="3"/>
  <c r="AH258" i="33" s="1"/>
  <c r="AI258" i="33" s="1"/>
  <c r="CE52" i="3"/>
  <c r="K258" i="33" s="1"/>
  <c r="CF52" i="3"/>
  <c r="CG52" i="3"/>
  <c r="R258" i="33" s="1"/>
  <c r="CH52" i="3"/>
  <c r="CI52" i="3"/>
  <c r="Y258" i="33" s="1"/>
  <c r="Z258" i="33" s="1"/>
  <c r="CJ52" i="3"/>
  <c r="AN53" i="3"/>
  <c r="BL53" i="3" s="1"/>
  <c r="AO53" i="3"/>
  <c r="CC53" i="3" s="1"/>
  <c r="AV53" i="3"/>
  <c r="AW53" i="3"/>
  <c r="AX53" i="3"/>
  <c r="M259" i="33" s="1"/>
  <c r="N259" i="33" s="1"/>
  <c r="BF53" i="3"/>
  <c r="BG53" i="3"/>
  <c r="BH53" i="3"/>
  <c r="T259" i="33" s="1"/>
  <c r="U259" i="33" s="1"/>
  <c r="V259" i="33" s="1"/>
  <c r="BP53" i="3"/>
  <c r="BQ53" i="3"/>
  <c r="BR53" i="3"/>
  <c r="AA259" i="33" s="1"/>
  <c r="AB259" i="33" s="1"/>
  <c r="BZ53" i="3"/>
  <c r="CA53" i="3"/>
  <c r="CB53" i="3"/>
  <c r="AH259" i="33" s="1"/>
  <c r="AI259" i="33" s="1"/>
  <c r="CE53" i="3"/>
  <c r="K259" i="33" s="1"/>
  <c r="CF53" i="3"/>
  <c r="CG53" i="3"/>
  <c r="R259" i="33" s="1"/>
  <c r="S259" i="33" s="1"/>
  <c r="CH53" i="3"/>
  <c r="CI53" i="3"/>
  <c r="Y259" i="33" s="1"/>
  <c r="CJ53" i="3"/>
  <c r="AO54" i="3"/>
  <c r="AN54" i="3"/>
  <c r="BB54" i="3" s="1"/>
  <c r="AV54" i="3"/>
  <c r="AW54" i="3"/>
  <c r="AX54" i="3"/>
  <c r="M260" i="33" s="1"/>
  <c r="N260" i="33" s="1"/>
  <c r="BF54" i="3"/>
  <c r="BG54" i="3"/>
  <c r="BH54" i="3"/>
  <c r="T260" i="33" s="1"/>
  <c r="U260" i="33" s="1"/>
  <c r="BP54" i="3"/>
  <c r="BQ54" i="3"/>
  <c r="BR54" i="3"/>
  <c r="AA260" i="33" s="1"/>
  <c r="AB260" i="33" s="1"/>
  <c r="AC260" i="33" s="1"/>
  <c r="BZ54" i="3"/>
  <c r="CA54" i="3"/>
  <c r="CB54" i="3"/>
  <c r="AH260" i="33" s="1"/>
  <c r="AI260" i="33" s="1"/>
  <c r="CE54" i="3"/>
  <c r="K260" i="33" s="1"/>
  <c r="CF54" i="3"/>
  <c r="CG54" i="3"/>
  <c r="R260" i="33" s="1"/>
  <c r="CH54" i="3"/>
  <c r="CI54" i="3"/>
  <c r="Y260" i="33" s="1"/>
  <c r="Z260" i="33" s="1"/>
  <c r="CJ54" i="3"/>
  <c r="AO55" i="3"/>
  <c r="BS55" i="3" s="1"/>
  <c r="AN55" i="3"/>
  <c r="AR55" i="3" s="1"/>
  <c r="AV55" i="3"/>
  <c r="AW55" i="3"/>
  <c r="AX55" i="3"/>
  <c r="M261" i="33" s="1"/>
  <c r="BF55" i="3"/>
  <c r="BG55" i="3"/>
  <c r="BH55" i="3"/>
  <c r="T261" i="33" s="1"/>
  <c r="U261" i="33" s="1"/>
  <c r="V261" i="33" s="1"/>
  <c r="BP55" i="3"/>
  <c r="BQ55" i="3"/>
  <c r="BR55" i="3"/>
  <c r="AA261" i="33" s="1"/>
  <c r="AB261" i="33" s="1"/>
  <c r="AC261" i="33" s="1"/>
  <c r="BZ55" i="3"/>
  <c r="CA55" i="3"/>
  <c r="CB55" i="3"/>
  <c r="AH261" i="33" s="1"/>
  <c r="AI261" i="33" s="1"/>
  <c r="CE55" i="3"/>
  <c r="K261" i="33" s="1"/>
  <c r="L261" i="33" s="1"/>
  <c r="CF55" i="3"/>
  <c r="CG55" i="3"/>
  <c r="R261" i="33" s="1"/>
  <c r="CH55" i="3"/>
  <c r="CI55" i="3"/>
  <c r="Y261" i="33" s="1"/>
  <c r="CJ55" i="3"/>
  <c r="AN56" i="3"/>
  <c r="BB56" i="3" s="1"/>
  <c r="AO56" i="3"/>
  <c r="AV56" i="3"/>
  <c r="AX56" i="3"/>
  <c r="M310" i="33" s="1"/>
  <c r="BF56" i="3"/>
  <c r="BG56" i="3"/>
  <c r="Q67" i="33" s="1"/>
  <c r="BH56" i="3"/>
  <c r="T310" i="33" s="1"/>
  <c r="BP56" i="3"/>
  <c r="BQ56" i="3"/>
  <c r="X67" i="33" s="1"/>
  <c r="BR56" i="3"/>
  <c r="AA310" i="33" s="1"/>
  <c r="BZ56" i="3"/>
  <c r="CB56" i="3"/>
  <c r="AH310" i="33" s="1"/>
  <c r="CE56" i="3"/>
  <c r="K310" i="33" s="1"/>
  <c r="CG56" i="3"/>
  <c r="R310" i="33" s="1"/>
  <c r="CH56" i="3"/>
  <c r="R67" i="33" s="1"/>
  <c r="S67" i="33" s="1"/>
  <c r="CI56" i="3"/>
  <c r="Y310" i="33" s="1"/>
  <c r="CJ56" i="3"/>
  <c r="Y67" i="33" s="1"/>
  <c r="Z67" i="33" s="1"/>
  <c r="AN76" i="3"/>
  <c r="BL76" i="3" s="1"/>
  <c r="AO76" i="3"/>
  <c r="AV76" i="3"/>
  <c r="AW76" i="3"/>
  <c r="J87" i="33" s="1"/>
  <c r="AX76" i="3"/>
  <c r="M314" i="33" s="1"/>
  <c r="N314" i="33" s="1"/>
  <c r="BF76" i="3"/>
  <c r="BH76" i="3"/>
  <c r="T314" i="33" s="1"/>
  <c r="U314" i="33" s="1"/>
  <c r="V314" i="33" s="1"/>
  <c r="BP76" i="3"/>
  <c r="BQ76" i="3"/>
  <c r="BR76" i="3"/>
  <c r="AA314" i="33" s="1"/>
  <c r="AB314" i="33" s="1"/>
  <c r="AC314" i="33" s="1"/>
  <c r="BZ76" i="3"/>
  <c r="CA76" i="3"/>
  <c r="CB76" i="3"/>
  <c r="AH314" i="33" s="1"/>
  <c r="AI314" i="33" s="1"/>
  <c r="CE76" i="3"/>
  <c r="K314" i="33" s="1"/>
  <c r="CF76" i="3"/>
  <c r="K87" i="33" s="1"/>
  <c r="CG76" i="3"/>
  <c r="R314" i="33" s="1"/>
  <c r="S314" i="33" s="1"/>
  <c r="CI76" i="3"/>
  <c r="Y314" i="33" s="1"/>
  <c r="CJ76" i="3"/>
  <c r="Y87" i="33" s="1"/>
  <c r="BV52" i="3" l="1"/>
  <c r="BL52" i="3"/>
  <c r="AN17" i="38"/>
  <c r="AL17" i="38"/>
  <c r="AK17" i="38"/>
  <c r="AM17" i="38"/>
  <c r="AF14" i="38"/>
  <c r="AE14" i="38"/>
  <c r="AD14" i="38"/>
  <c r="AH14" i="38"/>
  <c r="AG14" i="38"/>
  <c r="AN16" i="38"/>
  <c r="AM16" i="38"/>
  <c r="AL16" i="38"/>
  <c r="AK16" i="38"/>
  <c r="AJ16" i="38"/>
  <c r="AU9" i="38"/>
  <c r="AT9" i="38"/>
  <c r="AR9" i="38"/>
  <c r="AQ9" i="38"/>
  <c r="P8" i="38"/>
  <c r="P9" i="38"/>
  <c r="P14" i="38"/>
  <c r="V9" i="38"/>
  <c r="AV8" i="38"/>
  <c r="AX8" i="38" s="1"/>
  <c r="AI8" i="38"/>
  <c r="AV9" i="38"/>
  <c r="V8" i="38"/>
  <c r="AC8" i="38"/>
  <c r="AI9" i="38"/>
  <c r="H8" i="38"/>
  <c r="D8" i="38"/>
  <c r="E8" i="38"/>
  <c r="G8" i="38"/>
  <c r="F8" i="38"/>
  <c r="N256" i="33"/>
  <c r="O256" i="33" s="1"/>
  <c r="I8" i="38" s="1"/>
  <c r="J8" i="38" s="1"/>
  <c r="N261" i="33"/>
  <c r="O261" i="33" s="1"/>
  <c r="N310" i="33"/>
  <c r="L310" i="33"/>
  <c r="C14" i="38" s="1"/>
  <c r="AI310" i="33"/>
  <c r="AV10" i="38" s="1"/>
  <c r="AB310" i="33"/>
  <c r="U310" i="33"/>
  <c r="BI76" i="3"/>
  <c r="V87" i="33" s="1"/>
  <c r="BC76" i="3"/>
  <c r="CM76" i="3" s="1"/>
  <c r="CC56" i="3"/>
  <c r="AH67" i="33" s="1"/>
  <c r="AI67" i="33" s="1"/>
  <c r="AS56" i="3"/>
  <c r="CM56" i="3" s="1"/>
  <c r="BI51" i="3"/>
  <c r="BL51" i="3"/>
  <c r="AR51" i="3"/>
  <c r="BI56" i="3"/>
  <c r="T67" i="33" s="1"/>
  <c r="U67" i="33" s="1"/>
  <c r="V67" i="33" s="1"/>
  <c r="AR76" i="3"/>
  <c r="BI52" i="3"/>
  <c r="BL56" i="3"/>
  <c r="BS51" i="3"/>
  <c r="AY51" i="3"/>
  <c r="BV50" i="3"/>
  <c r="BB50" i="3"/>
  <c r="BI54" i="3"/>
  <c r="CC54" i="3"/>
  <c r="BS54" i="3"/>
  <c r="AY54" i="3"/>
  <c r="BV55" i="3"/>
  <c r="BV53" i="3"/>
  <c r="BB53" i="3"/>
  <c r="BS52" i="3"/>
  <c r="AY52" i="3"/>
  <c r="BL54" i="3"/>
  <c r="AR54" i="3"/>
  <c r="BI53" i="3"/>
  <c r="AR53" i="3"/>
  <c r="AR56" i="3"/>
  <c r="BV56" i="3"/>
  <c r="BV76" i="3"/>
  <c r="BB76" i="3"/>
  <c r="BS56" i="3"/>
  <c r="AA67" i="33" s="1"/>
  <c r="AB67" i="33" s="1"/>
  <c r="AC67" i="33" s="1"/>
  <c r="AY55" i="3"/>
  <c r="BS53" i="3"/>
  <c r="BV51" i="3"/>
  <c r="AR50" i="3"/>
  <c r="CC55" i="3"/>
  <c r="BS76" i="3"/>
  <c r="AC87" i="33" s="1"/>
  <c r="CC76" i="3"/>
  <c r="AY56" i="3"/>
  <c r="M67" i="33" s="1"/>
  <c r="BL55" i="3"/>
  <c r="BV54" i="3"/>
  <c r="AY53" i="3"/>
  <c r="BB55" i="3"/>
  <c r="BI55" i="3"/>
  <c r="AR52" i="3"/>
  <c r="BB52" i="3"/>
  <c r="AY76" i="3"/>
  <c r="BX12" i="29"/>
  <c r="AF219" i="33" s="1"/>
  <c r="AG219" i="33" s="1"/>
  <c r="BV12" i="29"/>
  <c r="Y219" i="33" s="1"/>
  <c r="BT12" i="29"/>
  <c r="R219" i="33" s="1"/>
  <c r="BR12" i="29"/>
  <c r="K219" i="33" s="1"/>
  <c r="BX11" i="29"/>
  <c r="AF218" i="33" s="1"/>
  <c r="AG218" i="33" s="1"/>
  <c r="BV11" i="29"/>
  <c r="Y218" i="33" s="1"/>
  <c r="BT11" i="29"/>
  <c r="R218" i="33" s="1"/>
  <c r="K218" i="33"/>
  <c r="BX10" i="29"/>
  <c r="BV10" i="29"/>
  <c r="BT10" i="29"/>
  <c r="BR10" i="29"/>
  <c r="K160" i="33" s="1"/>
  <c r="L160" i="33" s="1"/>
  <c r="BO12" i="29"/>
  <c r="AH219" i="33" s="1"/>
  <c r="AI219" i="33" s="1"/>
  <c r="BM12" i="29"/>
  <c r="BO11" i="29"/>
  <c r="AH218" i="33" s="1"/>
  <c r="AI218" i="33" s="1"/>
  <c r="BM11" i="29"/>
  <c r="BM10" i="29"/>
  <c r="BE12" i="29"/>
  <c r="AA219" i="33" s="1"/>
  <c r="AB219" i="33" s="1"/>
  <c r="BC12" i="29"/>
  <c r="BE11" i="29"/>
  <c r="AA218" i="33" s="1"/>
  <c r="AB218" i="33" s="1"/>
  <c r="BC11" i="29"/>
  <c r="BC10" i="29"/>
  <c r="AU12" i="29"/>
  <c r="T219" i="33" s="1"/>
  <c r="U219" i="33" s="1"/>
  <c r="AS12" i="29"/>
  <c r="AU11" i="29"/>
  <c r="T218" i="33" s="1"/>
  <c r="U218" i="33" s="1"/>
  <c r="AS11" i="29"/>
  <c r="AS10" i="29"/>
  <c r="AK12" i="29"/>
  <c r="M219" i="33" s="1"/>
  <c r="N219" i="33" s="1"/>
  <c r="AI12" i="29"/>
  <c r="AK11" i="29"/>
  <c r="M218" i="33" s="1"/>
  <c r="N218" i="33" s="1"/>
  <c r="AI10" i="29"/>
  <c r="AA11" i="29"/>
  <c r="AY11" i="29" s="1"/>
  <c r="BY38" i="27"/>
  <c r="BW38" i="27"/>
  <c r="BU38" i="27"/>
  <c r="BN38" i="27"/>
  <c r="BD38" i="27"/>
  <c r="AT38" i="27"/>
  <c r="AJ38" i="27"/>
  <c r="BS38" i="27"/>
  <c r="BM38" i="27"/>
  <c r="BX38" i="27"/>
  <c r="BC38" i="27"/>
  <c r="BV38" i="27"/>
  <c r="AS38" i="27"/>
  <c r="BT38" i="27"/>
  <c r="AI38" i="27"/>
  <c r="BR38" i="27"/>
  <c r="AA38" i="27"/>
  <c r="AE38" i="27" s="1"/>
  <c r="AK38" i="27"/>
  <c r="AU38" i="27"/>
  <c r="BE38" i="27"/>
  <c r="BO38" i="27"/>
  <c r="AB38" i="27"/>
  <c r="BN37" i="27"/>
  <c r="BY37" i="27"/>
  <c r="BM37" i="27"/>
  <c r="BX37" i="27"/>
  <c r="BD37" i="27"/>
  <c r="BW37" i="27"/>
  <c r="BC37" i="27"/>
  <c r="BV37" i="27"/>
  <c r="AT37" i="27"/>
  <c r="BU37" i="27"/>
  <c r="AS37" i="27"/>
  <c r="BT37" i="27"/>
  <c r="AJ37" i="27"/>
  <c r="BS37" i="27"/>
  <c r="AI37" i="27"/>
  <c r="BR37" i="27"/>
  <c r="AK37" i="27"/>
  <c r="AU37" i="27"/>
  <c r="BE37" i="27"/>
  <c r="BO37" i="27"/>
  <c r="AB37" i="27"/>
  <c r="AA37" i="27"/>
  <c r="AO37" i="27" s="1"/>
  <c r="AG8" i="38" l="1"/>
  <c r="AD8" i="38"/>
  <c r="AE8" i="38"/>
  <c r="AH8" i="38"/>
  <c r="AF8" i="38"/>
  <c r="AN8" i="38"/>
  <c r="AM8" i="38"/>
  <c r="AL8" i="38"/>
  <c r="AJ8" i="38"/>
  <c r="AK8" i="38"/>
  <c r="AN9" i="38"/>
  <c r="AM9" i="38"/>
  <c r="AL9" i="38"/>
  <c r="AK9" i="38"/>
  <c r="AJ9" i="38"/>
  <c r="T14" i="38"/>
  <c r="S14" i="38"/>
  <c r="R14" i="38"/>
  <c r="Q14" i="38"/>
  <c r="U14" i="38"/>
  <c r="K217" i="33"/>
  <c r="M216" i="33"/>
  <c r="N216" i="33" s="1"/>
  <c r="Y216" i="33"/>
  <c r="AH217" i="33"/>
  <c r="AI217" i="33" s="1"/>
  <c r="R216" i="33"/>
  <c r="AA217" i="33"/>
  <c r="AB217" i="33" s="1"/>
  <c r="Y217" i="33"/>
  <c r="AH216" i="33"/>
  <c r="AI216" i="33" s="1"/>
  <c r="T216" i="33"/>
  <c r="U216" i="33" s="1"/>
  <c r="K216" i="33"/>
  <c r="R217" i="33"/>
  <c r="T217" i="33"/>
  <c r="U217" i="33" s="1"/>
  <c r="AF216" i="33"/>
  <c r="AG216" i="33" s="1"/>
  <c r="M217" i="33"/>
  <c r="N217" i="33" s="1"/>
  <c r="AF217" i="33"/>
  <c r="AG217" i="33" s="1"/>
  <c r="AA216" i="33"/>
  <c r="AB216" i="33" s="1"/>
  <c r="AW8" i="38"/>
  <c r="BA8" i="38"/>
  <c r="AV14" i="38"/>
  <c r="AY8" i="38"/>
  <c r="AZ8" i="38"/>
  <c r="AA8" i="38"/>
  <c r="Y8" i="38"/>
  <c r="W8" i="38"/>
  <c r="X8" i="38"/>
  <c r="Z8" i="38"/>
  <c r="S8" i="38"/>
  <c r="U8" i="38"/>
  <c r="T8" i="38"/>
  <c r="R8" i="38"/>
  <c r="Q8" i="38"/>
  <c r="N8" i="38"/>
  <c r="L8" i="38"/>
  <c r="M8" i="38"/>
  <c r="K8" i="38"/>
  <c r="BA9" i="38"/>
  <c r="AZ9" i="38"/>
  <c r="AW9" i="38"/>
  <c r="AX9" i="38"/>
  <c r="AY9" i="38"/>
  <c r="C10" i="38"/>
  <c r="S9" i="38"/>
  <c r="U9" i="38"/>
  <c r="Q9" i="38"/>
  <c r="R9" i="38"/>
  <c r="T9" i="38"/>
  <c r="AA9" i="38"/>
  <c r="W9" i="38"/>
  <c r="Y9" i="38"/>
  <c r="Z9" i="38"/>
  <c r="X9" i="38"/>
  <c r="N67" i="33"/>
  <c r="O67" i="33" s="1"/>
  <c r="AC310" i="33"/>
  <c r="O310" i="33"/>
  <c r="V310" i="33"/>
  <c r="AL37" i="27"/>
  <c r="BZ37" i="27"/>
  <c r="BF38" i="27"/>
  <c r="BZ38" i="27"/>
  <c r="BG76" i="3"/>
  <c r="CH76" i="3"/>
  <c r="R87" i="33" s="1"/>
  <c r="AW56" i="3"/>
  <c r="J67" i="33" s="1"/>
  <c r="CF56" i="3"/>
  <c r="K67" i="33" s="1"/>
  <c r="L67" i="33" s="1"/>
  <c r="BF37" i="27"/>
  <c r="BP37" i="27"/>
  <c r="AO38" i="27"/>
  <c r="AY38" i="27"/>
  <c r="BI38" i="27"/>
  <c r="AV38" i="27"/>
  <c r="AO11" i="29"/>
  <c r="AE11" i="29"/>
  <c r="BI11" i="29"/>
  <c r="AL38" i="27"/>
  <c r="BP38" i="27"/>
  <c r="AV37" i="27"/>
  <c r="BI37" i="27"/>
  <c r="AY37" i="27"/>
  <c r="AE37" i="27"/>
  <c r="V10" i="38" l="1"/>
  <c r="V14" i="38"/>
  <c r="G14" i="38"/>
  <c r="F14" i="38"/>
  <c r="H14" i="38"/>
  <c r="E14" i="38"/>
  <c r="D14" i="38"/>
  <c r="F10" i="38"/>
  <c r="E10" i="38"/>
  <c r="D10" i="38"/>
  <c r="H10" i="38"/>
  <c r="G10" i="38"/>
  <c r="I10" i="38"/>
  <c r="I14" i="38"/>
  <c r="AI10" i="38"/>
  <c r="AI14" i="38"/>
  <c r="AA12" i="29"/>
  <c r="AY12" i="29" s="1"/>
  <c r="AP10" i="29"/>
  <c r="AA10" i="29"/>
  <c r="AY10" i="29" s="1"/>
  <c r="M10" i="29"/>
  <c r="Z10" i="29"/>
  <c r="AK10" i="38" l="1"/>
  <c r="AJ10" i="38"/>
  <c r="AN10" i="38"/>
  <c r="AL10" i="38"/>
  <c r="AM10" i="38"/>
  <c r="AM14" i="38"/>
  <c r="AL14" i="38"/>
  <c r="AK14" i="38"/>
  <c r="AJ14" i="38"/>
  <c r="AN14" i="38"/>
  <c r="Z14" i="38"/>
  <c r="Y14" i="38"/>
  <c r="AA14" i="38"/>
  <c r="X14" i="38"/>
  <c r="W14" i="38"/>
  <c r="Y10" i="38"/>
  <c r="AA10" i="38"/>
  <c r="Z10" i="38"/>
  <c r="W10" i="38"/>
  <c r="X10" i="38"/>
  <c r="N14" i="38"/>
  <c r="J14" i="38"/>
  <c r="M14" i="38"/>
  <c r="K14" i="38"/>
  <c r="L14" i="38"/>
  <c r="L10" i="38"/>
  <c r="K10" i="38"/>
  <c r="J10" i="38"/>
  <c r="N10" i="38"/>
  <c r="M10" i="38"/>
  <c r="BO10" i="29"/>
  <c r="AH160" i="33" s="1"/>
  <c r="AI160" i="33" s="1"/>
  <c r="BE10" i="29"/>
  <c r="AA160" i="33" s="1"/>
  <c r="AB160" i="33" s="1"/>
  <c r="AC160" i="33" s="1"/>
  <c r="AU10" i="29"/>
  <c r="T160" i="33" s="1"/>
  <c r="U160" i="33" s="1"/>
  <c r="V160" i="33" s="1"/>
  <c r="AK10" i="29"/>
  <c r="M160" i="33" s="1"/>
  <c r="N160" i="33" s="1"/>
  <c r="O160" i="33" s="1"/>
  <c r="AZ10" i="29"/>
  <c r="BD10" i="29" s="1"/>
  <c r="X31" i="33" s="1"/>
  <c r="AT10" i="29"/>
  <c r="Q31" i="33" s="1"/>
  <c r="BU10" i="29"/>
  <c r="R31" i="33" s="1"/>
  <c r="S31" i="33" s="1"/>
  <c r="AE12" i="29"/>
  <c r="AO10" i="29"/>
  <c r="AO12" i="29"/>
  <c r="AF10" i="29"/>
  <c r="AL10" i="29"/>
  <c r="M31" i="33" s="1"/>
  <c r="N31" i="33" s="1"/>
  <c r="O31" i="33" s="1"/>
  <c r="AV10" i="29"/>
  <c r="T31" i="33" s="1"/>
  <c r="U31" i="33" s="1"/>
  <c r="V31" i="33" s="1"/>
  <c r="BF10" i="29"/>
  <c r="AA31" i="33" s="1"/>
  <c r="AB31" i="33" s="1"/>
  <c r="AC31" i="33" s="1"/>
  <c r="BP10" i="29"/>
  <c r="AH31" i="33" s="1"/>
  <c r="AI31" i="33" s="1"/>
  <c r="AE10" i="29"/>
  <c r="BI10" i="29"/>
  <c r="BJ10" i="29"/>
  <c r="BI12" i="29"/>
  <c r="BW10" i="29" l="1"/>
  <c r="Y31" i="33" s="1"/>
  <c r="Z31" i="33" s="1"/>
  <c r="BZ10" i="29"/>
  <c r="AJ10" i="29"/>
  <c r="J31" i="33" s="1"/>
  <c r="BS10" i="29"/>
  <c r="K31" i="33" s="1"/>
  <c r="L31" i="33" s="1"/>
  <c r="BN10" i="29"/>
  <c r="AE31" i="33" s="1"/>
  <c r="BY10" i="29"/>
  <c r="AF31" i="33" s="1"/>
  <c r="AG31" i="33" s="1"/>
  <c r="BX20" i="29" l="1"/>
  <c r="BV20" i="29"/>
  <c r="BT20" i="29"/>
  <c r="BR20" i="29"/>
  <c r="BO20" i="29"/>
  <c r="BM20" i="29"/>
  <c r="BE20" i="29"/>
  <c r="BC20" i="29"/>
  <c r="AU20" i="29"/>
  <c r="AS20" i="29"/>
  <c r="AK20" i="29"/>
  <c r="AI20" i="29"/>
  <c r="AB20" i="29"/>
  <c r="AA20" i="29"/>
  <c r="AE20" i="29" s="1"/>
  <c r="BX19" i="29"/>
  <c r="BV19" i="29"/>
  <c r="BT19" i="29"/>
  <c r="BR19" i="29"/>
  <c r="BO19" i="29"/>
  <c r="BM19" i="29"/>
  <c r="BE19" i="29"/>
  <c r="BC19" i="29"/>
  <c r="AU19" i="29"/>
  <c r="AS19" i="29"/>
  <c r="AK19" i="29"/>
  <c r="AI19" i="29"/>
  <c r="AB19" i="29"/>
  <c r="AA19" i="29"/>
  <c r="BI19" i="29" s="1"/>
  <c r="BX18" i="29"/>
  <c r="BV18" i="29"/>
  <c r="BT18" i="29"/>
  <c r="BR18" i="29"/>
  <c r="BO18" i="29"/>
  <c r="BM18" i="29"/>
  <c r="BE18" i="29"/>
  <c r="BC18" i="29"/>
  <c r="AU18" i="29"/>
  <c r="AS18" i="29"/>
  <c r="AK18" i="29"/>
  <c r="AI18" i="29"/>
  <c r="AB18" i="29"/>
  <c r="AA18" i="29"/>
  <c r="AY18" i="29" s="1"/>
  <c r="BX17" i="29"/>
  <c r="BV17" i="29"/>
  <c r="BT17" i="29"/>
  <c r="BR17" i="29"/>
  <c r="BO17" i="29"/>
  <c r="BM17" i="29"/>
  <c r="BE17" i="29"/>
  <c r="BC17" i="29"/>
  <c r="AU17" i="29"/>
  <c r="AS17" i="29"/>
  <c r="AK17" i="29"/>
  <c r="AB17" i="29"/>
  <c r="AL17" i="29" s="1"/>
  <c r="M36" i="33" s="1"/>
  <c r="AA17" i="29"/>
  <c r="AO17" i="29" s="1"/>
  <c r="BY16" i="29"/>
  <c r="BX16" i="29"/>
  <c r="AF162" i="33" s="1"/>
  <c r="AG162" i="33" s="1"/>
  <c r="BW16" i="29"/>
  <c r="BV16" i="29"/>
  <c r="Y162" i="33" s="1"/>
  <c r="Z162" i="33" s="1"/>
  <c r="BU16" i="29"/>
  <c r="BT16" i="29"/>
  <c r="R162" i="33" s="1"/>
  <c r="S162" i="33" s="1"/>
  <c r="BS16" i="29"/>
  <c r="BR16" i="29"/>
  <c r="K162" i="33" s="1"/>
  <c r="L162" i="33" s="1"/>
  <c r="BO16" i="29"/>
  <c r="AH162" i="33" s="1"/>
  <c r="AI162" i="33" s="1"/>
  <c r="BN16" i="29"/>
  <c r="BM16" i="29"/>
  <c r="BE16" i="29"/>
  <c r="AA162" i="33" s="1"/>
  <c r="AB162" i="33" s="1"/>
  <c r="AC162" i="33" s="1"/>
  <c r="BD16" i="29"/>
  <c r="BC16" i="29"/>
  <c r="AU16" i="29"/>
  <c r="T162" i="33" s="1"/>
  <c r="U162" i="33" s="1"/>
  <c r="V162" i="33" s="1"/>
  <c r="AT16" i="29"/>
  <c r="AS16" i="29"/>
  <c r="AK16" i="29"/>
  <c r="M162" i="33" s="1"/>
  <c r="N162" i="33" s="1"/>
  <c r="O162" i="33" s="1"/>
  <c r="AJ16" i="29"/>
  <c r="AI16" i="29"/>
  <c r="AB16" i="29"/>
  <c r="AA16" i="29"/>
  <c r="AE16" i="29" s="1"/>
  <c r="BY15" i="29"/>
  <c r="BX15" i="29"/>
  <c r="AF35" i="33" s="1"/>
  <c r="AG35" i="33" s="1"/>
  <c r="BW15" i="29"/>
  <c r="BV15" i="29"/>
  <c r="Y35" i="33" s="1"/>
  <c r="BU15" i="29"/>
  <c r="BT15" i="29"/>
  <c r="R35" i="33" s="1"/>
  <c r="BS15" i="29"/>
  <c r="K35" i="33" s="1"/>
  <c r="BR15" i="29"/>
  <c r="BO15" i="29"/>
  <c r="AH35" i="33" s="1"/>
  <c r="AI35" i="33" s="1"/>
  <c r="BM15" i="29"/>
  <c r="AS15" i="29"/>
  <c r="AK15" i="29"/>
  <c r="AI15" i="29"/>
  <c r="BI15" i="29"/>
  <c r="BY14" i="29"/>
  <c r="BX14" i="29"/>
  <c r="AF161" i="33" s="1"/>
  <c r="AG161" i="33" s="1"/>
  <c r="BW14" i="29"/>
  <c r="BV14" i="29"/>
  <c r="Y161" i="33" s="1"/>
  <c r="BU14" i="29"/>
  <c r="BT14" i="29"/>
  <c r="R161" i="33" s="1"/>
  <c r="BS14" i="29"/>
  <c r="BR14" i="29"/>
  <c r="K161" i="33" s="1"/>
  <c r="BO14" i="29"/>
  <c r="AH161" i="33" s="1"/>
  <c r="AI161" i="33" s="1"/>
  <c r="BN14" i="29"/>
  <c r="BM14" i="29"/>
  <c r="BE14" i="29"/>
  <c r="AA161" i="33" s="1"/>
  <c r="AB161" i="33" s="1"/>
  <c r="BD14" i="29"/>
  <c r="BC14" i="29"/>
  <c r="AU14" i="29"/>
  <c r="T161" i="33" s="1"/>
  <c r="U161" i="33" s="1"/>
  <c r="AT14" i="29"/>
  <c r="AS14" i="29"/>
  <c r="AK14" i="29"/>
  <c r="M161" i="33" s="1"/>
  <c r="N161" i="33" s="1"/>
  <c r="AJ14" i="29"/>
  <c r="AI14" i="29"/>
  <c r="AB14" i="29"/>
  <c r="AA14" i="29"/>
  <c r="AY14" i="29" s="1"/>
  <c r="BX9" i="29"/>
  <c r="BV9" i="29"/>
  <c r="AC10" i="35" s="1"/>
  <c r="BT9" i="29"/>
  <c r="P10" i="35" s="1"/>
  <c r="BR9" i="29"/>
  <c r="K158" i="33" s="1"/>
  <c r="L158" i="33" s="1"/>
  <c r="BO9" i="29"/>
  <c r="AH158" i="33" s="1"/>
  <c r="AI158" i="33" s="1"/>
  <c r="BM9" i="29"/>
  <c r="BE9" i="29"/>
  <c r="BC9" i="29"/>
  <c r="AU9" i="29"/>
  <c r="AS9" i="29"/>
  <c r="AK9" i="29"/>
  <c r="M158" i="33" s="1"/>
  <c r="AI9" i="29"/>
  <c r="AB9" i="29"/>
  <c r="AA9" i="29"/>
  <c r="AO9" i="29" s="1"/>
  <c r="AV15" i="29" l="1"/>
  <c r="T35" i="33" s="1"/>
  <c r="U35" i="33" s="1"/>
  <c r="BP15" i="29"/>
  <c r="AL15" i="29"/>
  <c r="M35" i="33" s="1"/>
  <c r="N35" i="33" s="1"/>
  <c r="BF15" i="29"/>
  <c r="AA35" i="33" s="1"/>
  <c r="AA158" i="33"/>
  <c r="AB158" i="33" s="1"/>
  <c r="AC158" i="33" s="1"/>
  <c r="AI10" i="35" s="1"/>
  <c r="T158" i="33"/>
  <c r="U158" i="33" s="1"/>
  <c r="V158" i="33" s="1"/>
  <c r="V10" i="35" s="1"/>
  <c r="U10" i="35"/>
  <c r="T10" i="35"/>
  <c r="S10" i="35"/>
  <c r="R10" i="35"/>
  <c r="Q10" i="35"/>
  <c r="N158" i="33"/>
  <c r="O158" i="33" s="1"/>
  <c r="I10" i="35" s="1"/>
  <c r="AF10" i="35"/>
  <c r="AE10" i="35"/>
  <c r="AD10" i="35"/>
  <c r="AH10" i="35"/>
  <c r="AG10" i="35"/>
  <c r="AV10" i="35"/>
  <c r="AP10" i="35"/>
  <c r="AH221" i="33"/>
  <c r="AI221" i="33" s="1"/>
  <c r="AH36" i="33"/>
  <c r="AI36" i="33" s="1"/>
  <c r="M163" i="33"/>
  <c r="N163" i="33" s="1"/>
  <c r="O163" i="33" s="1"/>
  <c r="AF222" i="33"/>
  <c r="AG222" i="33" s="1"/>
  <c r="AF38" i="33"/>
  <c r="AG38" i="33" s="1"/>
  <c r="Y163" i="33"/>
  <c r="Z163" i="33" s="1"/>
  <c r="Y37" i="33"/>
  <c r="Z37" i="33" s="1"/>
  <c r="N36" i="33"/>
  <c r="O36" i="33" s="1"/>
  <c r="M221" i="33"/>
  <c r="N221" i="33" s="1"/>
  <c r="O221" i="33" s="1"/>
  <c r="R36" i="33"/>
  <c r="S36" i="33" s="1"/>
  <c r="R221" i="33"/>
  <c r="S221" i="33" s="1"/>
  <c r="T163" i="33"/>
  <c r="U163" i="33" s="1"/>
  <c r="V163" i="33" s="1"/>
  <c r="AF37" i="33"/>
  <c r="AG37" i="33" s="1"/>
  <c r="AF163" i="33"/>
  <c r="AG163" i="33" s="1"/>
  <c r="AA222" i="33"/>
  <c r="AB222" i="33" s="1"/>
  <c r="AC222" i="33" s="1"/>
  <c r="AH39" i="33"/>
  <c r="AI39" i="33" s="1"/>
  <c r="AH164" i="33"/>
  <c r="AI164" i="33" s="1"/>
  <c r="Y38" i="33"/>
  <c r="Z38" i="33" s="1"/>
  <c r="Y222" i="33"/>
  <c r="Z222" i="33" s="1"/>
  <c r="T222" i="33"/>
  <c r="U222" i="33" s="1"/>
  <c r="V222" i="33" s="1"/>
  <c r="Y36" i="33"/>
  <c r="Z36" i="33" s="1"/>
  <c r="Y221" i="33"/>
  <c r="Z221" i="33" s="1"/>
  <c r="K164" i="33"/>
  <c r="L164" i="33" s="1"/>
  <c r="K163" i="33"/>
  <c r="L163" i="33" s="1"/>
  <c r="C10" i="35"/>
  <c r="T221" i="33"/>
  <c r="U221" i="33" s="1"/>
  <c r="V221" i="33" s="1"/>
  <c r="AF36" i="33"/>
  <c r="AG36" i="33" s="1"/>
  <c r="AF221" i="33"/>
  <c r="AG221" i="33" s="1"/>
  <c r="AA163" i="33"/>
  <c r="AB163" i="33" s="1"/>
  <c r="AC163" i="33" s="1"/>
  <c r="AH222" i="33"/>
  <c r="AI222" i="33" s="1"/>
  <c r="AH38" i="33"/>
  <c r="AI38" i="33" s="1"/>
  <c r="M164" i="33"/>
  <c r="N164" i="33" s="1"/>
  <c r="O164" i="33" s="1"/>
  <c r="R164" i="33"/>
  <c r="S164" i="33" s="1"/>
  <c r="R39" i="33"/>
  <c r="S39" i="33" s="1"/>
  <c r="K222" i="33"/>
  <c r="L222" i="33" s="1"/>
  <c r="Y164" i="33"/>
  <c r="Z164" i="33" s="1"/>
  <c r="Y39" i="33"/>
  <c r="Z39" i="33" s="1"/>
  <c r="R37" i="33"/>
  <c r="S37" i="33" s="1"/>
  <c r="R163" i="33"/>
  <c r="S163" i="33" s="1"/>
  <c r="AA164" i="33"/>
  <c r="AB164" i="33" s="1"/>
  <c r="AC164" i="33" s="1"/>
  <c r="K221" i="33"/>
  <c r="AA221" i="33"/>
  <c r="AB221" i="33" s="1"/>
  <c r="AC221" i="33" s="1"/>
  <c r="AH37" i="33"/>
  <c r="AI37" i="33" s="1"/>
  <c r="AH163" i="33"/>
  <c r="AI163" i="33" s="1"/>
  <c r="M222" i="33"/>
  <c r="N222" i="33" s="1"/>
  <c r="O222" i="33" s="1"/>
  <c r="R222" i="33"/>
  <c r="S222" i="33" s="1"/>
  <c r="R38" i="33"/>
  <c r="S38" i="33" s="1"/>
  <c r="T164" i="33"/>
  <c r="U164" i="33" s="1"/>
  <c r="V164" i="33" s="1"/>
  <c r="AF39" i="33"/>
  <c r="AG39" i="33" s="1"/>
  <c r="AF164" i="33"/>
  <c r="AG164" i="33" s="1"/>
  <c r="AP17" i="29"/>
  <c r="AT17" i="29" s="1"/>
  <c r="AL16" i="29"/>
  <c r="BZ16" i="29"/>
  <c r="BP20" i="29"/>
  <c r="BP19" i="29"/>
  <c r="BF14" i="29"/>
  <c r="BZ14" i="29"/>
  <c r="BP18" i="29"/>
  <c r="BF18" i="29"/>
  <c r="AA37" i="33" s="1"/>
  <c r="AB37" i="33" s="1"/>
  <c r="AC37" i="33" s="1"/>
  <c r="AF20" i="29"/>
  <c r="AJ20" i="29" s="1"/>
  <c r="BF9" i="29"/>
  <c r="AA29" i="33" s="1"/>
  <c r="AB29" i="33" s="1"/>
  <c r="AC29" i="33" s="1"/>
  <c r="AF9" i="29"/>
  <c r="AF19" i="29"/>
  <c r="BS19" i="29" s="1"/>
  <c r="K38" i="33" s="1"/>
  <c r="L38" i="33" s="1"/>
  <c r="BI14" i="29"/>
  <c r="BJ18" i="29"/>
  <c r="BY18" i="29" s="1"/>
  <c r="BF19" i="29"/>
  <c r="AA38" i="33" s="1"/>
  <c r="AB38" i="33" s="1"/>
  <c r="AC38" i="33" s="1"/>
  <c r="AO14" i="29"/>
  <c r="AO16" i="29"/>
  <c r="BJ19" i="29"/>
  <c r="BN19" i="29" s="1"/>
  <c r="AV18" i="29"/>
  <c r="T37" i="33" s="1"/>
  <c r="U37" i="33" s="1"/>
  <c r="V37" i="33" s="1"/>
  <c r="AZ18" i="29"/>
  <c r="BW18" i="29" s="1"/>
  <c r="AF18" i="29"/>
  <c r="BI9" i="29"/>
  <c r="AE9" i="29"/>
  <c r="AV19" i="29"/>
  <c r="T38" i="33" s="1"/>
  <c r="U38" i="33" s="1"/>
  <c r="V38" i="33" s="1"/>
  <c r="AE15" i="29"/>
  <c r="AE18" i="29"/>
  <c r="AE19" i="29"/>
  <c r="AY15" i="29"/>
  <c r="BI16" i="29"/>
  <c r="BF20" i="29"/>
  <c r="AA39" i="33" s="1"/>
  <c r="AB39" i="33" s="1"/>
  <c r="AC39" i="33" s="1"/>
  <c r="AV16" i="29"/>
  <c r="AO15" i="29"/>
  <c r="AY16" i="29"/>
  <c r="BP16" i="29"/>
  <c r="AY17" i="29"/>
  <c r="AL18" i="29"/>
  <c r="M37" i="33" s="1"/>
  <c r="N37" i="33" s="1"/>
  <c r="O37" i="33" s="1"/>
  <c r="BI18" i="29"/>
  <c r="AZ9" i="29"/>
  <c r="BP9" i="29"/>
  <c r="AH29" i="33" s="1"/>
  <c r="AI29" i="33" s="1"/>
  <c r="AL14" i="29"/>
  <c r="AV14" i="29"/>
  <c r="AL9" i="29"/>
  <c r="M29" i="33" s="1"/>
  <c r="N29" i="33" s="1"/>
  <c r="O29" i="33" s="1"/>
  <c r="AE14" i="29"/>
  <c r="BP14" i="29"/>
  <c r="AP9" i="29"/>
  <c r="BJ9" i="29"/>
  <c r="AV9" i="29"/>
  <c r="T29" i="33" s="1"/>
  <c r="U29" i="33" s="1"/>
  <c r="V29" i="33" s="1"/>
  <c r="AY9" i="29"/>
  <c r="AZ17" i="29"/>
  <c r="BJ17" i="29"/>
  <c r="AV17" i="29"/>
  <c r="T36" i="33" s="1"/>
  <c r="U36" i="33" s="1"/>
  <c r="V36" i="33" s="1"/>
  <c r="BF17" i="29"/>
  <c r="AA36" i="33" s="1"/>
  <c r="AB36" i="33" s="1"/>
  <c r="AC36" i="33" s="1"/>
  <c r="AF17" i="29"/>
  <c r="AJ17" i="29" s="1"/>
  <c r="BP17" i="29"/>
  <c r="BF16" i="29"/>
  <c r="AE17" i="29"/>
  <c r="AO18" i="29"/>
  <c r="AY19" i="29"/>
  <c r="BI20" i="29"/>
  <c r="AP18" i="29"/>
  <c r="AL19" i="29"/>
  <c r="M38" i="33" s="1"/>
  <c r="N38" i="33" s="1"/>
  <c r="O38" i="33" s="1"/>
  <c r="AZ19" i="29"/>
  <c r="AV20" i="29"/>
  <c r="T39" i="33" s="1"/>
  <c r="U39" i="33" s="1"/>
  <c r="V39" i="33" s="1"/>
  <c r="BJ20" i="29"/>
  <c r="BI17" i="29"/>
  <c r="AO19" i="29"/>
  <c r="AY20" i="29"/>
  <c r="AP19" i="29"/>
  <c r="AL20" i="29"/>
  <c r="M39" i="33" s="1"/>
  <c r="N39" i="33" s="1"/>
  <c r="O39" i="33" s="1"/>
  <c r="AZ20" i="29"/>
  <c r="AO20" i="29"/>
  <c r="AP20" i="29"/>
  <c r="BN36" i="27"/>
  <c r="BY36" i="27"/>
  <c r="BD36" i="27"/>
  <c r="BW36" i="27"/>
  <c r="AT36" i="27"/>
  <c r="BU36" i="27"/>
  <c r="AJ36" i="27"/>
  <c r="BS36" i="27"/>
  <c r="BM36" i="27"/>
  <c r="BX36" i="27"/>
  <c r="BC36" i="27"/>
  <c r="BV36" i="27"/>
  <c r="AS36" i="27"/>
  <c r="BT36" i="27"/>
  <c r="AI36" i="27"/>
  <c r="BR36" i="27"/>
  <c r="AB36" i="27"/>
  <c r="AK36" i="27"/>
  <c r="AU36" i="27"/>
  <c r="BE36" i="27"/>
  <c r="BO36" i="27"/>
  <c r="AA36" i="27"/>
  <c r="AY36" i="27" s="1"/>
  <c r="AB35" i="33" l="1"/>
  <c r="AA10" i="35"/>
  <c r="Z10" i="35"/>
  <c r="Y10" i="35"/>
  <c r="X10" i="35"/>
  <c r="W10" i="35"/>
  <c r="AJ10" i="35"/>
  <c r="AK10" i="35"/>
  <c r="AN10" i="35"/>
  <c r="AM10" i="35"/>
  <c r="AL10" i="35"/>
  <c r="BY19" i="29"/>
  <c r="L221" i="33"/>
  <c r="C7" i="36" s="1"/>
  <c r="E7" i="36" s="1"/>
  <c r="K10" i="35"/>
  <c r="J10" i="35"/>
  <c r="N10" i="35"/>
  <c r="L10" i="35"/>
  <c r="M10" i="35"/>
  <c r="AQ10" i="35"/>
  <c r="AU10" i="35"/>
  <c r="AT10" i="35"/>
  <c r="AS10" i="35"/>
  <c r="AR10" i="35"/>
  <c r="H10" i="35"/>
  <c r="G10" i="35"/>
  <c r="F10" i="35"/>
  <c r="D10" i="35"/>
  <c r="E10" i="35"/>
  <c r="AZ10" i="35"/>
  <c r="AY10" i="35"/>
  <c r="AX10" i="35"/>
  <c r="AW10" i="35"/>
  <c r="BA10" i="35"/>
  <c r="AV7" i="36"/>
  <c r="AY7" i="36" s="1"/>
  <c r="AC7" i="36"/>
  <c r="AG7" i="36" s="1"/>
  <c r="AI14" i="35"/>
  <c r="AK14" i="35" s="1"/>
  <c r="V7" i="36"/>
  <c r="AA7" i="36" s="1"/>
  <c r="I7" i="36"/>
  <c r="L7" i="36" s="1"/>
  <c r="P7" i="36"/>
  <c r="T7" i="36" s="1"/>
  <c r="AP7" i="36"/>
  <c r="AS7" i="36" s="1"/>
  <c r="AI7" i="36"/>
  <c r="R215" i="33"/>
  <c r="S215" i="33" s="1"/>
  <c r="Y215" i="33"/>
  <c r="T215" i="33"/>
  <c r="U215" i="33" s="1"/>
  <c r="V215" i="33" s="1"/>
  <c r="AH215" i="33"/>
  <c r="AI215" i="33" s="1"/>
  <c r="AV9" i="35" s="1"/>
  <c r="AA215" i="33"/>
  <c r="AB215" i="33" s="1"/>
  <c r="AC215" i="33" s="1"/>
  <c r="M215" i="33"/>
  <c r="N215" i="33" s="1"/>
  <c r="AF215" i="33"/>
  <c r="AG215" i="33" s="1"/>
  <c r="K215" i="33"/>
  <c r="AV14" i="35"/>
  <c r="AZ14" i="35" s="1"/>
  <c r="AP14" i="35"/>
  <c r="AU14" i="35" s="1"/>
  <c r="P14" i="35"/>
  <c r="S14" i="35" s="1"/>
  <c r="V14" i="35"/>
  <c r="Z14" i="35" s="1"/>
  <c r="AC14" i="35"/>
  <c r="AD14" i="35" s="1"/>
  <c r="I14" i="35"/>
  <c r="L14" i="35" s="1"/>
  <c r="BF36" i="27"/>
  <c r="BZ36" i="27"/>
  <c r="BU17" i="29"/>
  <c r="BZ18" i="29"/>
  <c r="BZ9" i="29"/>
  <c r="BZ20" i="29"/>
  <c r="BZ17" i="29"/>
  <c r="BZ19" i="29"/>
  <c r="BN18" i="29"/>
  <c r="BS20" i="29"/>
  <c r="K39" i="33" s="1"/>
  <c r="L39" i="33" s="1"/>
  <c r="AJ19" i="29"/>
  <c r="BD18" i="29"/>
  <c r="BS18" i="29"/>
  <c r="K37" i="33" s="1"/>
  <c r="L37" i="33" s="1"/>
  <c r="AJ18" i="29"/>
  <c r="BD19" i="29"/>
  <c r="BW19" i="29"/>
  <c r="BW9" i="29"/>
  <c r="BD9" i="29"/>
  <c r="AJ9" i="29"/>
  <c r="J29" i="33" s="1"/>
  <c r="BS9" i="29"/>
  <c r="K29" i="33" s="1"/>
  <c r="L29" i="33" s="1"/>
  <c r="BU18" i="29"/>
  <c r="AT18" i="29"/>
  <c r="BU9" i="29"/>
  <c r="AT9" i="29"/>
  <c r="AT19" i="29"/>
  <c r="BU19" i="29"/>
  <c r="BN17" i="29"/>
  <c r="BY17" i="29"/>
  <c r="BU20" i="29"/>
  <c r="AT20" i="29"/>
  <c r="BW17" i="29"/>
  <c r="BD17" i="29"/>
  <c r="BS17" i="29"/>
  <c r="K36" i="33" s="1"/>
  <c r="L36" i="33" s="1"/>
  <c r="BD20" i="29"/>
  <c r="BW20" i="29"/>
  <c r="BY9" i="29"/>
  <c r="BN9" i="29"/>
  <c r="BY20" i="29"/>
  <c r="BN20" i="29"/>
  <c r="AV36" i="27"/>
  <c r="AL36" i="27"/>
  <c r="BP36" i="27"/>
  <c r="AO36" i="27"/>
  <c r="AE36" i="27"/>
  <c r="BI36" i="27"/>
  <c r="BC41" i="3"/>
  <c r="BM41" i="3"/>
  <c r="BW41" i="3"/>
  <c r="AS41" i="3"/>
  <c r="P9" i="35" l="1"/>
  <c r="T9" i="35" s="1"/>
  <c r="V9" i="35"/>
  <c r="W9" i="35" s="1"/>
  <c r="C14" i="35"/>
  <c r="H14" i="35" s="1"/>
  <c r="AN14" i="35"/>
  <c r="AJ14" i="35"/>
  <c r="AZ7" i="36"/>
  <c r="AX7" i="36"/>
  <c r="AL14" i="35"/>
  <c r="S9" i="35"/>
  <c r="AM14" i="35"/>
  <c r="AZ9" i="35"/>
  <c r="AY9" i="35"/>
  <c r="AX9" i="35"/>
  <c r="AW9" i="35"/>
  <c r="BA9" i="35"/>
  <c r="Z7" i="36"/>
  <c r="BA7" i="36"/>
  <c r="AW7" i="36"/>
  <c r="T14" i="35"/>
  <c r="Y7" i="36"/>
  <c r="AD7" i="36"/>
  <c r="M7" i="36"/>
  <c r="N7" i="36"/>
  <c r="AS14" i="35"/>
  <c r="K7" i="36"/>
  <c r="AT14" i="35"/>
  <c r="J7" i="36"/>
  <c r="BA14" i="35"/>
  <c r="W7" i="36"/>
  <c r="S7" i="36"/>
  <c r="R7" i="36"/>
  <c r="X7" i="36"/>
  <c r="Q7" i="36"/>
  <c r="AE7" i="36"/>
  <c r="AH7" i="36"/>
  <c r="AR7" i="36"/>
  <c r="AF7" i="36"/>
  <c r="AY14" i="35"/>
  <c r="AU7" i="36"/>
  <c r="AX14" i="35"/>
  <c r="AT7" i="36"/>
  <c r="U7" i="36"/>
  <c r="R14" i="35"/>
  <c r="AQ7" i="36"/>
  <c r="U14" i="35"/>
  <c r="AE14" i="35"/>
  <c r="AW14" i="35"/>
  <c r="AF14" i="35"/>
  <c r="Y14" i="35"/>
  <c r="W14" i="35"/>
  <c r="Q14" i="35"/>
  <c r="AQ14" i="35"/>
  <c r="AK7" i="36"/>
  <c r="AM7" i="36"/>
  <c r="AL7" i="36"/>
  <c r="AJ7" i="36"/>
  <c r="AN7" i="36"/>
  <c r="AR14" i="35"/>
  <c r="AH14" i="35"/>
  <c r="X14" i="35"/>
  <c r="AP9" i="35"/>
  <c r="AG14" i="35"/>
  <c r="AA14" i="35"/>
  <c r="D7" i="36"/>
  <c r="F7" i="36"/>
  <c r="G7" i="36"/>
  <c r="H7" i="36"/>
  <c r="AI9" i="35"/>
  <c r="K14" i="35"/>
  <c r="J14" i="35"/>
  <c r="N14" i="35"/>
  <c r="M14" i="35"/>
  <c r="CM41" i="3"/>
  <c r="CL52" i="3"/>
  <c r="CK52" i="3"/>
  <c r="AF258" i="33" s="1"/>
  <c r="CL51" i="3"/>
  <c r="CK51" i="3"/>
  <c r="AF257" i="33" s="1"/>
  <c r="CK50" i="3"/>
  <c r="AF256" i="33" s="1"/>
  <c r="AG256" i="33" s="1"/>
  <c r="AP8" i="38" s="1"/>
  <c r="Q9" i="35" l="1"/>
  <c r="U9" i="35" s="1"/>
  <c r="R9" i="35"/>
  <c r="Y9" i="35"/>
  <c r="Z9" i="35"/>
  <c r="AA9" i="35"/>
  <c r="X9" i="35"/>
  <c r="D14" i="35"/>
  <c r="E14" i="35"/>
  <c r="G14" i="35"/>
  <c r="F14" i="35"/>
  <c r="AQ9" i="35"/>
  <c r="AU9" i="35"/>
  <c r="AT9" i="35"/>
  <c r="AR9" i="35"/>
  <c r="AS9" i="35"/>
  <c r="AN9" i="35"/>
  <c r="AM9" i="35"/>
  <c r="AL9" i="35"/>
  <c r="AJ9" i="35"/>
  <c r="AK9" i="35"/>
  <c r="AS8" i="38"/>
  <c r="AR8" i="38"/>
  <c r="AT8" i="38"/>
  <c r="AQ8" i="38"/>
  <c r="AU8" i="38"/>
  <c r="CK40" i="3"/>
  <c r="AF235" i="33" s="1"/>
  <c r="AG235" i="33" s="1"/>
  <c r="CI40" i="3"/>
  <c r="Y235" i="33" s="1"/>
  <c r="Z235" i="33" s="1"/>
  <c r="CG40" i="3"/>
  <c r="R235" i="33" s="1"/>
  <c r="S235" i="33" s="1"/>
  <c r="CE40" i="3"/>
  <c r="K235" i="33" s="1"/>
  <c r="L235" i="33" s="1"/>
  <c r="CB40" i="3"/>
  <c r="AH235" i="33" s="1"/>
  <c r="AI235" i="33" s="1"/>
  <c r="BZ40" i="3"/>
  <c r="BR40" i="3"/>
  <c r="AA235" i="33" s="1"/>
  <c r="AB235" i="33" s="1"/>
  <c r="AC235" i="33" s="1"/>
  <c r="BP40" i="3"/>
  <c r="BF40" i="3"/>
  <c r="AX40" i="3"/>
  <c r="M235" i="33" s="1"/>
  <c r="N235" i="33" s="1"/>
  <c r="O235" i="33" s="1"/>
  <c r="AV40" i="3"/>
  <c r="BH36" i="3"/>
  <c r="T169" i="33" s="1"/>
  <c r="U169" i="33" s="1"/>
  <c r="V169" i="33" s="1"/>
  <c r="BF36" i="3"/>
  <c r="BR36" i="3"/>
  <c r="AA169" i="33" s="1"/>
  <c r="AB169" i="33" s="1"/>
  <c r="AC169" i="33" s="1"/>
  <c r="BP36" i="3"/>
  <c r="CK36" i="3"/>
  <c r="CI36" i="3"/>
  <c r="CG36" i="3"/>
  <c r="CE36" i="3"/>
  <c r="K169" i="33" s="1"/>
  <c r="L169" i="33" s="1"/>
  <c r="CB36" i="3"/>
  <c r="AH169" i="33" s="1"/>
  <c r="AI169" i="33" s="1"/>
  <c r="BZ36" i="3"/>
  <c r="AX36" i="3"/>
  <c r="M169" i="33" s="1"/>
  <c r="AV36" i="3"/>
  <c r="CK34" i="3"/>
  <c r="AF231" i="33" s="1"/>
  <c r="AG231" i="33" s="1"/>
  <c r="CI34" i="3"/>
  <c r="Y231" i="33" s="1"/>
  <c r="Z231" i="33" s="1"/>
  <c r="CG34" i="3"/>
  <c r="R231" i="33" s="1"/>
  <c r="S231" i="33" s="1"/>
  <c r="CE34" i="3"/>
  <c r="K231" i="33" s="1"/>
  <c r="L231" i="33" s="1"/>
  <c r="CK33" i="3"/>
  <c r="AF230" i="33" s="1"/>
  <c r="AG230" i="33" s="1"/>
  <c r="CI33" i="3"/>
  <c r="Y230" i="33" s="1"/>
  <c r="Z230" i="33" s="1"/>
  <c r="CG33" i="3"/>
  <c r="R230" i="33" s="1"/>
  <c r="S230" i="33" s="1"/>
  <c r="CE33" i="3"/>
  <c r="K230" i="33" s="1"/>
  <c r="L230" i="33" s="1"/>
  <c r="CK32" i="3"/>
  <c r="AF167" i="33" s="1"/>
  <c r="AG167" i="33" s="1"/>
  <c r="CI32" i="3"/>
  <c r="Y167" i="33" s="1"/>
  <c r="Z167" i="33" s="1"/>
  <c r="CG32" i="3"/>
  <c r="R167" i="33" s="1"/>
  <c r="S167" i="33" s="1"/>
  <c r="CE32" i="3"/>
  <c r="K167" i="33" s="1"/>
  <c r="L167" i="33" s="1"/>
  <c r="CB34" i="3"/>
  <c r="AH231" i="33" s="1"/>
  <c r="AI231" i="33" s="1"/>
  <c r="BZ34" i="3"/>
  <c r="CB33" i="3"/>
  <c r="AH230" i="33" s="1"/>
  <c r="AI230" i="33" s="1"/>
  <c r="BZ33" i="3"/>
  <c r="CB32" i="3"/>
  <c r="AH167" i="33" s="1"/>
  <c r="AI167" i="33" s="1"/>
  <c r="BZ32" i="3"/>
  <c r="BR34" i="3"/>
  <c r="AA231" i="33" s="1"/>
  <c r="AB231" i="33" s="1"/>
  <c r="AC231" i="33" s="1"/>
  <c r="BP34" i="3"/>
  <c r="BR33" i="3"/>
  <c r="AA230" i="33" s="1"/>
  <c r="AB230" i="33" s="1"/>
  <c r="AC230" i="33" s="1"/>
  <c r="BP33" i="3"/>
  <c r="BR32" i="3"/>
  <c r="AA167" i="33" s="1"/>
  <c r="AB167" i="33" s="1"/>
  <c r="AC167" i="33" s="1"/>
  <c r="BP32" i="3"/>
  <c r="BH34" i="3"/>
  <c r="T231" i="33" s="1"/>
  <c r="U231" i="33" s="1"/>
  <c r="V231" i="33" s="1"/>
  <c r="BF34" i="3"/>
  <c r="BH33" i="3"/>
  <c r="T230" i="33" s="1"/>
  <c r="U230" i="33" s="1"/>
  <c r="V230" i="33" s="1"/>
  <c r="BF33" i="3"/>
  <c r="BH32" i="3"/>
  <c r="T167" i="33" s="1"/>
  <c r="U167" i="33" s="1"/>
  <c r="V167" i="33" s="1"/>
  <c r="BF32" i="3"/>
  <c r="AX34" i="3"/>
  <c r="M231" i="33" s="1"/>
  <c r="N231" i="33" s="1"/>
  <c r="O231" i="33" s="1"/>
  <c r="AV34" i="3"/>
  <c r="AX33" i="3"/>
  <c r="M230" i="33" s="1"/>
  <c r="N230" i="33" s="1"/>
  <c r="O230" i="33" s="1"/>
  <c r="AV33" i="3"/>
  <c r="AX32" i="3"/>
  <c r="M167" i="33" s="1"/>
  <c r="AV32" i="3"/>
  <c r="CK28" i="3"/>
  <c r="AF227" i="33" s="1"/>
  <c r="AG227" i="33" s="1"/>
  <c r="CI28" i="3"/>
  <c r="Y227" i="33" s="1"/>
  <c r="Z227" i="33" s="1"/>
  <c r="CG28" i="3"/>
  <c r="R227" i="33" s="1"/>
  <c r="S227" i="33" s="1"/>
  <c r="CB28" i="3"/>
  <c r="AH227" i="33" s="1"/>
  <c r="AI227" i="33" s="1"/>
  <c r="BZ28" i="3"/>
  <c r="BR28" i="3"/>
  <c r="AA227" i="33" s="1"/>
  <c r="AB227" i="33" s="1"/>
  <c r="AC227" i="33" s="1"/>
  <c r="BP28" i="3"/>
  <c r="BH40" i="3"/>
  <c r="T235" i="33" s="1"/>
  <c r="U235" i="33" s="1"/>
  <c r="V235" i="33" s="1"/>
  <c r="CE28" i="3"/>
  <c r="K227" i="33" s="1"/>
  <c r="L227" i="33" s="1"/>
  <c r="BZ27" i="3"/>
  <c r="CK27" i="3"/>
  <c r="AF226" i="33" s="1"/>
  <c r="AG226" i="33" s="1"/>
  <c r="BP27" i="3"/>
  <c r="CI27" i="3"/>
  <c r="Y226" i="33" s="1"/>
  <c r="Z226" i="33" s="1"/>
  <c r="BF27" i="3"/>
  <c r="CG27" i="3"/>
  <c r="R226" i="33" s="1"/>
  <c r="S226" i="33" s="1"/>
  <c r="AV27" i="3"/>
  <c r="CE27" i="3"/>
  <c r="K226" i="33" s="1"/>
  <c r="L226" i="33" s="1"/>
  <c r="AX27" i="3"/>
  <c r="M226" i="33" s="1"/>
  <c r="N226" i="33" s="1"/>
  <c r="O226" i="33" s="1"/>
  <c r="BH27" i="3"/>
  <c r="T226" i="33" s="1"/>
  <c r="U226" i="33" s="1"/>
  <c r="V226" i="33" s="1"/>
  <c r="BR27" i="3"/>
  <c r="AA226" i="33" s="1"/>
  <c r="AB226" i="33" s="1"/>
  <c r="AC226" i="33" s="1"/>
  <c r="CB27" i="3"/>
  <c r="AH226" i="33" s="1"/>
  <c r="AI226" i="33" s="1"/>
  <c r="N167" i="33" l="1"/>
  <c r="O167" i="33" s="1"/>
  <c r="N169" i="33"/>
  <c r="O169" i="33" s="1"/>
  <c r="BC15" i="3"/>
  <c r="BO20" i="27" l="1"/>
  <c r="BN20" i="27"/>
  <c r="BM20" i="27"/>
  <c r="BO19" i="27"/>
  <c r="BN19" i="27"/>
  <c r="BM19" i="27"/>
  <c r="BO18" i="27"/>
  <c r="BN18" i="27"/>
  <c r="BM18" i="27"/>
  <c r="BO17" i="27"/>
  <c r="BN17" i="27"/>
  <c r="BM17" i="27"/>
  <c r="AF139" i="33" s="1"/>
  <c r="BO16" i="27"/>
  <c r="BM16" i="27"/>
  <c r="BO14" i="27"/>
  <c r="BM14" i="27"/>
  <c r="BE20" i="27"/>
  <c r="BD20" i="27"/>
  <c r="BC20" i="27"/>
  <c r="BE19" i="27"/>
  <c r="BD19" i="27"/>
  <c r="BC19" i="27"/>
  <c r="BE18" i="27"/>
  <c r="BD18" i="27"/>
  <c r="BC18" i="27"/>
  <c r="BE17" i="27"/>
  <c r="BD17" i="27"/>
  <c r="BC17" i="27"/>
  <c r="BE16" i="27"/>
  <c r="BD16" i="27"/>
  <c r="BC16" i="27"/>
  <c r="BE14" i="27"/>
  <c r="BC14" i="27"/>
  <c r="AU20" i="27"/>
  <c r="AT20" i="27"/>
  <c r="AS20" i="27"/>
  <c r="AU19" i="27"/>
  <c r="AT19" i="27"/>
  <c r="AS19" i="27"/>
  <c r="AU18" i="27"/>
  <c r="AT18" i="27"/>
  <c r="AS18" i="27"/>
  <c r="AU17" i="27"/>
  <c r="AT17" i="27"/>
  <c r="AS17" i="27"/>
  <c r="AU16" i="27"/>
  <c r="AT16" i="27"/>
  <c r="AS16" i="27"/>
  <c r="AU14" i="27"/>
  <c r="AS14" i="27"/>
  <c r="AK20" i="27"/>
  <c r="AJ20" i="27"/>
  <c r="AI20" i="27"/>
  <c r="AK19" i="27"/>
  <c r="AJ19" i="27"/>
  <c r="AI19" i="27"/>
  <c r="AK18" i="27"/>
  <c r="AJ18" i="27"/>
  <c r="AI18" i="27"/>
  <c r="AK17" i="27"/>
  <c r="AJ17" i="27"/>
  <c r="AI17" i="27"/>
  <c r="K139" i="33" s="1"/>
  <c r="AK16" i="27"/>
  <c r="AJ16" i="27"/>
  <c r="AI16" i="27"/>
  <c r="AK14" i="27"/>
  <c r="AI14" i="27"/>
  <c r="BY20" i="27"/>
  <c r="BX20" i="27"/>
  <c r="BW20" i="27"/>
  <c r="BV20" i="27"/>
  <c r="BU20" i="27"/>
  <c r="BT20" i="27"/>
  <c r="BS20" i="27"/>
  <c r="BR20" i="27"/>
  <c r="BY19" i="27"/>
  <c r="BX19" i="27"/>
  <c r="BW19" i="27"/>
  <c r="BV19" i="27"/>
  <c r="BU19" i="27"/>
  <c r="BT19" i="27"/>
  <c r="BS19" i="27"/>
  <c r="BR19" i="27"/>
  <c r="BY18" i="27"/>
  <c r="BX18" i="27"/>
  <c r="BW18" i="27"/>
  <c r="BV18" i="27"/>
  <c r="BU18" i="27"/>
  <c r="BT18" i="27"/>
  <c r="BS18" i="27"/>
  <c r="BR18" i="27"/>
  <c r="BY17" i="27"/>
  <c r="BX17" i="27"/>
  <c r="BW17" i="27"/>
  <c r="BV17" i="27"/>
  <c r="BU17" i="27"/>
  <c r="BT17" i="27"/>
  <c r="BS17" i="27"/>
  <c r="BR17" i="27"/>
  <c r="BY16" i="27"/>
  <c r="BX16" i="27"/>
  <c r="BW16" i="27"/>
  <c r="BV16" i="27"/>
  <c r="BU16" i="27"/>
  <c r="BT16" i="27"/>
  <c r="BS16" i="27"/>
  <c r="BR16" i="27"/>
  <c r="BX14" i="27"/>
  <c r="BV14" i="27"/>
  <c r="BT14" i="27"/>
  <c r="BR14" i="27"/>
  <c r="AB20" i="27"/>
  <c r="AA20" i="27"/>
  <c r="BI20" i="27" s="1"/>
  <c r="AB19" i="27"/>
  <c r="AA19" i="27"/>
  <c r="BI19" i="27" s="1"/>
  <c r="AB18" i="27"/>
  <c r="AA18" i="27"/>
  <c r="BI18" i="27" s="1"/>
  <c r="AB17" i="27"/>
  <c r="AA17" i="27"/>
  <c r="BI17" i="27" s="1"/>
  <c r="AB16" i="27"/>
  <c r="AA16" i="27"/>
  <c r="AB14" i="27"/>
  <c r="AA14" i="27"/>
  <c r="AE16" i="27" l="1"/>
  <c r="AY16" i="27"/>
  <c r="M139" i="33"/>
  <c r="N139" i="33" s="1"/>
  <c r="O139" i="33" s="1"/>
  <c r="AH139" i="33"/>
  <c r="AI139" i="33" s="1"/>
  <c r="AA139" i="33"/>
  <c r="AB139" i="33" s="1"/>
  <c r="AC139" i="33" s="1"/>
  <c r="Y139" i="33"/>
  <c r="Z139" i="33" s="1"/>
  <c r="R139" i="33"/>
  <c r="S139" i="33" s="1"/>
  <c r="T139" i="33"/>
  <c r="U139" i="33" s="1"/>
  <c r="V139" i="33" s="1"/>
  <c r="T209" i="33"/>
  <c r="L139" i="33"/>
  <c r="K141" i="33"/>
  <c r="L141" i="33" s="1"/>
  <c r="R138" i="33"/>
  <c r="R140" i="33"/>
  <c r="S140" i="33" s="1"/>
  <c r="T142" i="33"/>
  <c r="U142" i="33" s="1"/>
  <c r="V142" i="33" s="1"/>
  <c r="AA141" i="33"/>
  <c r="AB141" i="33" s="1"/>
  <c r="AC141" i="33" s="1"/>
  <c r="AG139" i="33"/>
  <c r="AF141" i="33"/>
  <c r="AG141" i="33" s="1"/>
  <c r="Y141" i="33"/>
  <c r="Z141" i="33" s="1"/>
  <c r="Y209" i="33"/>
  <c r="Z209" i="33" s="1"/>
  <c r="Y142" i="33"/>
  <c r="Z142" i="33" s="1"/>
  <c r="AF138" i="33"/>
  <c r="M138" i="33"/>
  <c r="AH138" i="33"/>
  <c r="M141" i="33"/>
  <c r="N141" i="33" s="1"/>
  <c r="O141" i="33" s="1"/>
  <c r="T138" i="33"/>
  <c r="T140" i="33"/>
  <c r="U140" i="33" s="1"/>
  <c r="V140" i="33" s="1"/>
  <c r="AA209" i="33"/>
  <c r="AB209" i="33" s="1"/>
  <c r="AC209" i="33" s="1"/>
  <c r="AH141" i="33"/>
  <c r="AI141" i="33" s="1"/>
  <c r="AH140" i="33"/>
  <c r="AI140" i="33" s="1"/>
  <c r="K209" i="33"/>
  <c r="K142" i="33"/>
  <c r="L142" i="33" s="1"/>
  <c r="R141" i="33"/>
  <c r="S141" i="33" s="1"/>
  <c r="Y138" i="33"/>
  <c r="Y140" i="33"/>
  <c r="Z140" i="33" s="1"/>
  <c r="AA142" i="33"/>
  <c r="AB142" i="33" s="1"/>
  <c r="AC142" i="33" s="1"/>
  <c r="AF142" i="33"/>
  <c r="AG142" i="33" s="1"/>
  <c r="R209" i="33"/>
  <c r="R142" i="33"/>
  <c r="S142" i="33" s="1"/>
  <c r="M140" i="33"/>
  <c r="N140" i="33" s="1"/>
  <c r="O140" i="33" s="1"/>
  <c r="M209" i="33"/>
  <c r="AF209" i="33"/>
  <c r="AG209" i="33" s="1"/>
  <c r="K138" i="33"/>
  <c r="K140" i="33"/>
  <c r="L140" i="33" s="1"/>
  <c r="M142" i="33"/>
  <c r="N142" i="33" s="1"/>
  <c r="O142" i="33" s="1"/>
  <c r="T141" i="33"/>
  <c r="U141" i="33" s="1"/>
  <c r="V141" i="33" s="1"/>
  <c r="AA138" i="33"/>
  <c r="AA140" i="33"/>
  <c r="AB140" i="33" s="1"/>
  <c r="AC140" i="33" s="1"/>
  <c r="AH209" i="33"/>
  <c r="AI209" i="33" s="1"/>
  <c r="AF140" i="33"/>
  <c r="AG140" i="33" s="1"/>
  <c r="AH142" i="33"/>
  <c r="AI142" i="33" s="1"/>
  <c r="BP19" i="27"/>
  <c r="BZ19" i="27"/>
  <c r="BP16" i="27"/>
  <c r="BZ16" i="27"/>
  <c r="BP18" i="27"/>
  <c r="BZ18" i="27"/>
  <c r="BF20" i="27"/>
  <c r="BZ20" i="27"/>
  <c r="BJ14" i="27"/>
  <c r="BY14" i="27" s="1"/>
  <c r="BF17" i="27"/>
  <c r="BZ17" i="27"/>
  <c r="AO16" i="27"/>
  <c r="BI16" i="27"/>
  <c r="AE17" i="27"/>
  <c r="AL16" i="27"/>
  <c r="AV14" i="27"/>
  <c r="T16" i="33" s="1"/>
  <c r="AV17" i="27"/>
  <c r="BF16" i="27"/>
  <c r="BP14" i="27"/>
  <c r="BP17" i="27"/>
  <c r="AO17" i="27"/>
  <c r="AY17" i="27"/>
  <c r="AE18" i="27"/>
  <c r="AL18" i="27"/>
  <c r="AL19" i="27"/>
  <c r="AV20" i="27"/>
  <c r="BF18" i="27"/>
  <c r="BF19" i="27"/>
  <c r="BP20" i="27"/>
  <c r="AO18" i="27"/>
  <c r="AY18" i="27"/>
  <c r="AE19" i="27"/>
  <c r="AL14" i="27"/>
  <c r="AL17" i="27"/>
  <c r="AV16" i="27"/>
  <c r="BF14" i="27"/>
  <c r="AA16" i="33" s="1"/>
  <c r="AO19" i="27"/>
  <c r="AY19" i="27"/>
  <c r="AE20" i="27"/>
  <c r="AO20" i="27"/>
  <c r="AY20" i="27"/>
  <c r="AL20" i="27"/>
  <c r="AV18" i="27"/>
  <c r="AV19" i="27"/>
  <c r="AF14" i="27"/>
  <c r="AP14" i="27"/>
  <c r="AZ14" i="27"/>
  <c r="CA14" i="27" l="1"/>
  <c r="U209" i="33"/>
  <c r="V209" i="33" s="1"/>
  <c r="S209" i="33"/>
  <c r="U138" i="33"/>
  <c r="AB138" i="33"/>
  <c r="AG138" i="33"/>
  <c r="AP6" i="35" s="1"/>
  <c r="S138" i="33"/>
  <c r="Z138" i="33"/>
  <c r="AC6" i="35" s="1"/>
  <c r="AI138" i="33"/>
  <c r="AV6" i="35" s="1"/>
  <c r="BN14" i="27"/>
  <c r="L138" i="33"/>
  <c r="L209" i="33"/>
  <c r="N209" i="33"/>
  <c r="O209" i="33" s="1"/>
  <c r="N138" i="33"/>
  <c r="AH16" i="33"/>
  <c r="AI16" i="33" s="1"/>
  <c r="AF16" i="33"/>
  <c r="AG16" i="33" s="1"/>
  <c r="M16" i="33"/>
  <c r="AB16" i="33"/>
  <c r="BZ14" i="27"/>
  <c r="BU14" i="27"/>
  <c r="AT14" i="27"/>
  <c r="BW14" i="27"/>
  <c r="BD14" i="27"/>
  <c r="BS14" i="27"/>
  <c r="AJ14" i="27"/>
  <c r="AC16" i="33" l="1"/>
  <c r="P9" i="36"/>
  <c r="C6" i="35"/>
  <c r="D6" i="35" s="1"/>
  <c r="U16" i="33"/>
  <c r="N16" i="33"/>
  <c r="AP9" i="36"/>
  <c r="P6" i="35"/>
  <c r="AV9" i="36"/>
  <c r="AC9" i="36"/>
  <c r="AC138" i="33"/>
  <c r="AI6" i="35" s="1"/>
  <c r="V138" i="33"/>
  <c r="C9" i="36"/>
  <c r="H9" i="36" s="1"/>
  <c r="O138" i="33"/>
  <c r="I6" i="35" s="1"/>
  <c r="X16" i="33"/>
  <c r="Y16" i="33"/>
  <c r="Z16" i="33" s="1"/>
  <c r="K16" i="33"/>
  <c r="R16" i="33"/>
  <c r="J16" i="33"/>
  <c r="Q16" i="33"/>
  <c r="AE16" i="33"/>
  <c r="CK140" i="3"/>
  <c r="AF297" i="33" s="1"/>
  <c r="AG297" i="33" s="1"/>
  <c r="O16" i="33" l="1"/>
  <c r="V9" i="36"/>
  <c r="S16" i="33"/>
  <c r="L16" i="33"/>
  <c r="V16" i="33"/>
  <c r="AD9" i="36"/>
  <c r="AG9" i="36"/>
  <c r="AF9" i="36"/>
  <c r="AH9" i="36"/>
  <c r="AE9" i="36"/>
  <c r="R6" i="35"/>
  <c r="T6" i="35"/>
  <c r="U6" i="35"/>
  <c r="Q6" i="35"/>
  <c r="S6" i="35"/>
  <c r="AE6" i="35"/>
  <c r="AF6" i="35"/>
  <c r="AG6" i="35"/>
  <c r="AD6" i="35"/>
  <c r="AH6" i="35"/>
  <c r="V6" i="35"/>
  <c r="AI9" i="36"/>
  <c r="AW9" i="36"/>
  <c r="BA9" i="36"/>
  <c r="AX9" i="36"/>
  <c r="AZ9" i="36"/>
  <c r="AY9" i="36"/>
  <c r="AS9" i="36"/>
  <c r="AU9" i="36"/>
  <c r="AQ9" i="36"/>
  <c r="AR9" i="36"/>
  <c r="AT9" i="36"/>
  <c r="R9" i="36"/>
  <c r="T9" i="36"/>
  <c r="S9" i="36"/>
  <c r="Q9" i="36"/>
  <c r="U9" i="36"/>
  <c r="AU6" i="35"/>
  <c r="AS6" i="35"/>
  <c r="AQ6" i="35"/>
  <c r="AT6" i="35"/>
  <c r="AR6" i="35"/>
  <c r="AW6" i="35"/>
  <c r="BA6" i="35"/>
  <c r="AX6" i="35"/>
  <c r="AZ6" i="35"/>
  <c r="AY6" i="35"/>
  <c r="D9" i="36"/>
  <c r="G6" i="35"/>
  <c r="E6" i="35"/>
  <c r="H6" i="35"/>
  <c r="F6" i="35"/>
  <c r="E9" i="36"/>
  <c r="G9" i="36"/>
  <c r="F9" i="36"/>
  <c r="I9" i="36"/>
  <c r="BK138" i="3"/>
  <c r="BA139" i="3"/>
  <c r="AQ139" i="3"/>
  <c r="AN9" i="36" l="1"/>
  <c r="AM9" i="36"/>
  <c r="AK9" i="36"/>
  <c r="AL9" i="36"/>
  <c r="AJ9" i="36"/>
  <c r="AN6" i="35"/>
  <c r="AK6" i="35"/>
  <c r="AM6" i="35"/>
  <c r="AJ6" i="35"/>
  <c r="AL6" i="35"/>
  <c r="AA6" i="35"/>
  <c r="Y6" i="35"/>
  <c r="W6" i="35"/>
  <c r="Z6" i="35"/>
  <c r="X6" i="35"/>
  <c r="X9" i="36"/>
  <c r="Z9" i="36"/>
  <c r="AA9" i="36"/>
  <c r="Y9" i="36"/>
  <c r="W9" i="36"/>
  <c r="M9" i="36"/>
  <c r="L9" i="36"/>
  <c r="J9" i="36"/>
  <c r="K9" i="36"/>
  <c r="N9" i="36"/>
  <c r="M6" i="35"/>
  <c r="N6" i="35"/>
  <c r="J6" i="35"/>
  <c r="L6" i="35"/>
  <c r="K6" i="35"/>
  <c r="AB35" i="27"/>
  <c r="BZ35" i="27" s="1"/>
  <c r="AA35" i="27"/>
  <c r="AO48" i="3" l="1"/>
  <c r="BS48" i="3" s="1"/>
  <c r="AN48" i="3"/>
  <c r="BV48" i="3" s="1"/>
  <c r="AO47" i="3"/>
  <c r="CC47" i="3" s="1"/>
  <c r="AN47" i="3"/>
  <c r="BL47" i="3" s="1"/>
  <c r="AO46" i="3"/>
  <c r="BS46" i="3" s="1"/>
  <c r="AN46" i="3"/>
  <c r="BV46" i="3" s="1"/>
  <c r="AO45" i="3"/>
  <c r="BI45" i="3" s="1"/>
  <c r="AN45" i="3"/>
  <c r="BL45" i="3" s="1"/>
  <c r="CL48" i="3"/>
  <c r="CK48" i="3"/>
  <c r="AF362" i="33" s="1"/>
  <c r="AG362" i="33" s="1"/>
  <c r="CJ48" i="3"/>
  <c r="CI48" i="3"/>
  <c r="Y362" i="33" s="1"/>
  <c r="Z362" i="33" s="1"/>
  <c r="CH48" i="3"/>
  <c r="CG48" i="3"/>
  <c r="R362" i="33" s="1"/>
  <c r="S362" i="33" s="1"/>
  <c r="CF48" i="3"/>
  <c r="CE48" i="3"/>
  <c r="K362" i="33" s="1"/>
  <c r="L362" i="33" s="1"/>
  <c r="CB48" i="3"/>
  <c r="AH362" i="33" s="1"/>
  <c r="AI362" i="33" s="1"/>
  <c r="CA48" i="3"/>
  <c r="BZ48" i="3"/>
  <c r="BR48" i="3"/>
  <c r="AA362" i="33" s="1"/>
  <c r="AB362" i="33" s="1"/>
  <c r="AC362" i="33" s="1"/>
  <c r="BQ48" i="3"/>
  <c r="BP48" i="3"/>
  <c r="BH48" i="3"/>
  <c r="T362" i="33" s="1"/>
  <c r="U362" i="33" s="1"/>
  <c r="V362" i="33" s="1"/>
  <c r="BG48" i="3"/>
  <c r="BF48" i="3"/>
  <c r="AX48" i="3"/>
  <c r="M362" i="33" s="1"/>
  <c r="AW48" i="3"/>
  <c r="AV48" i="3"/>
  <c r="CL47" i="3"/>
  <c r="CK47" i="3"/>
  <c r="AF253" i="33" s="1"/>
  <c r="CJ47" i="3"/>
  <c r="CI47" i="3"/>
  <c r="Y253" i="33" s="1"/>
  <c r="Z253" i="33" s="1"/>
  <c r="CH47" i="3"/>
  <c r="CG47" i="3"/>
  <c r="R253" i="33" s="1"/>
  <c r="CF47" i="3"/>
  <c r="CE47" i="3"/>
  <c r="K253" i="33" s="1"/>
  <c r="L253" i="33" s="1"/>
  <c r="CB47" i="3"/>
  <c r="AH253" i="33" s="1"/>
  <c r="AI253" i="33" s="1"/>
  <c r="CA47" i="3"/>
  <c r="BZ47" i="3"/>
  <c r="BR47" i="3"/>
  <c r="AA253" i="33" s="1"/>
  <c r="AB253" i="33" s="1"/>
  <c r="AC253" i="33" s="1"/>
  <c r="BQ47" i="3"/>
  <c r="BP47" i="3"/>
  <c r="BH47" i="3"/>
  <c r="T253" i="33" s="1"/>
  <c r="U253" i="33" s="1"/>
  <c r="V253" i="33" s="1"/>
  <c r="BG47" i="3"/>
  <c r="BF47" i="3"/>
  <c r="AX47" i="3"/>
  <c r="M253" i="33" s="1"/>
  <c r="AW47" i="3"/>
  <c r="AV47" i="3"/>
  <c r="CL46" i="3"/>
  <c r="CK46" i="3"/>
  <c r="AF182" i="33" s="1"/>
  <c r="AG182" i="33" s="1"/>
  <c r="CJ46" i="3"/>
  <c r="CI46" i="3"/>
  <c r="Y182" i="33" s="1"/>
  <c r="Z182" i="33" s="1"/>
  <c r="CH46" i="3"/>
  <c r="CG46" i="3"/>
  <c r="R182" i="33" s="1"/>
  <c r="S182" i="33" s="1"/>
  <c r="CF46" i="3"/>
  <c r="CE46" i="3"/>
  <c r="K182" i="33" s="1"/>
  <c r="L182" i="33" s="1"/>
  <c r="CB46" i="3"/>
  <c r="AH182" i="33" s="1"/>
  <c r="AI182" i="33" s="1"/>
  <c r="CA46" i="3"/>
  <c r="BZ46" i="3"/>
  <c r="BR46" i="3"/>
  <c r="AA182" i="33" s="1"/>
  <c r="AB182" i="33" s="1"/>
  <c r="AC182" i="33" s="1"/>
  <c r="BQ46" i="3"/>
  <c r="BP46" i="3"/>
  <c r="BH46" i="3"/>
  <c r="T182" i="33" s="1"/>
  <c r="U182" i="33" s="1"/>
  <c r="V182" i="33" s="1"/>
  <c r="BG46" i="3"/>
  <c r="BF46" i="3"/>
  <c r="M182" i="33"/>
  <c r="AW46" i="3"/>
  <c r="AV46" i="3"/>
  <c r="CL45" i="3"/>
  <c r="CK45" i="3"/>
  <c r="AF252" i="33" s="1"/>
  <c r="AG252" i="33" s="1"/>
  <c r="CJ45" i="3"/>
  <c r="CI45" i="3"/>
  <c r="Y252" i="33" s="1"/>
  <c r="Z252" i="33" s="1"/>
  <c r="CH45" i="3"/>
  <c r="CG45" i="3"/>
  <c r="R252" i="33" s="1"/>
  <c r="S252" i="33" s="1"/>
  <c r="CF45" i="3"/>
  <c r="CE45" i="3"/>
  <c r="K252" i="33" s="1"/>
  <c r="L252" i="33" s="1"/>
  <c r="CB45" i="3"/>
  <c r="AH252" i="33" s="1"/>
  <c r="AI252" i="33" s="1"/>
  <c r="CA45" i="3"/>
  <c r="BZ45" i="3"/>
  <c r="BR45" i="3"/>
  <c r="AA252" i="33" s="1"/>
  <c r="AB252" i="33" s="1"/>
  <c r="AC252" i="33" s="1"/>
  <c r="BQ45" i="3"/>
  <c r="BP45" i="3"/>
  <c r="BH45" i="3"/>
  <c r="T252" i="33" s="1"/>
  <c r="U252" i="33" s="1"/>
  <c r="V252" i="33" s="1"/>
  <c r="BG45" i="3"/>
  <c r="BF45" i="3"/>
  <c r="AX45" i="3"/>
  <c r="M252" i="33" s="1"/>
  <c r="AW45" i="3"/>
  <c r="AV45" i="3"/>
  <c r="CL44" i="3"/>
  <c r="CK44" i="3"/>
  <c r="AF251" i="33" s="1"/>
  <c r="AG251" i="33" s="1"/>
  <c r="CJ44" i="3"/>
  <c r="CI44" i="3"/>
  <c r="Y251" i="33" s="1"/>
  <c r="Z251" i="33" s="1"/>
  <c r="CH44" i="3"/>
  <c r="CG44" i="3"/>
  <c r="R251" i="33" s="1"/>
  <c r="S251" i="33" s="1"/>
  <c r="CF44" i="3"/>
  <c r="CE44" i="3"/>
  <c r="K251" i="33" s="1"/>
  <c r="L251" i="33" s="1"/>
  <c r="CB44" i="3"/>
  <c r="AH251" i="33" s="1"/>
  <c r="AI251" i="33" s="1"/>
  <c r="CA44" i="3"/>
  <c r="BZ44" i="3"/>
  <c r="BR44" i="3"/>
  <c r="AA251" i="33" s="1"/>
  <c r="AB251" i="33" s="1"/>
  <c r="AC251" i="33" s="1"/>
  <c r="BQ44" i="3"/>
  <c r="BP44" i="3"/>
  <c r="BH44" i="3"/>
  <c r="T251" i="33" s="1"/>
  <c r="U251" i="33" s="1"/>
  <c r="V251" i="33" s="1"/>
  <c r="BG44" i="3"/>
  <c r="BF44" i="3"/>
  <c r="AX44" i="3"/>
  <c r="M251" i="33" s="1"/>
  <c r="AW44" i="3"/>
  <c r="AV44" i="3"/>
  <c r="CL43" i="3"/>
  <c r="CK43" i="3"/>
  <c r="CJ43" i="3"/>
  <c r="CI43" i="3"/>
  <c r="CH43" i="3"/>
  <c r="CG43" i="3"/>
  <c r="CF43" i="3"/>
  <c r="CE43" i="3"/>
  <c r="CB43" i="3"/>
  <c r="CA43" i="3"/>
  <c r="BZ43" i="3"/>
  <c r="BR43" i="3"/>
  <c r="BQ43" i="3"/>
  <c r="BP43" i="3"/>
  <c r="BH43" i="3"/>
  <c r="BG43" i="3"/>
  <c r="BF43" i="3"/>
  <c r="AX43" i="3"/>
  <c r="AW43" i="3"/>
  <c r="AV43" i="3"/>
  <c r="AO44" i="3"/>
  <c r="AY44" i="3" s="1"/>
  <c r="AN44" i="3"/>
  <c r="BL44" i="3" s="1"/>
  <c r="AO43" i="3"/>
  <c r="CC43" i="3" s="1"/>
  <c r="AN43" i="3"/>
  <c r="BL43" i="3" s="1"/>
  <c r="N252" i="33" l="1"/>
  <c r="O252" i="33" s="1"/>
  <c r="N362" i="33"/>
  <c r="O362" i="33" s="1"/>
  <c r="N253" i="33"/>
  <c r="O253" i="33" s="1"/>
  <c r="N251" i="33"/>
  <c r="O251" i="33" s="1"/>
  <c r="N182" i="33"/>
  <c r="O182" i="33" s="1"/>
  <c r="Y250" i="33"/>
  <c r="Z250" i="33" s="1"/>
  <c r="AC14" i="36" s="1"/>
  <c r="AF250" i="33"/>
  <c r="AG250" i="33" s="1"/>
  <c r="AP14" i="36" s="1"/>
  <c r="M250" i="33"/>
  <c r="K250" i="33"/>
  <c r="L250" i="33" s="1"/>
  <c r="C14" i="36" s="1"/>
  <c r="AA250" i="33"/>
  <c r="AB250" i="33" s="1"/>
  <c r="AC250" i="33" s="1"/>
  <c r="AI14" i="36" s="1"/>
  <c r="AH250" i="33"/>
  <c r="AI250" i="33" s="1"/>
  <c r="AV14" i="36" s="1"/>
  <c r="T250" i="33"/>
  <c r="U250" i="33" s="1"/>
  <c r="V250" i="33" s="1"/>
  <c r="V14" i="36" s="1"/>
  <c r="R250" i="33"/>
  <c r="S250" i="33" s="1"/>
  <c r="P14" i="36" s="1"/>
  <c r="BB48" i="3"/>
  <c r="AR48" i="3"/>
  <c r="CC46" i="3"/>
  <c r="BI48" i="3"/>
  <c r="CC48" i="3"/>
  <c r="AY48" i="3"/>
  <c r="AY45" i="3"/>
  <c r="CC45" i="3"/>
  <c r="BI47" i="3"/>
  <c r="BB43" i="3"/>
  <c r="AY43" i="3"/>
  <c r="BS43" i="3"/>
  <c r="BB44" i="3"/>
  <c r="AY47" i="3"/>
  <c r="BV47" i="3"/>
  <c r="BI43" i="3"/>
  <c r="BS44" i="3"/>
  <c r="BB46" i="3"/>
  <c r="BV43" i="3"/>
  <c r="BV44" i="3"/>
  <c r="AR43" i="3"/>
  <c r="AR44" i="3"/>
  <c r="BI44" i="3"/>
  <c r="AR46" i="3"/>
  <c r="BL46" i="3"/>
  <c r="CC44" i="3"/>
  <c r="BI46" i="3"/>
  <c r="BB47" i="3"/>
  <c r="BS47" i="3"/>
  <c r="BL48" i="3"/>
  <c r="AY46" i="3"/>
  <c r="AR47" i="3"/>
  <c r="BB45" i="3"/>
  <c r="BV45" i="3"/>
  <c r="AR45" i="3"/>
  <c r="BS45" i="3"/>
  <c r="AG14" i="36" l="1"/>
  <c r="AD14" i="36"/>
  <c r="AF14" i="36"/>
  <c r="AH14" i="36"/>
  <c r="AE14" i="36"/>
  <c r="AJ14" i="36"/>
  <c r="AL14" i="36"/>
  <c r="AN14" i="36"/>
  <c r="AM14" i="36"/>
  <c r="AK14" i="36"/>
  <c r="U14" i="36"/>
  <c r="T14" i="36"/>
  <c r="R14" i="36"/>
  <c r="S14" i="36"/>
  <c r="Q14" i="36"/>
  <c r="AT14" i="36"/>
  <c r="AS14" i="36"/>
  <c r="AR14" i="36"/>
  <c r="AU14" i="36"/>
  <c r="AQ14" i="36"/>
  <c r="BA14" i="36"/>
  <c r="AZ14" i="36"/>
  <c r="AX14" i="36"/>
  <c r="AW14" i="36"/>
  <c r="AY14" i="36"/>
  <c r="X14" i="36"/>
  <c r="W14" i="36"/>
  <c r="AA14" i="36" s="1"/>
  <c r="Z14" i="36"/>
  <c r="Y14" i="36"/>
  <c r="E14" i="36"/>
  <c r="D14" i="36"/>
  <c r="G14" i="36"/>
  <c r="H14" i="36"/>
  <c r="F14" i="36"/>
  <c r="N250" i="33"/>
  <c r="O250" i="33" s="1"/>
  <c r="I14" i="36" s="1"/>
  <c r="BW9" i="28"/>
  <c r="BV9" i="28"/>
  <c r="AF237" i="33" s="1"/>
  <c r="BU9" i="28"/>
  <c r="BT9" i="28"/>
  <c r="Y237" i="33" s="1"/>
  <c r="BS9" i="28"/>
  <c r="BR9" i="28"/>
  <c r="R237" i="33" s="1"/>
  <c r="BQ9" i="28"/>
  <c r="BP9" i="28"/>
  <c r="K237" i="33" s="1"/>
  <c r="L237" i="33" s="1"/>
  <c r="BM9" i="28"/>
  <c r="AH237" i="33" s="1"/>
  <c r="AI237" i="33" s="1"/>
  <c r="BL9" i="28"/>
  <c r="BK9" i="28"/>
  <c r="BC9" i="28"/>
  <c r="AA237" i="33" s="1"/>
  <c r="AB237" i="33" s="1"/>
  <c r="AC237" i="33" s="1"/>
  <c r="BB9" i="28"/>
  <c r="BA9" i="28"/>
  <c r="AS9" i="28"/>
  <c r="T237" i="33" s="1"/>
  <c r="U237" i="33" s="1"/>
  <c r="V237" i="33" s="1"/>
  <c r="AR9" i="28"/>
  <c r="AQ9" i="28"/>
  <c r="AI9" i="28"/>
  <c r="M237" i="33" s="1"/>
  <c r="N237" i="33" s="1"/>
  <c r="O237" i="33" s="1"/>
  <c r="AH9" i="28"/>
  <c r="AG9" i="28"/>
  <c r="Z9" i="28"/>
  <c r="BN9" i="28" s="1"/>
  <c r="Y9" i="28"/>
  <c r="BG9" i="28" s="1"/>
  <c r="BW8" i="28"/>
  <c r="BV8" i="28"/>
  <c r="AF236" i="33" s="1"/>
  <c r="BU8" i="28"/>
  <c r="BT8" i="28"/>
  <c r="Y236" i="33" s="1"/>
  <c r="BS8" i="28"/>
  <c r="BR8" i="28"/>
  <c r="R236" i="33" s="1"/>
  <c r="BQ8" i="28"/>
  <c r="BP8" i="28"/>
  <c r="K236" i="33" s="1"/>
  <c r="L236" i="33" s="1"/>
  <c r="BM8" i="28"/>
  <c r="AH236" i="33" s="1"/>
  <c r="AI236" i="33" s="1"/>
  <c r="BL8" i="28"/>
  <c r="BK8" i="28"/>
  <c r="BC8" i="28"/>
  <c r="BB8" i="28"/>
  <c r="BA8" i="28"/>
  <c r="AS8" i="28"/>
  <c r="T236" i="33" s="1"/>
  <c r="U236" i="33" s="1"/>
  <c r="V236" i="33" s="1"/>
  <c r="AR8" i="28"/>
  <c r="AQ8" i="28"/>
  <c r="AI8" i="28"/>
  <c r="M236" i="33" s="1"/>
  <c r="N236" i="33" s="1"/>
  <c r="O236" i="33" s="1"/>
  <c r="AH8" i="28"/>
  <c r="AG8" i="28"/>
  <c r="Z8" i="28"/>
  <c r="BN8" i="28" s="1"/>
  <c r="Y8" i="28"/>
  <c r="BG8" i="28" s="1"/>
  <c r="AA236" i="33" l="1"/>
  <c r="AB236" i="33" s="1"/>
  <c r="AC236" i="33" s="1"/>
  <c r="K14" i="36"/>
  <c r="M14" i="36"/>
  <c r="L14" i="36"/>
  <c r="N14" i="36"/>
  <c r="J14" i="36"/>
  <c r="AW9" i="28"/>
  <c r="AC9" i="28"/>
  <c r="AJ8" i="28"/>
  <c r="BD8" i="28"/>
  <c r="AJ9" i="28"/>
  <c r="AC8" i="28"/>
  <c r="AT8" i="28"/>
  <c r="AM9" i="28"/>
  <c r="AW8" i="28"/>
  <c r="AM8" i="28"/>
  <c r="BD9" i="28"/>
  <c r="AT9" i="28"/>
  <c r="CL132" i="3" l="1"/>
  <c r="CK132" i="3"/>
  <c r="AF194" i="33" s="1"/>
  <c r="AG194" i="33" s="1"/>
  <c r="CJ132" i="3"/>
  <c r="CI132" i="3"/>
  <c r="Y194" i="33" s="1"/>
  <c r="CH132" i="3"/>
  <c r="CG132" i="3"/>
  <c r="R194" i="33" s="1"/>
  <c r="CF132" i="3"/>
  <c r="CE132" i="3"/>
  <c r="K194" i="33" s="1"/>
  <c r="CB132" i="3"/>
  <c r="AH194" i="33" s="1"/>
  <c r="AI194" i="33" s="1"/>
  <c r="CA132" i="3"/>
  <c r="BZ132" i="3"/>
  <c r="BR132" i="3"/>
  <c r="AA194" i="33" s="1"/>
  <c r="AB194" i="33" s="1"/>
  <c r="BQ132" i="3"/>
  <c r="BP132" i="3"/>
  <c r="BH132" i="3"/>
  <c r="T194" i="33" s="1"/>
  <c r="U194" i="33" s="1"/>
  <c r="BG132" i="3"/>
  <c r="BF132" i="3"/>
  <c r="AX132" i="3"/>
  <c r="M194" i="33" s="1"/>
  <c r="N194" i="33" s="1"/>
  <c r="AW132" i="3"/>
  <c r="AV132" i="3"/>
  <c r="AO132" i="3"/>
  <c r="BS132" i="3" s="1"/>
  <c r="AN132" i="3"/>
  <c r="BV132" i="3" s="1"/>
  <c r="CK131" i="3"/>
  <c r="AF193" i="33" s="1"/>
  <c r="AG193" i="33" s="1"/>
  <c r="CI131" i="3"/>
  <c r="Y193" i="33" s="1"/>
  <c r="Z193" i="33" s="1"/>
  <c r="CG131" i="3"/>
  <c r="R193" i="33" s="1"/>
  <c r="S193" i="33" s="1"/>
  <c r="CE131" i="3"/>
  <c r="K193" i="33" s="1"/>
  <c r="L193" i="33" s="1"/>
  <c r="CB131" i="3"/>
  <c r="AH193" i="33" s="1"/>
  <c r="AI193" i="33" s="1"/>
  <c r="BZ131" i="3"/>
  <c r="CL131" i="3"/>
  <c r="BR131" i="3"/>
  <c r="AA193" i="33" s="1"/>
  <c r="AB193" i="33" s="1"/>
  <c r="AC193" i="33" s="1"/>
  <c r="BP131" i="3"/>
  <c r="BH131" i="3"/>
  <c r="T193" i="33" s="1"/>
  <c r="U193" i="33" s="1"/>
  <c r="V193" i="33" s="1"/>
  <c r="BF131" i="3"/>
  <c r="AX131" i="3"/>
  <c r="M193" i="33" s="1"/>
  <c r="AV131" i="3"/>
  <c r="AW131" i="3"/>
  <c r="AO131" i="3"/>
  <c r="CC131" i="3" s="1"/>
  <c r="AN131" i="3"/>
  <c r="BB131" i="3" s="1"/>
  <c r="CK130" i="3"/>
  <c r="AF192" i="33" s="1"/>
  <c r="CI130" i="3"/>
  <c r="Y192" i="33" s="1"/>
  <c r="Z192" i="33" s="1"/>
  <c r="CG130" i="3"/>
  <c r="R192" i="33" s="1"/>
  <c r="CE130" i="3"/>
  <c r="K192" i="33" s="1"/>
  <c r="L192" i="33" s="1"/>
  <c r="CB130" i="3"/>
  <c r="AH192" i="33" s="1"/>
  <c r="AI192" i="33" s="1"/>
  <c r="BZ130" i="3"/>
  <c r="CL130" i="3"/>
  <c r="BR130" i="3"/>
  <c r="AA192" i="33" s="1"/>
  <c r="AB192" i="33" s="1"/>
  <c r="AC192" i="33" s="1"/>
  <c r="BP130" i="3"/>
  <c r="BQ130" i="3"/>
  <c r="BH130" i="3"/>
  <c r="T192" i="33" s="1"/>
  <c r="U192" i="33" s="1"/>
  <c r="V192" i="33" s="1"/>
  <c r="BF130" i="3"/>
  <c r="AX130" i="3"/>
  <c r="M192" i="33" s="1"/>
  <c r="AW130" i="3"/>
  <c r="AV130" i="3"/>
  <c r="CF130" i="3"/>
  <c r="AO130" i="3"/>
  <c r="CC130" i="3" s="1"/>
  <c r="AN130" i="3"/>
  <c r="AR130" i="3" s="1"/>
  <c r="CK129" i="3"/>
  <c r="CI129" i="3"/>
  <c r="CG129" i="3"/>
  <c r="R191" i="33" s="1"/>
  <c r="S191" i="33" s="1"/>
  <c r="CE129" i="3"/>
  <c r="K191" i="33" s="1"/>
  <c r="CB129" i="3"/>
  <c r="BZ129" i="3"/>
  <c r="BR129" i="3"/>
  <c r="BP129" i="3"/>
  <c r="BQ129" i="3"/>
  <c r="BH129" i="3"/>
  <c r="T191" i="33" s="1"/>
  <c r="U191" i="33" s="1"/>
  <c r="V191" i="33" s="1"/>
  <c r="BF129" i="3"/>
  <c r="AX129" i="3"/>
  <c r="M191" i="33" s="1"/>
  <c r="N191" i="33" s="1"/>
  <c r="AV129" i="3"/>
  <c r="AO129" i="3"/>
  <c r="AY129" i="3" s="1"/>
  <c r="AN129" i="3"/>
  <c r="BV129" i="3" s="1"/>
  <c r="CK128" i="3"/>
  <c r="AF190" i="33" s="1"/>
  <c r="AG190" i="33" s="1"/>
  <c r="CI128" i="3"/>
  <c r="Y190" i="33" s="1"/>
  <c r="Z190" i="33" s="1"/>
  <c r="CG128" i="3"/>
  <c r="R190" i="33" s="1"/>
  <c r="CE128" i="3"/>
  <c r="K190" i="33" s="1"/>
  <c r="CB128" i="3"/>
  <c r="AH190" i="33" s="1"/>
  <c r="AI190" i="33" s="1"/>
  <c r="BZ128" i="3"/>
  <c r="BR128" i="3"/>
  <c r="AA190" i="33" s="1"/>
  <c r="AB190" i="33" s="1"/>
  <c r="AC190" i="33" s="1"/>
  <c r="BP128" i="3"/>
  <c r="BH128" i="3"/>
  <c r="T190" i="33" s="1"/>
  <c r="U190" i="33" s="1"/>
  <c r="BF128" i="3"/>
  <c r="CH128" i="3"/>
  <c r="AX128" i="3"/>
  <c r="M190" i="33" s="1"/>
  <c r="N190" i="33" s="1"/>
  <c r="AV128" i="3"/>
  <c r="AO128" i="3"/>
  <c r="AN128" i="3"/>
  <c r="BB128" i="3" s="1"/>
  <c r="CK127" i="3"/>
  <c r="AF189" i="33" s="1"/>
  <c r="AG189" i="33" s="1"/>
  <c r="CI127" i="3"/>
  <c r="Y189" i="33" s="1"/>
  <c r="Z189" i="33" s="1"/>
  <c r="CG127" i="3"/>
  <c r="R189" i="33" s="1"/>
  <c r="S189" i="33" s="1"/>
  <c r="CE127" i="3"/>
  <c r="K189" i="33" s="1"/>
  <c r="L189" i="33" s="1"/>
  <c r="CB127" i="3"/>
  <c r="AH189" i="33" s="1"/>
  <c r="AI189" i="33" s="1"/>
  <c r="BZ127" i="3"/>
  <c r="CL127" i="3"/>
  <c r="BR127" i="3"/>
  <c r="AA189" i="33" s="1"/>
  <c r="AB189" i="33" s="1"/>
  <c r="AC189" i="33" s="1"/>
  <c r="BP127" i="3"/>
  <c r="BQ127" i="3"/>
  <c r="BH127" i="3"/>
  <c r="T189" i="33" s="1"/>
  <c r="U189" i="33" s="1"/>
  <c r="V189" i="33" s="1"/>
  <c r="BF127" i="3"/>
  <c r="AX127" i="3"/>
  <c r="M189" i="33" s="1"/>
  <c r="AV127" i="3"/>
  <c r="AO127" i="3"/>
  <c r="BS127" i="3" s="1"/>
  <c r="AN127" i="3"/>
  <c r="AR127" i="3" s="1"/>
  <c r="CK126" i="3"/>
  <c r="AF188" i="33" s="1"/>
  <c r="AG188" i="33" s="1"/>
  <c r="CI126" i="3"/>
  <c r="Y188" i="33" s="1"/>
  <c r="Z188" i="33" s="1"/>
  <c r="CG126" i="3"/>
  <c r="R188" i="33" s="1"/>
  <c r="S188" i="33" s="1"/>
  <c r="CE126" i="3"/>
  <c r="K188" i="33" s="1"/>
  <c r="L188" i="33" s="1"/>
  <c r="CB126" i="3"/>
  <c r="AH188" i="33" s="1"/>
  <c r="AI188" i="33" s="1"/>
  <c r="BZ126" i="3"/>
  <c r="BR126" i="3"/>
  <c r="AA188" i="33" s="1"/>
  <c r="AB188" i="33" s="1"/>
  <c r="AC188" i="33" s="1"/>
  <c r="BP126" i="3"/>
  <c r="BQ126" i="3"/>
  <c r="BH126" i="3"/>
  <c r="T188" i="33" s="1"/>
  <c r="U188" i="33" s="1"/>
  <c r="V188" i="33" s="1"/>
  <c r="BF126" i="3"/>
  <c r="AX126" i="3"/>
  <c r="M188" i="33" s="1"/>
  <c r="AV126" i="3"/>
  <c r="AO126" i="3"/>
  <c r="AY126" i="3" s="1"/>
  <c r="AN126" i="3"/>
  <c r="BV126" i="3" s="1"/>
  <c r="CK125" i="3"/>
  <c r="AF187" i="33" s="1"/>
  <c r="AG187" i="33" s="1"/>
  <c r="CI125" i="3"/>
  <c r="Y187" i="33" s="1"/>
  <c r="Z187" i="33" s="1"/>
  <c r="CG125" i="3"/>
  <c r="R187" i="33" s="1"/>
  <c r="S187" i="33" s="1"/>
  <c r="CE125" i="3"/>
  <c r="K187" i="33" s="1"/>
  <c r="L187" i="33" s="1"/>
  <c r="CB125" i="3"/>
  <c r="AH187" i="33" s="1"/>
  <c r="AI187" i="33" s="1"/>
  <c r="BZ125" i="3"/>
  <c r="BR125" i="3"/>
  <c r="AA187" i="33" s="1"/>
  <c r="AB187" i="33" s="1"/>
  <c r="AC187" i="33" s="1"/>
  <c r="BP125" i="3"/>
  <c r="BH125" i="3"/>
  <c r="T187" i="33" s="1"/>
  <c r="U187" i="33" s="1"/>
  <c r="V187" i="33" s="1"/>
  <c r="BF125" i="3"/>
  <c r="AX125" i="3"/>
  <c r="M187" i="33" s="1"/>
  <c r="AV125" i="3"/>
  <c r="AO125" i="3"/>
  <c r="AN125" i="3"/>
  <c r="BB125" i="3" s="1"/>
  <c r="CK124" i="3"/>
  <c r="AF357" i="33" s="1"/>
  <c r="AG357" i="33" s="1"/>
  <c r="CI124" i="3"/>
  <c r="Y357" i="33" s="1"/>
  <c r="Y365" i="33" s="1"/>
  <c r="Z365" i="33" s="1"/>
  <c r="AE9" i="34" s="1"/>
  <c r="CG124" i="3"/>
  <c r="R357" i="33" s="1"/>
  <c r="R365" i="33" s="1"/>
  <c r="CE124" i="3"/>
  <c r="K357" i="33" s="1"/>
  <c r="K365" i="33" s="1"/>
  <c r="CB124" i="3"/>
  <c r="AH357" i="33" s="1"/>
  <c r="AH365" i="33" s="1"/>
  <c r="BZ124" i="3"/>
  <c r="CL124" i="3"/>
  <c r="BR124" i="3"/>
  <c r="AA357" i="33" s="1"/>
  <c r="AA365" i="33" s="1"/>
  <c r="AB365" i="33" s="1"/>
  <c r="BP124" i="3"/>
  <c r="BH124" i="3"/>
  <c r="T357" i="33" s="1"/>
  <c r="T365" i="33" s="1"/>
  <c r="U365" i="33" s="1"/>
  <c r="BF124" i="3"/>
  <c r="AX124" i="3"/>
  <c r="M357" i="33" s="1"/>
  <c r="AV124" i="3"/>
  <c r="AO124" i="3"/>
  <c r="BS124" i="3" s="1"/>
  <c r="AN124" i="3"/>
  <c r="BB124" i="3" s="1"/>
  <c r="S365" i="33" l="1"/>
  <c r="Q9" i="34" s="1"/>
  <c r="AP7" i="38"/>
  <c r="L365" i="33"/>
  <c r="C9" i="34" s="1"/>
  <c r="N187" i="33"/>
  <c r="O187" i="33" s="1"/>
  <c r="N357" i="33"/>
  <c r="M365" i="33"/>
  <c r="N365" i="33" s="1"/>
  <c r="N189" i="33"/>
  <c r="O189" i="33" s="1"/>
  <c r="N192" i="33"/>
  <c r="O192" i="33" s="1"/>
  <c r="AI9" i="34"/>
  <c r="AJ9" i="34"/>
  <c r="AF9" i="34"/>
  <c r="AH9" i="34"/>
  <c r="AG9" i="34"/>
  <c r="N193" i="33"/>
  <c r="O193" i="33" s="1"/>
  <c r="N188" i="33"/>
  <c r="O188" i="33" s="1"/>
  <c r="L357" i="33"/>
  <c r="C7" i="38" s="1"/>
  <c r="AI357" i="33"/>
  <c r="AI365" i="33" s="1"/>
  <c r="AY9" i="34" s="1"/>
  <c r="U357" i="33"/>
  <c r="Z357" i="33"/>
  <c r="AB357" i="33"/>
  <c r="S357" i="33"/>
  <c r="AR128" i="3"/>
  <c r="BI124" i="3"/>
  <c r="BV125" i="3"/>
  <c r="AR125" i="3"/>
  <c r="CC132" i="3"/>
  <c r="BV128" i="3"/>
  <c r="AY124" i="3"/>
  <c r="AY127" i="3"/>
  <c r="AR132" i="3"/>
  <c r="AY130" i="3"/>
  <c r="BI132" i="3"/>
  <c r="BL128" i="3"/>
  <c r="BL132" i="3"/>
  <c r="AY132" i="3"/>
  <c r="BL125" i="3"/>
  <c r="BB132" i="3"/>
  <c r="BI127" i="3"/>
  <c r="AR124" i="3"/>
  <c r="BS131" i="3"/>
  <c r="BI130" i="3"/>
  <c r="BI131" i="3"/>
  <c r="BS130" i="3"/>
  <c r="CJ128" i="3"/>
  <c r="BQ128" i="3"/>
  <c r="CL129" i="3"/>
  <c r="CA129" i="3"/>
  <c r="CJ125" i="3"/>
  <c r="BQ125" i="3"/>
  <c r="CA126" i="3"/>
  <c r="CL126" i="3"/>
  <c r="CJ129" i="3"/>
  <c r="BV124" i="3"/>
  <c r="BL126" i="3"/>
  <c r="BV127" i="3"/>
  <c r="BL129" i="3"/>
  <c r="BV130" i="3"/>
  <c r="AR131" i="3"/>
  <c r="CJ126" i="3"/>
  <c r="BL124" i="3"/>
  <c r="BB126" i="3"/>
  <c r="BL127" i="3"/>
  <c r="BB129" i="3"/>
  <c r="BL130" i="3"/>
  <c r="BV131" i="3"/>
  <c r="CC128" i="3"/>
  <c r="CF131" i="3"/>
  <c r="CA124" i="3"/>
  <c r="BS125" i="3"/>
  <c r="CC126" i="3"/>
  <c r="CA127" i="3"/>
  <c r="CJ127" i="3"/>
  <c r="BG128" i="3"/>
  <c r="BS128" i="3"/>
  <c r="CC129" i="3"/>
  <c r="CA130" i="3"/>
  <c r="CJ130" i="3"/>
  <c r="AR126" i="3"/>
  <c r="BB127" i="3"/>
  <c r="AR129" i="3"/>
  <c r="BB130" i="3"/>
  <c r="BL131" i="3"/>
  <c r="CC124" i="3"/>
  <c r="BI125" i="3"/>
  <c r="BS126" i="3"/>
  <c r="CC127" i="3"/>
  <c r="BI128" i="3"/>
  <c r="BS129" i="3"/>
  <c r="AY131" i="3"/>
  <c r="CA131" i="3"/>
  <c r="CC125" i="3"/>
  <c r="AY125" i="3"/>
  <c r="BI126" i="3"/>
  <c r="AY128" i="3"/>
  <c r="BI129" i="3"/>
  <c r="U9" i="34" l="1"/>
  <c r="V9" i="34"/>
  <c r="R9" i="34"/>
  <c r="S9" i="34"/>
  <c r="T9" i="34"/>
  <c r="H7" i="38"/>
  <c r="D7" i="38"/>
  <c r="G7" i="38"/>
  <c r="F7" i="38"/>
  <c r="E7" i="38"/>
  <c r="AS7" i="38"/>
  <c r="AR7" i="38"/>
  <c r="AT7" i="38"/>
  <c r="AQ7" i="38"/>
  <c r="AU7" i="38"/>
  <c r="H9" i="34"/>
  <c r="F9" i="34"/>
  <c r="E9" i="34"/>
  <c r="G9" i="34"/>
  <c r="D9" i="34"/>
  <c r="BD9" i="34"/>
  <c r="BC9" i="34"/>
  <c r="BB9" i="34"/>
  <c r="AZ9" i="34"/>
  <c r="BA9" i="34"/>
  <c r="AC357" i="33"/>
  <c r="AC365" i="33" s="1"/>
  <c r="AK9" i="34" s="1"/>
  <c r="V357" i="33"/>
  <c r="O357" i="33"/>
  <c r="O365" i="33" s="1"/>
  <c r="I9" i="34" s="1"/>
  <c r="AW125" i="3"/>
  <c r="CF125" i="3"/>
  <c r="CF124" i="3"/>
  <c r="AW124" i="3"/>
  <c r="AW129" i="3"/>
  <c r="CF129" i="3"/>
  <c r="AW128" i="3"/>
  <c r="CF128" i="3"/>
  <c r="CA128" i="3"/>
  <c r="CL128" i="3"/>
  <c r="AW126" i="3"/>
  <c r="CF126" i="3"/>
  <c r="BG127" i="3"/>
  <c r="CH127" i="3"/>
  <c r="BG124" i="3"/>
  <c r="CH124" i="3"/>
  <c r="BG131" i="3"/>
  <c r="CH131" i="3"/>
  <c r="CA125" i="3"/>
  <c r="CL125" i="3"/>
  <c r="CH129" i="3"/>
  <c r="BG129" i="3"/>
  <c r="BQ124" i="3"/>
  <c r="CJ124" i="3"/>
  <c r="CH125" i="3"/>
  <c r="BG125" i="3"/>
  <c r="CF127" i="3"/>
  <c r="AW127" i="3"/>
  <c r="BQ131" i="3"/>
  <c r="CJ131" i="3"/>
  <c r="CH126" i="3"/>
  <c r="BG126" i="3"/>
  <c r="BG130" i="3"/>
  <c r="CH130" i="3"/>
  <c r="I7" i="38" l="1"/>
  <c r="N7" i="38" s="1"/>
  <c r="V365" i="33"/>
  <c r="W9" i="34" s="1"/>
  <c r="Y9" i="34" s="1"/>
  <c r="AN9" i="34"/>
  <c r="AO9" i="34"/>
  <c r="AL9" i="34"/>
  <c r="AM9" i="34"/>
  <c r="AP9" i="34"/>
  <c r="N9" i="34"/>
  <c r="M9" i="34"/>
  <c r="K9" i="34"/>
  <c r="J9" i="34"/>
  <c r="L9" i="34"/>
  <c r="BY31" i="27"/>
  <c r="AF28" i="33" s="1"/>
  <c r="AG28" i="33" s="1"/>
  <c r="BX31" i="27"/>
  <c r="BW31" i="27"/>
  <c r="Y28" i="33" s="1"/>
  <c r="Z28" i="33" s="1"/>
  <c r="BV31" i="27"/>
  <c r="BU31" i="27"/>
  <c r="R28" i="33" s="1"/>
  <c r="S28" i="33" s="1"/>
  <c r="BT31" i="27"/>
  <c r="BS31" i="27"/>
  <c r="K28" i="33" s="1"/>
  <c r="L28" i="33" s="1"/>
  <c r="BR31" i="27"/>
  <c r="BX30" i="27"/>
  <c r="BV30" i="27"/>
  <c r="BT30" i="27"/>
  <c r="BR30" i="27"/>
  <c r="BP31" i="27"/>
  <c r="AH28" i="33" s="1"/>
  <c r="AI28" i="33" s="1"/>
  <c r="BO31" i="27"/>
  <c r="BN31" i="27"/>
  <c r="BM31" i="27"/>
  <c r="BO30" i="27"/>
  <c r="BM30" i="27"/>
  <c r="BF31" i="27"/>
  <c r="AA28" i="33" s="1"/>
  <c r="BE31" i="27"/>
  <c r="BD31" i="27"/>
  <c r="X28" i="33" s="1"/>
  <c r="BC31" i="27"/>
  <c r="BE30" i="27"/>
  <c r="BC30" i="27"/>
  <c r="AV31" i="27"/>
  <c r="T28" i="33" s="1"/>
  <c r="U28" i="33" s="1"/>
  <c r="V28" i="33" s="1"/>
  <c r="AU31" i="27"/>
  <c r="AT31" i="27"/>
  <c r="AS31" i="27"/>
  <c r="AU30" i="27"/>
  <c r="AS30" i="27"/>
  <c r="AL31" i="27"/>
  <c r="AK31" i="27"/>
  <c r="AJ31" i="27"/>
  <c r="J28" i="33" s="1"/>
  <c r="AI31" i="27"/>
  <c r="AK30" i="27"/>
  <c r="AO14" i="27"/>
  <c r="CE140" i="3"/>
  <c r="K297" i="33" s="1"/>
  <c r="CB140" i="3"/>
  <c r="AH297" i="33" s="1"/>
  <c r="AI297" i="33" s="1"/>
  <c r="BZ140" i="3"/>
  <c r="BR140" i="3"/>
  <c r="AA297" i="33" s="1"/>
  <c r="AB297" i="33" s="1"/>
  <c r="AC297" i="33" s="1"/>
  <c r="BP140" i="3"/>
  <c r="BH140" i="3"/>
  <c r="T297" i="33" s="1"/>
  <c r="U297" i="33" s="1"/>
  <c r="BF140" i="3"/>
  <c r="AX140" i="3"/>
  <c r="M297" i="33" s="1"/>
  <c r="N297" i="33" s="1"/>
  <c r="AV140" i="3"/>
  <c r="AO140" i="3"/>
  <c r="AN140" i="3"/>
  <c r="AR140" i="3" s="1"/>
  <c r="M28" i="33" l="1"/>
  <c r="N28" i="33" s="1"/>
  <c r="O28" i="33" s="1"/>
  <c r="AB28" i="33"/>
  <c r="AC28" i="33" s="1"/>
  <c r="AE28" i="33"/>
  <c r="Q28" i="33"/>
  <c r="L7" i="38"/>
  <c r="K7" i="38"/>
  <c r="M7" i="38"/>
  <c r="J7" i="38"/>
  <c r="Z9" i="34"/>
  <c r="X9" i="34"/>
  <c r="AA9" i="34"/>
  <c r="AA150" i="33"/>
  <c r="AB150" i="33" s="1"/>
  <c r="AC150" i="33" s="1"/>
  <c r="M149" i="33"/>
  <c r="N149" i="33" s="1"/>
  <c r="O149" i="33" s="1"/>
  <c r="K150" i="33"/>
  <c r="L150" i="33" s="1"/>
  <c r="M150" i="33"/>
  <c r="N150" i="33" s="1"/>
  <c r="O150" i="33" s="1"/>
  <c r="Y149" i="33"/>
  <c r="Z149" i="33" s="1"/>
  <c r="AF150" i="33"/>
  <c r="AG150" i="33" s="1"/>
  <c r="R150" i="33"/>
  <c r="S150" i="33" s="1"/>
  <c r="T150" i="33"/>
  <c r="U150" i="33" s="1"/>
  <c r="V150" i="33" s="1"/>
  <c r="AA149" i="33"/>
  <c r="AB149" i="33" s="1"/>
  <c r="AC149" i="33" s="1"/>
  <c r="R149" i="33"/>
  <c r="S149" i="33" s="1"/>
  <c r="Y150" i="33"/>
  <c r="Z150" i="33" s="1"/>
  <c r="AH150" i="33"/>
  <c r="AI150" i="33" s="1"/>
  <c r="K149" i="33"/>
  <c r="L149" i="33" s="1"/>
  <c r="AF149" i="33"/>
  <c r="AG149" i="33" s="1"/>
  <c r="AH149" i="33"/>
  <c r="AI149" i="33" s="1"/>
  <c r="T149" i="33"/>
  <c r="U149" i="33" s="1"/>
  <c r="V149" i="33" s="1"/>
  <c r="AB9" i="34"/>
  <c r="CC140" i="3"/>
  <c r="AH128" i="33" s="1"/>
  <c r="AI128" i="33" s="1"/>
  <c r="AS140" i="3"/>
  <c r="BS140" i="3"/>
  <c r="AA128" i="33" s="1"/>
  <c r="AB128" i="33" s="1"/>
  <c r="AC128" i="33" s="1"/>
  <c r="AY140" i="3"/>
  <c r="M128" i="33" s="1"/>
  <c r="N128" i="33" s="1"/>
  <c r="BI140" i="3"/>
  <c r="T128" i="33" s="1"/>
  <c r="U128" i="33" s="1"/>
  <c r="BI14" i="27"/>
  <c r="AY14" i="27"/>
  <c r="AE14" i="27"/>
  <c r="BV140" i="3"/>
  <c r="BB140" i="3"/>
  <c r="BL140" i="3"/>
  <c r="CM140" i="3" l="1"/>
  <c r="AW140" i="3"/>
  <c r="J128" i="33" s="1"/>
  <c r="CF140" i="3"/>
  <c r="K128" i="33" s="1"/>
  <c r="BG140" i="3"/>
  <c r="Q128" i="33" s="1"/>
  <c r="CH140" i="3"/>
  <c r="R128" i="33" s="1"/>
  <c r="BQ140" i="3"/>
  <c r="X128" i="33" s="1"/>
  <c r="CJ140" i="3"/>
  <c r="Y128" i="33" s="1"/>
  <c r="Z128" i="33" s="1"/>
  <c r="CA140" i="3"/>
  <c r="AE128" i="33" s="1"/>
  <c r="CL140" i="3"/>
  <c r="AF128" i="33" s="1"/>
  <c r="AG128" i="33" s="1"/>
  <c r="AB30" i="27"/>
  <c r="AA31" i="27"/>
  <c r="AE31" i="27" s="1"/>
  <c r="AA30" i="27"/>
  <c r="AO30" i="27" s="1"/>
  <c r="AB34" i="27"/>
  <c r="BZ34" i="27" s="1"/>
  <c r="AA34" i="27"/>
  <c r="AB33" i="27"/>
  <c r="BZ33" i="27" s="1"/>
  <c r="AA33" i="27"/>
  <c r="AB32" i="27"/>
  <c r="BZ32" i="27" s="1"/>
  <c r="AA32" i="27"/>
  <c r="BJ30" i="27" l="1"/>
  <c r="AF30" i="27"/>
  <c r="AP30" i="27"/>
  <c r="AZ30" i="27"/>
  <c r="BP30" i="27"/>
  <c r="AV30" i="27"/>
  <c r="BF30" i="27"/>
  <c r="AA27" i="33" s="1"/>
  <c r="AL30" i="27"/>
  <c r="AY31" i="27"/>
  <c r="AO31" i="27"/>
  <c r="BI31" i="27"/>
  <c r="AE30" i="27"/>
  <c r="BI30" i="27"/>
  <c r="AY30" i="27"/>
  <c r="AH27" i="33" l="1"/>
  <c r="AI27" i="33" s="1"/>
  <c r="T27" i="33"/>
  <c r="U27" i="33" s="1"/>
  <c r="V27" i="33" s="1"/>
  <c r="M27" i="33"/>
  <c r="N27" i="33" s="1"/>
  <c r="O27" i="33" s="1"/>
  <c r="AB27" i="33"/>
  <c r="AC27" i="33" s="1"/>
  <c r="BZ30" i="27"/>
  <c r="BU30" i="27"/>
  <c r="AT30" i="27"/>
  <c r="AJ30" i="27"/>
  <c r="BS30" i="27"/>
  <c r="BW30" i="27"/>
  <c r="BD30" i="27"/>
  <c r="BY30" i="27"/>
  <c r="BN30" i="27"/>
  <c r="AB25" i="27"/>
  <c r="AB26" i="27"/>
  <c r="AB27" i="27"/>
  <c r="AL27" i="27" s="1"/>
  <c r="AB28" i="27"/>
  <c r="AB29" i="27"/>
  <c r="AA25" i="27"/>
  <c r="AY25" i="27" s="1"/>
  <c r="AA26" i="27"/>
  <c r="AO26" i="27" s="1"/>
  <c r="AA27" i="27"/>
  <c r="AY27" i="27" s="1"/>
  <c r="AA28" i="27"/>
  <c r="AO28" i="27" s="1"/>
  <c r="AA29" i="27"/>
  <c r="AY29" i="27" s="1"/>
  <c r="AO10" i="3"/>
  <c r="AO14" i="3"/>
  <c r="BM14" i="3" s="1"/>
  <c r="CM14" i="3" s="1"/>
  <c r="AO15" i="3"/>
  <c r="AO16" i="3"/>
  <c r="AO19" i="3"/>
  <c r="AO21" i="3"/>
  <c r="AO22" i="3"/>
  <c r="BM22" i="3" s="1"/>
  <c r="AO23" i="3"/>
  <c r="AO24" i="3"/>
  <c r="AO25" i="3"/>
  <c r="AO26" i="3"/>
  <c r="AO29" i="3"/>
  <c r="AO31" i="3"/>
  <c r="AO35" i="3"/>
  <c r="AO38" i="3"/>
  <c r="AO39" i="3"/>
  <c r="AO121" i="3"/>
  <c r="AO122" i="3"/>
  <c r="AO134" i="3"/>
  <c r="BW134" i="3" s="1"/>
  <c r="AO135" i="3"/>
  <c r="AO136" i="3"/>
  <c r="BW136" i="3" s="1"/>
  <c r="AO138" i="3"/>
  <c r="AO139" i="3"/>
  <c r="AO9" i="3"/>
  <c r="AN10" i="3"/>
  <c r="AN14" i="3"/>
  <c r="AN15" i="3"/>
  <c r="AN16" i="3"/>
  <c r="AN19" i="3"/>
  <c r="AN21" i="3"/>
  <c r="AN22" i="3"/>
  <c r="AN23" i="3"/>
  <c r="AN24" i="3"/>
  <c r="AN25" i="3"/>
  <c r="AN26" i="3"/>
  <c r="AN29" i="3"/>
  <c r="BL29" i="3" s="1"/>
  <c r="AN31" i="3"/>
  <c r="AN35" i="3"/>
  <c r="AN38" i="3"/>
  <c r="AN39" i="3"/>
  <c r="AN41" i="3"/>
  <c r="AN121" i="3"/>
  <c r="AN122" i="3"/>
  <c r="AN134" i="3"/>
  <c r="AN135" i="3"/>
  <c r="AN136" i="3"/>
  <c r="BV136" i="3" s="1"/>
  <c r="AN138" i="3"/>
  <c r="AN139" i="3"/>
  <c r="AN9" i="3"/>
  <c r="BL9" i="3" s="1"/>
  <c r="BY35" i="27"/>
  <c r="BX35" i="27"/>
  <c r="BW35" i="27"/>
  <c r="BV35" i="27"/>
  <c r="BU35" i="27"/>
  <c r="BT35" i="27"/>
  <c r="BS35" i="27"/>
  <c r="BR35" i="27"/>
  <c r="BO35" i="27"/>
  <c r="BN35" i="27"/>
  <c r="BM35" i="27"/>
  <c r="BI35" i="27"/>
  <c r="BE35" i="27"/>
  <c r="BD35" i="27"/>
  <c r="BC35" i="27"/>
  <c r="AY35" i="27"/>
  <c r="AU35" i="27"/>
  <c r="AT35" i="27"/>
  <c r="AS35" i="27"/>
  <c r="R157" i="33" s="1"/>
  <c r="AO35" i="27"/>
  <c r="AK35" i="27"/>
  <c r="AJ35" i="27"/>
  <c r="AI35" i="27"/>
  <c r="AE35" i="27"/>
  <c r="BY34" i="27"/>
  <c r="BX34" i="27"/>
  <c r="BW34" i="27"/>
  <c r="BV34" i="27"/>
  <c r="BU34" i="27"/>
  <c r="BT34" i="27"/>
  <c r="BS34" i="27"/>
  <c r="BR34" i="27"/>
  <c r="BP34" i="27"/>
  <c r="BO34" i="27"/>
  <c r="BN34" i="27"/>
  <c r="BM34" i="27"/>
  <c r="BI34" i="27"/>
  <c r="BF34" i="27"/>
  <c r="BE34" i="27"/>
  <c r="BD34" i="27"/>
  <c r="BC34" i="27"/>
  <c r="AY34" i="27"/>
  <c r="AV34" i="27"/>
  <c r="AU34" i="27"/>
  <c r="AT34" i="27"/>
  <c r="AS34" i="27"/>
  <c r="AO34" i="27"/>
  <c r="AL34" i="27"/>
  <c r="AK34" i="27"/>
  <c r="AJ34" i="27"/>
  <c r="AE34" i="27"/>
  <c r="BY33" i="27"/>
  <c r="BX33" i="27"/>
  <c r="BW33" i="27"/>
  <c r="BV33" i="27"/>
  <c r="BU33" i="27"/>
  <c r="BT33" i="27"/>
  <c r="BS33" i="27"/>
  <c r="BR33" i="27"/>
  <c r="BP33" i="27"/>
  <c r="BO33" i="27"/>
  <c r="BN33" i="27"/>
  <c r="BM33" i="27"/>
  <c r="BI33" i="27"/>
  <c r="BF33" i="27"/>
  <c r="BE33" i="27"/>
  <c r="BD33" i="27"/>
  <c r="BC33" i="27"/>
  <c r="AY33" i="27"/>
  <c r="AV33" i="27"/>
  <c r="AU33" i="27"/>
  <c r="AT33" i="27"/>
  <c r="AS33" i="27"/>
  <c r="AO33" i="27"/>
  <c r="AL33" i="27"/>
  <c r="AK33" i="27"/>
  <c r="AJ33" i="27"/>
  <c r="AI33" i="27"/>
  <c r="AE33" i="27"/>
  <c r="BY32" i="27"/>
  <c r="BX32" i="27"/>
  <c r="BW32" i="27"/>
  <c r="BV32" i="27"/>
  <c r="BU32" i="27"/>
  <c r="BT32" i="27"/>
  <c r="BS32" i="27"/>
  <c r="BR32" i="27"/>
  <c r="BP32" i="27"/>
  <c r="BO32" i="27"/>
  <c r="BN32" i="27"/>
  <c r="BM32" i="27"/>
  <c r="BI32" i="27"/>
  <c r="BF32" i="27"/>
  <c r="BE32" i="27"/>
  <c r="BD32" i="27"/>
  <c r="BC32" i="27"/>
  <c r="AY32" i="27"/>
  <c r="AV32" i="27"/>
  <c r="AU32" i="27"/>
  <c r="AT32" i="27"/>
  <c r="AS32" i="27"/>
  <c r="AO32" i="27"/>
  <c r="AL32" i="27"/>
  <c r="AK32" i="27"/>
  <c r="AJ32" i="27"/>
  <c r="AI32" i="27"/>
  <c r="AE32" i="27"/>
  <c r="BX29" i="27"/>
  <c r="BV29" i="27"/>
  <c r="BT29" i="27"/>
  <c r="BR29" i="27"/>
  <c r="BO29" i="27"/>
  <c r="BM29" i="27"/>
  <c r="BE29" i="27"/>
  <c r="BC29" i="27"/>
  <c r="AU29" i="27"/>
  <c r="AS29" i="27"/>
  <c r="AK29" i="27"/>
  <c r="AI29" i="27"/>
  <c r="BX28" i="27"/>
  <c r="BV28" i="27"/>
  <c r="BT28" i="27"/>
  <c r="BR28" i="27"/>
  <c r="BO28" i="27"/>
  <c r="BM28" i="27"/>
  <c r="BE28" i="27"/>
  <c r="BC28" i="27"/>
  <c r="AU28" i="27"/>
  <c r="AS28" i="27"/>
  <c r="AK28" i="27"/>
  <c r="AI28" i="27"/>
  <c r="BX27" i="27"/>
  <c r="BV27" i="27"/>
  <c r="BT27" i="27"/>
  <c r="BR27" i="27"/>
  <c r="BO27" i="27"/>
  <c r="BM27" i="27"/>
  <c r="BE27" i="27"/>
  <c r="BC27" i="27"/>
  <c r="AU27" i="27"/>
  <c r="AS27" i="27"/>
  <c r="BX26" i="27"/>
  <c r="BV26" i="27"/>
  <c r="BT26" i="27"/>
  <c r="BR26" i="27"/>
  <c r="BO26" i="27"/>
  <c r="BM26" i="27"/>
  <c r="BE26" i="27"/>
  <c r="BC26" i="27"/>
  <c r="AU26" i="27"/>
  <c r="AS26" i="27"/>
  <c r="AK26" i="27"/>
  <c r="AI26" i="27"/>
  <c r="BX25" i="27"/>
  <c r="BV25" i="27"/>
  <c r="BT25" i="27"/>
  <c r="BR25" i="27"/>
  <c r="BO25" i="27"/>
  <c r="BM25" i="27"/>
  <c r="BE25" i="27"/>
  <c r="BC25" i="27"/>
  <c r="AU25" i="27"/>
  <c r="AS25" i="27"/>
  <c r="AK25" i="27"/>
  <c r="AI25" i="27"/>
  <c r="AI24" i="27"/>
  <c r="AS38" i="3" l="1"/>
  <c r="BS38" i="3"/>
  <c r="CM121" i="3"/>
  <c r="AO190" i="3"/>
  <c r="S157" i="33"/>
  <c r="BC135" i="3"/>
  <c r="BM135" i="3"/>
  <c r="BW135" i="3"/>
  <c r="AH211" i="33"/>
  <c r="AI211" i="33" s="1"/>
  <c r="AV8" i="35" s="1"/>
  <c r="AY8" i="35" s="1"/>
  <c r="AH148" i="33"/>
  <c r="AI148" i="33" s="1"/>
  <c r="L212" i="33"/>
  <c r="X27" i="33"/>
  <c r="M211" i="33"/>
  <c r="AA147" i="33"/>
  <c r="N212" i="33"/>
  <c r="O212" i="33" s="1"/>
  <c r="AA213" i="33"/>
  <c r="AB213" i="33" s="1"/>
  <c r="AC213" i="33" s="1"/>
  <c r="M148" i="33"/>
  <c r="N148" i="33" s="1"/>
  <c r="O148" i="33" s="1"/>
  <c r="AA151" i="33"/>
  <c r="AB151" i="33" s="1"/>
  <c r="AC151" i="33" s="1"/>
  <c r="K152" i="33"/>
  <c r="L152" i="33" s="1"/>
  <c r="R214" i="33"/>
  <c r="S214" i="33" s="1"/>
  <c r="Y27" i="33"/>
  <c r="Z27" i="33" s="1"/>
  <c r="M151" i="33"/>
  <c r="N151" i="33" s="1"/>
  <c r="O151" i="33" s="1"/>
  <c r="R211" i="33"/>
  <c r="M157" i="33"/>
  <c r="N157" i="33" s="1"/>
  <c r="O157" i="33" s="1"/>
  <c r="I13" i="35" s="1"/>
  <c r="AA157" i="33"/>
  <c r="AB157" i="33" s="1"/>
  <c r="AC157" i="33" s="1"/>
  <c r="AI13" i="35" s="1"/>
  <c r="AN13" i="35" s="1"/>
  <c r="K27" i="33"/>
  <c r="L27" i="33" s="1"/>
  <c r="K146" i="33"/>
  <c r="AH212" i="33"/>
  <c r="AI212" i="33" s="1"/>
  <c r="Y151" i="33"/>
  <c r="Z151" i="33" s="1"/>
  <c r="K211" i="33"/>
  <c r="Y213" i="33"/>
  <c r="Z213" i="33" s="1"/>
  <c r="T152" i="33"/>
  <c r="U152" i="33" s="1"/>
  <c r="V152" i="33" s="1"/>
  <c r="AH152" i="33"/>
  <c r="AI152" i="33" s="1"/>
  <c r="T211" i="33"/>
  <c r="AH147" i="33"/>
  <c r="T212" i="33"/>
  <c r="U212" i="33" s="1"/>
  <c r="V212" i="33" s="1"/>
  <c r="AH213" i="33"/>
  <c r="AI213" i="33" s="1"/>
  <c r="T148" i="33"/>
  <c r="U148" i="33" s="1"/>
  <c r="V148" i="33" s="1"/>
  <c r="M152" i="33"/>
  <c r="N152" i="33" s="1"/>
  <c r="O152" i="33" s="1"/>
  <c r="Y152" i="33"/>
  <c r="Z152" i="33" s="1"/>
  <c r="T214" i="33"/>
  <c r="U214" i="33" s="1"/>
  <c r="V214" i="33" s="1"/>
  <c r="AF214" i="33"/>
  <c r="AG214" i="33" s="1"/>
  <c r="J27" i="33"/>
  <c r="K157" i="33"/>
  <c r="L157" i="33" s="1"/>
  <c r="C13" i="35" s="1"/>
  <c r="H13" i="35" s="1"/>
  <c r="Y147" i="33"/>
  <c r="AF147" i="33"/>
  <c r="R148" i="33"/>
  <c r="S148" i="33" s="1"/>
  <c r="Y211" i="33"/>
  <c r="Z211" i="33" s="1"/>
  <c r="T151" i="33"/>
  <c r="U151" i="33" s="1"/>
  <c r="V151" i="33" s="1"/>
  <c r="AF157" i="33"/>
  <c r="AG157" i="33" s="1"/>
  <c r="AP13" i="35" s="1"/>
  <c r="AF27" i="33"/>
  <c r="AG27" i="33" s="1"/>
  <c r="AF152" i="33"/>
  <c r="AG152" i="33" s="1"/>
  <c r="AA214" i="33"/>
  <c r="AB214" i="33" s="1"/>
  <c r="AC214" i="33" s="1"/>
  <c r="Y157" i="33"/>
  <c r="Z157" i="33" s="1"/>
  <c r="AC13" i="35" s="1"/>
  <c r="AF13" i="35" s="1"/>
  <c r="AF213" i="33"/>
  <c r="AG213" i="33" s="1"/>
  <c r="K147" i="33"/>
  <c r="L147" i="33" s="1"/>
  <c r="Y148" i="33"/>
  <c r="Z148" i="33" s="1"/>
  <c r="AA211" i="33"/>
  <c r="AB211" i="33" s="1"/>
  <c r="AC211" i="33" s="1"/>
  <c r="AI8" i="35" s="1"/>
  <c r="M213" i="33"/>
  <c r="N213" i="33" s="1"/>
  <c r="O213" i="33" s="1"/>
  <c r="AA148" i="33"/>
  <c r="AB148" i="33" s="1"/>
  <c r="AC148" i="33" s="1"/>
  <c r="K151" i="33"/>
  <c r="L151" i="33" s="1"/>
  <c r="AA152" i="33"/>
  <c r="AB152" i="33" s="1"/>
  <c r="AC152" i="33" s="1"/>
  <c r="AH214" i="33"/>
  <c r="AI214" i="33" s="1"/>
  <c r="R27" i="33"/>
  <c r="S27" i="33" s="1"/>
  <c r="T147" i="33"/>
  <c r="T213" i="33"/>
  <c r="U213" i="33" s="1"/>
  <c r="V213" i="33" s="1"/>
  <c r="K214" i="33"/>
  <c r="K148" i="33"/>
  <c r="L148" i="33" s="1"/>
  <c r="R151" i="33"/>
  <c r="S151" i="33" s="1"/>
  <c r="K213" i="33"/>
  <c r="L213" i="33" s="1"/>
  <c r="AF151" i="33"/>
  <c r="AG151" i="33" s="1"/>
  <c r="M147" i="33"/>
  <c r="AA212" i="33"/>
  <c r="AB212" i="33" s="1"/>
  <c r="AC212" i="33" s="1"/>
  <c r="AF211" i="33"/>
  <c r="AG211" i="33" s="1"/>
  <c r="AP8" i="35" s="1"/>
  <c r="AR8" i="35" s="1"/>
  <c r="R147" i="33"/>
  <c r="AF212" i="33"/>
  <c r="AG212" i="33" s="1"/>
  <c r="R213" i="33"/>
  <c r="S213" i="33" s="1"/>
  <c r="AF148" i="33"/>
  <c r="AG148" i="33" s="1"/>
  <c r="AH151" i="33"/>
  <c r="AI151" i="33" s="1"/>
  <c r="R152" i="33"/>
  <c r="S152" i="33" s="1"/>
  <c r="M214" i="33"/>
  <c r="N214" i="33" s="1"/>
  <c r="Y214" i="33"/>
  <c r="Z214" i="33" s="1"/>
  <c r="T157" i="33"/>
  <c r="U157" i="33" s="1"/>
  <c r="V157" i="33" s="1"/>
  <c r="V13" i="35" s="1"/>
  <c r="Y13" i="35" s="1"/>
  <c r="AH157" i="33"/>
  <c r="AI157" i="33" s="1"/>
  <c r="AV13" i="35" s="1"/>
  <c r="Q27" i="33"/>
  <c r="AE27" i="33"/>
  <c r="BP27" i="27"/>
  <c r="AV25" i="27"/>
  <c r="BP25" i="27"/>
  <c r="AL25" i="27"/>
  <c r="BF25" i="27"/>
  <c r="AA22" i="33" s="1"/>
  <c r="BW9" i="3"/>
  <c r="BM9" i="3"/>
  <c r="AP25" i="27"/>
  <c r="AF25" i="27"/>
  <c r="BJ25" i="27"/>
  <c r="AZ25" i="27"/>
  <c r="AV27" i="27"/>
  <c r="BF27" i="27"/>
  <c r="AA24" i="33" s="1"/>
  <c r="BI26" i="27"/>
  <c r="BC23" i="3"/>
  <c r="AS23" i="3"/>
  <c r="BM23" i="3"/>
  <c r="BW23" i="3"/>
  <c r="BW22" i="3"/>
  <c r="AS39" i="3"/>
  <c r="BC39" i="3"/>
  <c r="BM39" i="3"/>
  <c r="BW39" i="3"/>
  <c r="BC38" i="3"/>
  <c r="BM38" i="3"/>
  <c r="BQ38" i="3" s="1"/>
  <c r="BW38" i="3"/>
  <c r="AS35" i="3"/>
  <c r="BC35" i="3"/>
  <c r="BM35" i="3"/>
  <c r="BW35" i="3"/>
  <c r="BM29" i="3"/>
  <c r="BC29" i="3"/>
  <c r="BW29" i="3"/>
  <c r="AS29" i="3"/>
  <c r="BM26" i="3"/>
  <c r="AS26" i="3"/>
  <c r="BW26" i="3"/>
  <c r="BC26" i="3"/>
  <c r="BC25" i="3"/>
  <c r="BM25" i="3"/>
  <c r="BW25" i="3"/>
  <c r="AS25" i="3"/>
  <c r="BM31" i="3"/>
  <c r="BW31" i="3"/>
  <c r="BC31" i="3"/>
  <c r="AS31" i="3"/>
  <c r="AW31" i="3" s="1"/>
  <c r="BC24" i="3"/>
  <c r="AS24" i="3"/>
  <c r="BM24" i="3"/>
  <c r="BW24" i="3"/>
  <c r="BW16" i="3"/>
  <c r="AS16" i="3"/>
  <c r="BC16" i="3"/>
  <c r="BM16" i="3"/>
  <c r="BW15" i="3"/>
  <c r="BM15" i="3"/>
  <c r="BC10" i="3"/>
  <c r="AS10" i="3"/>
  <c r="BW10" i="3"/>
  <c r="BM10" i="3"/>
  <c r="AS139" i="3"/>
  <c r="BM134" i="3"/>
  <c r="BC134" i="3"/>
  <c r="BC136" i="3"/>
  <c r="BM136" i="3"/>
  <c r="AS136" i="3"/>
  <c r="AS135" i="3"/>
  <c r="BF26" i="27"/>
  <c r="AA23" i="33" s="1"/>
  <c r="BJ26" i="27"/>
  <c r="AZ26" i="27"/>
  <c r="AP26" i="27"/>
  <c r="AF26" i="27"/>
  <c r="AV29" i="27"/>
  <c r="BJ29" i="27"/>
  <c r="AZ29" i="27"/>
  <c r="AF29" i="27"/>
  <c r="AP29" i="27"/>
  <c r="BF28" i="27"/>
  <c r="AA25" i="33" s="1"/>
  <c r="BJ28" i="27"/>
  <c r="AZ28" i="27"/>
  <c r="AF28" i="27"/>
  <c r="AP28" i="27"/>
  <c r="BJ27" i="27"/>
  <c r="AZ27" i="27"/>
  <c r="AP27" i="27"/>
  <c r="AF27" i="27"/>
  <c r="AJ27" i="27" s="1"/>
  <c r="AV26" i="27"/>
  <c r="BP26" i="27"/>
  <c r="AL26" i="27"/>
  <c r="AY26" i="27"/>
  <c r="AE26" i="27"/>
  <c r="AO25" i="27"/>
  <c r="BI25" i="27"/>
  <c r="AE25" i="27"/>
  <c r="BC122" i="3"/>
  <c r="AS122" i="3"/>
  <c r="BM122" i="3"/>
  <c r="BW122" i="3"/>
  <c r="AO29" i="27"/>
  <c r="BI29" i="27"/>
  <c r="AE29" i="27"/>
  <c r="BP29" i="27"/>
  <c r="AL29" i="27"/>
  <c r="BF29" i="27"/>
  <c r="AA26" i="33" s="1"/>
  <c r="AO27" i="27"/>
  <c r="BI27" i="27"/>
  <c r="AE27" i="27"/>
  <c r="AV28" i="27"/>
  <c r="BP28" i="27"/>
  <c r="AL28" i="27"/>
  <c r="BI28" i="27"/>
  <c r="AE28" i="27"/>
  <c r="AY28" i="27"/>
  <c r="BV139" i="3"/>
  <c r="BV138" i="3"/>
  <c r="BV135" i="3"/>
  <c r="BV134" i="3"/>
  <c r="BV122" i="3"/>
  <c r="BV121" i="3"/>
  <c r="BV41" i="3"/>
  <c r="BV39" i="3"/>
  <c r="BV38" i="3"/>
  <c r="BV35" i="3"/>
  <c r="BV31" i="3"/>
  <c r="BV29" i="3"/>
  <c r="BV26" i="3"/>
  <c r="BV25" i="3"/>
  <c r="BV24" i="3"/>
  <c r="BV23" i="3"/>
  <c r="BV22" i="3"/>
  <c r="BV21" i="3"/>
  <c r="BV19" i="3"/>
  <c r="BV16" i="3"/>
  <c r="BV15" i="3"/>
  <c r="BV14" i="3"/>
  <c r="BV10" i="3"/>
  <c r="BV9" i="3"/>
  <c r="BL139" i="3"/>
  <c r="BL138" i="3"/>
  <c r="BL136" i="3"/>
  <c r="BL135" i="3"/>
  <c r="BL134" i="3"/>
  <c r="BL122" i="3"/>
  <c r="BL121" i="3"/>
  <c r="BL41" i="3"/>
  <c r="BL39" i="3"/>
  <c r="BL38" i="3"/>
  <c r="BL35" i="3"/>
  <c r="BL31" i="3"/>
  <c r="BL26" i="3"/>
  <c r="BL25" i="3"/>
  <c r="BL24" i="3"/>
  <c r="BL23" i="3"/>
  <c r="BL22" i="3"/>
  <c r="BL21" i="3"/>
  <c r="BL19" i="3"/>
  <c r="BL16" i="3"/>
  <c r="BL15" i="3"/>
  <c r="BL14" i="3"/>
  <c r="BL10" i="3"/>
  <c r="BB139" i="3"/>
  <c r="BB138" i="3"/>
  <c r="BB136" i="3"/>
  <c r="BB135" i="3"/>
  <c r="BB134" i="3"/>
  <c r="BB122" i="3"/>
  <c r="BB121" i="3"/>
  <c r="BB41" i="3"/>
  <c r="BB39" i="3"/>
  <c r="BB38" i="3"/>
  <c r="BB35" i="3"/>
  <c r="BB31" i="3"/>
  <c r="BB29" i="3"/>
  <c r="BB26" i="3"/>
  <c r="BB25" i="3"/>
  <c r="BB24" i="3"/>
  <c r="BB23" i="3"/>
  <c r="BB22" i="3"/>
  <c r="BB21" i="3"/>
  <c r="BB19" i="3"/>
  <c r="BB16" i="3"/>
  <c r="BB15" i="3"/>
  <c r="BB14" i="3"/>
  <c r="BB10" i="3"/>
  <c r="BB9" i="3"/>
  <c r="AR139" i="3"/>
  <c r="AR138" i="3"/>
  <c r="AR136" i="3"/>
  <c r="AR135" i="3"/>
  <c r="AR134" i="3"/>
  <c r="AR122" i="3"/>
  <c r="AR121" i="3"/>
  <c r="AR41" i="3"/>
  <c r="AR39" i="3"/>
  <c r="AR38" i="3"/>
  <c r="AR35" i="3"/>
  <c r="AR31" i="3"/>
  <c r="AR29" i="3"/>
  <c r="AR26" i="3"/>
  <c r="AR25" i="3"/>
  <c r="AR24" i="3"/>
  <c r="AR23" i="3"/>
  <c r="AR22" i="3"/>
  <c r="AR21" i="3"/>
  <c r="AR19" i="3"/>
  <c r="AR16" i="3"/>
  <c r="AR15" i="3"/>
  <c r="AR14" i="3"/>
  <c r="AR10" i="3"/>
  <c r="AR9" i="3"/>
  <c r="U82" i="26"/>
  <c r="U83" i="26" s="1"/>
  <c r="AC8" i="35" l="1"/>
  <c r="AD8" i="35" s="1"/>
  <c r="AC10" i="36"/>
  <c r="AS190" i="3"/>
  <c r="BC190" i="3"/>
  <c r="BM190" i="3"/>
  <c r="BW190" i="3"/>
  <c r="U211" i="33"/>
  <c r="V211" i="33" s="1"/>
  <c r="P13" i="35"/>
  <c r="C7" i="35"/>
  <c r="F7" i="35" s="1"/>
  <c r="S211" i="33"/>
  <c r="P10" i="36" s="1"/>
  <c r="S147" i="33"/>
  <c r="P7" i="35" s="1"/>
  <c r="Z147" i="33"/>
  <c r="U147" i="33"/>
  <c r="AI147" i="33"/>
  <c r="AV7" i="35" s="1"/>
  <c r="AY7" i="35" s="1"/>
  <c r="AG147" i="33"/>
  <c r="AP8" i="36" s="1"/>
  <c r="AB147" i="33"/>
  <c r="L211" i="33"/>
  <c r="N211" i="33"/>
  <c r="O211" i="33" s="1"/>
  <c r="L146" i="33"/>
  <c r="N147" i="33"/>
  <c r="K13" i="35"/>
  <c r="J13" i="35"/>
  <c r="AZ13" i="35"/>
  <c r="AY13" i="35"/>
  <c r="BA13" i="35"/>
  <c r="AX13" i="35"/>
  <c r="AW13" i="35"/>
  <c r="AU13" i="35"/>
  <c r="AS13" i="35"/>
  <c r="AR13" i="35"/>
  <c r="AT13" i="35"/>
  <c r="AQ13" i="35"/>
  <c r="AM13" i="35"/>
  <c r="E13" i="35"/>
  <c r="L13" i="35"/>
  <c r="M13" i="35"/>
  <c r="AK13" i="35"/>
  <c r="F13" i="35"/>
  <c r="D13" i="35"/>
  <c r="AL13" i="35"/>
  <c r="AH13" i="35"/>
  <c r="AE13" i="35"/>
  <c r="AA13" i="35"/>
  <c r="AG13" i="35"/>
  <c r="AD13" i="35"/>
  <c r="X13" i="35"/>
  <c r="AW8" i="35"/>
  <c r="Z13" i="35"/>
  <c r="AK8" i="35"/>
  <c r="AJ8" i="35"/>
  <c r="AM8" i="35"/>
  <c r="AN8" i="35"/>
  <c r="T24" i="33"/>
  <c r="U24" i="33" s="1"/>
  <c r="V24" i="33" s="1"/>
  <c r="T22" i="33"/>
  <c r="AJ13" i="35"/>
  <c r="T26" i="33"/>
  <c r="U26" i="33" s="1"/>
  <c r="V26" i="33" s="1"/>
  <c r="AH24" i="33"/>
  <c r="AI24" i="33" s="1"/>
  <c r="AH23" i="33"/>
  <c r="AI23" i="33" s="1"/>
  <c r="G13" i="35"/>
  <c r="N13" i="35"/>
  <c r="T23" i="33"/>
  <c r="U23" i="33" s="1"/>
  <c r="V23" i="33" s="1"/>
  <c r="AZ8" i="35"/>
  <c r="W13" i="35"/>
  <c r="C8" i="36"/>
  <c r="G8" i="36" s="1"/>
  <c r="T25" i="33"/>
  <c r="U25" i="33" s="1"/>
  <c r="V25" i="33" s="1"/>
  <c r="AH22" i="33"/>
  <c r="AI22" i="33" s="1"/>
  <c r="AH26" i="33"/>
  <c r="AI26" i="33" s="1"/>
  <c r="AH25" i="33"/>
  <c r="AI25" i="33" s="1"/>
  <c r="AL8" i="35"/>
  <c r="BA8" i="35"/>
  <c r="AX8" i="35"/>
  <c r="AQ8" i="35"/>
  <c r="AS8" i="35"/>
  <c r="AT8" i="35"/>
  <c r="AU8" i="35"/>
  <c r="M26" i="33"/>
  <c r="N26" i="33" s="1"/>
  <c r="O26" i="33" s="1"/>
  <c r="AB26" i="33"/>
  <c r="AC26" i="33" s="1"/>
  <c r="M24" i="33"/>
  <c r="N24" i="33" s="1"/>
  <c r="O24" i="33" s="1"/>
  <c r="AB24" i="33"/>
  <c r="AC24" i="33" s="1"/>
  <c r="M25" i="33"/>
  <c r="N25" i="33" s="1"/>
  <c r="O25" i="33" s="1"/>
  <c r="AB25" i="33"/>
  <c r="AC25" i="33" s="1"/>
  <c r="M22" i="33"/>
  <c r="AB22" i="33"/>
  <c r="M23" i="33"/>
  <c r="N23" i="33" s="1"/>
  <c r="O23" i="33" s="1"/>
  <c r="AB23" i="33"/>
  <c r="AC23" i="33" s="1"/>
  <c r="BZ27" i="27"/>
  <c r="BZ26" i="27"/>
  <c r="BZ28" i="27"/>
  <c r="BZ25" i="27"/>
  <c r="BZ29" i="27"/>
  <c r="CM134" i="3"/>
  <c r="CM122" i="3"/>
  <c r="CM10" i="3"/>
  <c r="CM15" i="3"/>
  <c r="CM24" i="3"/>
  <c r="CM31" i="3"/>
  <c r="CM136" i="3"/>
  <c r="CM25" i="3"/>
  <c r="CM29" i="3"/>
  <c r="CM22" i="3"/>
  <c r="CM9" i="3"/>
  <c r="CM38" i="3"/>
  <c r="CM21" i="3"/>
  <c r="CM139" i="3"/>
  <c r="CM135" i="3"/>
  <c r="CM138" i="3"/>
  <c r="CM16" i="3"/>
  <c r="CM26" i="3"/>
  <c r="CM19" i="3"/>
  <c r="CM35" i="3"/>
  <c r="CM39" i="3"/>
  <c r="CM23" i="3"/>
  <c r="BD25" i="27"/>
  <c r="BW25" i="27"/>
  <c r="BN25" i="27"/>
  <c r="BY25" i="27"/>
  <c r="BS25" i="27"/>
  <c r="AJ25" i="27"/>
  <c r="BU25" i="27"/>
  <c r="AT25" i="27"/>
  <c r="AL35" i="27"/>
  <c r="BP35" i="27"/>
  <c r="AV35" i="27"/>
  <c r="BF35" i="27"/>
  <c r="BD29" i="27"/>
  <c r="BW29" i="27"/>
  <c r="BU28" i="27"/>
  <c r="AT28" i="27"/>
  <c r="BY29" i="27"/>
  <c r="BN29" i="27"/>
  <c r="BD28" i="27"/>
  <c r="BW28" i="27"/>
  <c r="AJ26" i="27"/>
  <c r="BS26" i="27"/>
  <c r="BS28" i="27"/>
  <c r="AJ28" i="27"/>
  <c r="BS27" i="27"/>
  <c r="BN28" i="27"/>
  <c r="BY28" i="27"/>
  <c r="AT26" i="27"/>
  <c r="BU26" i="27"/>
  <c r="AT27" i="27"/>
  <c r="BU27" i="27"/>
  <c r="BW26" i="27"/>
  <c r="BD26" i="27"/>
  <c r="BW27" i="27"/>
  <c r="BD27" i="27"/>
  <c r="AT29" i="27"/>
  <c r="BU29" i="27"/>
  <c r="BY26" i="27"/>
  <c r="BN26" i="27"/>
  <c r="BY27" i="27"/>
  <c r="BN27" i="27"/>
  <c r="AJ29" i="27"/>
  <c r="BS29" i="27"/>
  <c r="AC22" i="33" l="1"/>
  <c r="AG8" i="35"/>
  <c r="AH8" i="35"/>
  <c r="AF8" i="35"/>
  <c r="AE8" i="35"/>
  <c r="AC7" i="35"/>
  <c r="AE7" i="35" s="1"/>
  <c r="AC8" i="36"/>
  <c r="AE8" i="36" s="1"/>
  <c r="CM190" i="3"/>
  <c r="V8" i="35"/>
  <c r="AA8" i="35" s="1"/>
  <c r="Q13" i="35"/>
  <c r="R13" i="35"/>
  <c r="U13" i="35"/>
  <c r="T13" i="35"/>
  <c r="S13" i="35"/>
  <c r="P8" i="35"/>
  <c r="U8" i="35" s="1"/>
  <c r="U22" i="33"/>
  <c r="P8" i="36"/>
  <c r="R8" i="36" s="1"/>
  <c r="N22" i="33"/>
  <c r="Q7" i="35"/>
  <c r="AV8" i="36"/>
  <c r="BA8" i="36" s="1"/>
  <c r="AC147" i="33"/>
  <c r="V147" i="33"/>
  <c r="AP7" i="35"/>
  <c r="AQ7" i="35" s="1"/>
  <c r="O147" i="33"/>
  <c r="C8" i="35"/>
  <c r="G8" i="35" s="1"/>
  <c r="I8" i="35"/>
  <c r="BA7" i="35"/>
  <c r="AX7" i="35"/>
  <c r="AZ7" i="35"/>
  <c r="AW7" i="35"/>
  <c r="S7" i="35"/>
  <c r="G7" i="35"/>
  <c r="E7" i="35"/>
  <c r="H7" i="35"/>
  <c r="D7" i="35"/>
  <c r="J26" i="33"/>
  <c r="Y24" i="33"/>
  <c r="Z24" i="33" s="1"/>
  <c r="X25" i="33"/>
  <c r="AU8" i="36"/>
  <c r="AR8" i="36"/>
  <c r="AT8" i="36"/>
  <c r="AS8" i="36"/>
  <c r="AQ8" i="36"/>
  <c r="K26" i="33"/>
  <c r="L26" i="33" s="1"/>
  <c r="X23" i="33"/>
  <c r="J24" i="33"/>
  <c r="Y22" i="33"/>
  <c r="Z22" i="33" s="1"/>
  <c r="Y25" i="33"/>
  <c r="Z25" i="33" s="1"/>
  <c r="K24" i="33"/>
  <c r="L24" i="33" s="1"/>
  <c r="AF26" i="33"/>
  <c r="AG26" i="33" s="1"/>
  <c r="X22" i="33"/>
  <c r="E8" i="36"/>
  <c r="X24" i="33"/>
  <c r="AF23" i="33"/>
  <c r="AG23" i="33" s="1"/>
  <c r="K25" i="33"/>
  <c r="L25" i="33" s="1"/>
  <c r="R25" i="33"/>
  <c r="S25" i="33" s="1"/>
  <c r="R22" i="33"/>
  <c r="F8" i="36"/>
  <c r="AF22" i="33"/>
  <c r="AG22" i="33" s="1"/>
  <c r="Y23" i="33"/>
  <c r="Z23" i="33" s="1"/>
  <c r="J25" i="33"/>
  <c r="K23" i="33"/>
  <c r="L23" i="33" s="1"/>
  <c r="D8" i="36"/>
  <c r="AF25" i="33"/>
  <c r="AG25" i="33" s="1"/>
  <c r="AF24" i="33"/>
  <c r="AG24" i="33" s="1"/>
  <c r="R24" i="33"/>
  <c r="S24" i="33" s="1"/>
  <c r="H8" i="36"/>
  <c r="R26" i="33"/>
  <c r="S26" i="33" s="1"/>
  <c r="R23" i="33"/>
  <c r="S23" i="33" s="1"/>
  <c r="Y26" i="33"/>
  <c r="Z26" i="33" s="1"/>
  <c r="J22" i="33"/>
  <c r="J23" i="33"/>
  <c r="X26" i="33"/>
  <c r="K22" i="33"/>
  <c r="Q22" i="33"/>
  <c r="AE22" i="33"/>
  <c r="Q26" i="33"/>
  <c r="AE26" i="33"/>
  <c r="AE25" i="33"/>
  <c r="Q25" i="33"/>
  <c r="Q23" i="33"/>
  <c r="AE23" i="33"/>
  <c r="Q24" i="33"/>
  <c r="AE24" i="33"/>
  <c r="BF10" i="3"/>
  <c r="O22" i="33" l="1"/>
  <c r="AD7" i="35"/>
  <c r="AH7" i="35"/>
  <c r="AF7" i="35"/>
  <c r="AG7" i="35"/>
  <c r="Y8" i="35"/>
  <c r="Z8" i="35"/>
  <c r="W8" i="35"/>
  <c r="X8" i="35"/>
  <c r="R8" i="35"/>
  <c r="T8" i="35"/>
  <c r="AX8" i="36"/>
  <c r="AY8" i="36"/>
  <c r="S8" i="35"/>
  <c r="Q8" i="35"/>
  <c r="AW8" i="36"/>
  <c r="AG8" i="36"/>
  <c r="AF8" i="36"/>
  <c r="Q8" i="36"/>
  <c r="AD8" i="36"/>
  <c r="T8" i="36"/>
  <c r="L22" i="33"/>
  <c r="R7" i="35"/>
  <c r="V22" i="33"/>
  <c r="U7" i="35"/>
  <c r="U8" i="36"/>
  <c r="S22" i="33"/>
  <c r="AH8" i="36"/>
  <c r="S8" i="36"/>
  <c r="T7" i="35"/>
  <c r="AZ8" i="36"/>
  <c r="AR7" i="35"/>
  <c r="AS7" i="35"/>
  <c r="AU7" i="35"/>
  <c r="V7" i="35"/>
  <c r="V8" i="36"/>
  <c r="AT7" i="35"/>
  <c r="F8" i="35"/>
  <c r="H8" i="35"/>
  <c r="AI8" i="36"/>
  <c r="AI7" i="35"/>
  <c r="D8" i="35"/>
  <c r="E8" i="35"/>
  <c r="I8" i="36"/>
  <c r="I7" i="35"/>
  <c r="J8" i="35"/>
  <c r="N8" i="35"/>
  <c r="K8" i="35"/>
  <c r="L8" i="35"/>
  <c r="M8" i="35"/>
  <c r="AW10" i="3"/>
  <c r="J60" i="33" s="1"/>
  <c r="AV10" i="3"/>
  <c r="AJ7" i="35" l="1"/>
  <c r="AK7" i="35"/>
  <c r="AN7" i="35"/>
  <c r="AM7" i="35"/>
  <c r="AL7" i="35"/>
  <c r="W8" i="36"/>
  <c r="AA8" i="36"/>
  <c r="Y8" i="36"/>
  <c r="X8" i="36"/>
  <c r="Z8" i="36"/>
  <c r="AJ8" i="36"/>
  <c r="AL8" i="36"/>
  <c r="AK8" i="36"/>
  <c r="AN8" i="36"/>
  <c r="AM8" i="36"/>
  <c r="Z7" i="35"/>
  <c r="AA7" i="35"/>
  <c r="X7" i="35"/>
  <c r="W7" i="35"/>
  <c r="Y7" i="35"/>
  <c r="J8" i="36"/>
  <c r="K8" i="36"/>
  <c r="M8" i="36"/>
  <c r="N8" i="36"/>
  <c r="L8" i="36"/>
  <c r="M7" i="35"/>
  <c r="L7" i="35"/>
  <c r="N7" i="35"/>
  <c r="J7" i="35"/>
  <c r="K7" i="35"/>
  <c r="BP10" i="3"/>
  <c r="BZ9" i="3"/>
  <c r="CE9" i="3"/>
  <c r="CB29" i="3"/>
  <c r="CK29" i="3"/>
  <c r="CL29" i="3"/>
  <c r="BH29" i="3"/>
  <c r="BG29" i="3"/>
  <c r="Q47" i="33" s="1"/>
  <c r="BF29" i="3"/>
  <c r="CH29" i="3"/>
  <c r="CF29" i="3"/>
  <c r="CI29" i="3"/>
  <c r="CG29" i="3"/>
  <c r="CE29" i="3"/>
  <c r="AF228" i="33" l="1"/>
  <c r="AG228" i="33" s="1"/>
  <c r="K228" i="33"/>
  <c r="L228" i="33" s="1"/>
  <c r="AH228" i="33"/>
  <c r="AI228" i="33" s="1"/>
  <c r="R228" i="33"/>
  <c r="S228" i="33" s="1"/>
  <c r="Y228" i="33"/>
  <c r="Z228" i="33" s="1"/>
  <c r="T228" i="33"/>
  <c r="U228" i="33" s="1"/>
  <c r="V228" i="33" s="1"/>
  <c r="AF47" i="33"/>
  <c r="K47" i="33"/>
  <c r="R47" i="33"/>
  <c r="K171" i="33"/>
  <c r="AG47" i="33" l="1"/>
  <c r="S47" i="33"/>
  <c r="L47" i="33"/>
  <c r="CL139" i="3" l="1"/>
  <c r="AF131" i="33" s="1"/>
  <c r="AG131" i="33" s="1"/>
  <c r="CK139" i="3"/>
  <c r="AF298" i="33" s="1"/>
  <c r="AG298" i="33" s="1"/>
  <c r="AP15" i="38" s="1"/>
  <c r="CJ139" i="3"/>
  <c r="Y131" i="33" s="1"/>
  <c r="Z131" i="33" s="1"/>
  <c r="CI139" i="3"/>
  <c r="Y298" i="33" s="1"/>
  <c r="CH139" i="3"/>
  <c r="R131" i="33" s="1"/>
  <c r="CG139" i="3"/>
  <c r="R298" i="33" s="1"/>
  <c r="CF139" i="3"/>
  <c r="K131" i="33" s="1"/>
  <c r="CE139" i="3"/>
  <c r="K298" i="33" s="1"/>
  <c r="CL138" i="3"/>
  <c r="AF127" i="33" s="1"/>
  <c r="AG127" i="33" s="1"/>
  <c r="CK138" i="3"/>
  <c r="AF296" i="33" s="1"/>
  <c r="AG296" i="33" s="1"/>
  <c r="CJ138" i="3"/>
  <c r="Y127" i="33" s="1"/>
  <c r="Z127" i="33" s="1"/>
  <c r="CI138" i="3"/>
  <c r="Y296" i="33" s="1"/>
  <c r="CH138" i="3"/>
  <c r="R127" i="33" s="1"/>
  <c r="CG138" i="3"/>
  <c r="R296" i="33" s="1"/>
  <c r="CF138" i="3"/>
  <c r="K127" i="33" s="1"/>
  <c r="CE138" i="3"/>
  <c r="K296" i="33" s="1"/>
  <c r="CL136" i="3"/>
  <c r="AF130" i="33" s="1"/>
  <c r="CK136" i="3"/>
  <c r="CJ136" i="3"/>
  <c r="CI136" i="3"/>
  <c r="Y289" i="33" s="1"/>
  <c r="CH136" i="3"/>
  <c r="CG136" i="3"/>
  <c r="R289" i="33" s="1"/>
  <c r="CF136" i="3"/>
  <c r="K130" i="33" s="1"/>
  <c r="CE136" i="3"/>
  <c r="K289" i="33" s="1"/>
  <c r="CL135" i="3"/>
  <c r="AF129" i="33" s="1"/>
  <c r="AG129" i="33" s="1"/>
  <c r="CK135" i="3"/>
  <c r="AF288" i="33" s="1"/>
  <c r="AG288" i="33" s="1"/>
  <c r="CJ135" i="3"/>
  <c r="Y129" i="33" s="1"/>
  <c r="Z129" i="33" s="1"/>
  <c r="CI135" i="3"/>
  <c r="Y288" i="33" s="1"/>
  <c r="CH135" i="3"/>
  <c r="R129" i="33" s="1"/>
  <c r="CG135" i="3"/>
  <c r="R288" i="33" s="1"/>
  <c r="CF135" i="3"/>
  <c r="K129" i="33" s="1"/>
  <c r="CE135" i="3"/>
  <c r="K288" i="33" s="1"/>
  <c r="CL134" i="3"/>
  <c r="CK134" i="3"/>
  <c r="CJ134" i="3"/>
  <c r="CI134" i="3"/>
  <c r="CH134" i="3"/>
  <c r="CG134" i="3"/>
  <c r="CF134" i="3"/>
  <c r="K126" i="33" s="1"/>
  <c r="L126" i="33" s="1"/>
  <c r="CE134" i="3"/>
  <c r="K196" i="33" s="1"/>
  <c r="CL122" i="3"/>
  <c r="AF121" i="33" s="1"/>
  <c r="AG121" i="33" s="1"/>
  <c r="CK122" i="3"/>
  <c r="CJ122" i="3"/>
  <c r="Y121" i="33" s="1"/>
  <c r="Z121" i="33" s="1"/>
  <c r="CI122" i="3"/>
  <c r="CH122" i="3"/>
  <c r="R121" i="33" s="1"/>
  <c r="S121" i="33" s="1"/>
  <c r="CG122" i="3"/>
  <c r="CF122" i="3"/>
  <c r="K121" i="33" s="1"/>
  <c r="L121" i="33" s="1"/>
  <c r="CE122" i="3"/>
  <c r="CL121" i="3"/>
  <c r="CK121" i="3"/>
  <c r="CJ121" i="3"/>
  <c r="CI121" i="3"/>
  <c r="CH121" i="3"/>
  <c r="CG121" i="3"/>
  <c r="CF121" i="3"/>
  <c r="CE121" i="3"/>
  <c r="CL76" i="3"/>
  <c r="AF87" i="33" s="1"/>
  <c r="CK76" i="3"/>
  <c r="CL56" i="3"/>
  <c r="CK56" i="3"/>
  <c r="CL55" i="3"/>
  <c r="CK55" i="3"/>
  <c r="CL54" i="3"/>
  <c r="CK54" i="3"/>
  <c r="CL53" i="3"/>
  <c r="CK53" i="3"/>
  <c r="CL41" i="3"/>
  <c r="CK41" i="3"/>
  <c r="AF170" i="33" s="1"/>
  <c r="AG170" i="33" s="1"/>
  <c r="CJ41" i="3"/>
  <c r="CI41" i="3"/>
  <c r="Y170" i="33" s="1"/>
  <c r="Z170" i="33" s="1"/>
  <c r="CH41" i="3"/>
  <c r="CG41" i="3"/>
  <c r="R170" i="33" s="1"/>
  <c r="S170" i="33" s="1"/>
  <c r="CF41" i="3"/>
  <c r="CE41" i="3"/>
  <c r="K170" i="33" s="1"/>
  <c r="L170" i="33" s="1"/>
  <c r="CL39" i="3"/>
  <c r="CK39" i="3"/>
  <c r="AF234" i="33" s="1"/>
  <c r="AG234" i="33" s="1"/>
  <c r="CJ39" i="3"/>
  <c r="CI39" i="3"/>
  <c r="Y234" i="33" s="1"/>
  <c r="Z234" i="33" s="1"/>
  <c r="CH39" i="3"/>
  <c r="CG39" i="3"/>
  <c r="R234" i="33" s="1"/>
  <c r="S234" i="33" s="1"/>
  <c r="CF39" i="3"/>
  <c r="CE39" i="3"/>
  <c r="K234" i="33" s="1"/>
  <c r="L234" i="33" s="1"/>
  <c r="CL38" i="3"/>
  <c r="CK38" i="3"/>
  <c r="AF233" i="33" s="1"/>
  <c r="AG233" i="33" s="1"/>
  <c r="CJ38" i="3"/>
  <c r="CI38" i="3"/>
  <c r="Y233" i="33" s="1"/>
  <c r="Z233" i="33" s="1"/>
  <c r="CH38" i="3"/>
  <c r="CG38" i="3"/>
  <c r="R233" i="33" s="1"/>
  <c r="S233" i="33" s="1"/>
  <c r="CF38" i="3"/>
  <c r="CE38" i="3"/>
  <c r="CL35" i="3"/>
  <c r="CK35" i="3"/>
  <c r="CJ35" i="3"/>
  <c r="CI35" i="3"/>
  <c r="CH35" i="3"/>
  <c r="CG35" i="3"/>
  <c r="CF35" i="3"/>
  <c r="K53" i="33" s="1"/>
  <c r="L53" i="33" s="1"/>
  <c r="CE35" i="3"/>
  <c r="CL31" i="3"/>
  <c r="CK31" i="3"/>
  <c r="AF166" i="33" s="1"/>
  <c r="AG166" i="33" s="1"/>
  <c r="CJ31" i="3"/>
  <c r="CI31" i="3"/>
  <c r="Y166" i="33" s="1"/>
  <c r="Z166" i="33" s="1"/>
  <c r="CH31" i="3"/>
  <c r="CG31" i="3"/>
  <c r="R166" i="33" s="1"/>
  <c r="S166" i="33" s="1"/>
  <c r="CF31" i="3"/>
  <c r="CE31" i="3"/>
  <c r="K166" i="33" s="1"/>
  <c r="L166" i="33" s="1"/>
  <c r="CJ29" i="3"/>
  <c r="CL26" i="3"/>
  <c r="CK26" i="3"/>
  <c r="AF165" i="33" s="1"/>
  <c r="CJ26" i="3"/>
  <c r="CI26" i="3"/>
  <c r="Y165" i="33" s="1"/>
  <c r="Z165" i="33" s="1"/>
  <c r="CH26" i="3"/>
  <c r="CG26" i="3"/>
  <c r="R165" i="33" s="1"/>
  <c r="CF26" i="3"/>
  <c r="CE26" i="3"/>
  <c r="K165" i="33" s="1"/>
  <c r="CL25" i="3"/>
  <c r="CK25" i="3"/>
  <c r="AF225" i="33" s="1"/>
  <c r="AG225" i="33" s="1"/>
  <c r="CJ25" i="3"/>
  <c r="CI25" i="3"/>
  <c r="Y225" i="33" s="1"/>
  <c r="Z225" i="33" s="1"/>
  <c r="CH25" i="3"/>
  <c r="CG25" i="3"/>
  <c r="R225" i="33" s="1"/>
  <c r="S225" i="33" s="1"/>
  <c r="CF25" i="3"/>
  <c r="CE25" i="3"/>
  <c r="K225" i="33" s="1"/>
  <c r="L225" i="33" s="1"/>
  <c r="CL24" i="3"/>
  <c r="CK24" i="3"/>
  <c r="AF224" i="33" s="1"/>
  <c r="AG224" i="33" s="1"/>
  <c r="CJ24" i="3"/>
  <c r="CI24" i="3"/>
  <c r="Y224" i="33" s="1"/>
  <c r="Z224" i="33" s="1"/>
  <c r="CH24" i="3"/>
  <c r="CG24" i="3"/>
  <c r="R224" i="33" s="1"/>
  <c r="S224" i="33" s="1"/>
  <c r="CF24" i="3"/>
  <c r="CE24" i="3"/>
  <c r="K224" i="33" s="1"/>
  <c r="L224" i="33" s="1"/>
  <c r="CL23" i="3"/>
  <c r="CK23" i="3"/>
  <c r="AF223" i="33" s="1"/>
  <c r="AG223" i="33" s="1"/>
  <c r="CJ23" i="3"/>
  <c r="CI23" i="3"/>
  <c r="Y223" i="33" s="1"/>
  <c r="CH23" i="3"/>
  <c r="CG23" i="3"/>
  <c r="R223" i="33" s="1"/>
  <c r="CF23" i="3"/>
  <c r="CE23" i="3"/>
  <c r="K223" i="33" s="1"/>
  <c r="CL22" i="3"/>
  <c r="CK22" i="3"/>
  <c r="CJ22" i="3"/>
  <c r="CI22" i="3"/>
  <c r="CH22" i="3"/>
  <c r="CG22" i="3"/>
  <c r="CF22" i="3"/>
  <c r="CE22" i="3"/>
  <c r="CL21" i="3"/>
  <c r="AF125" i="33" s="1"/>
  <c r="AG125" i="33" s="1"/>
  <c r="CK21" i="3"/>
  <c r="AF248" i="33" s="1"/>
  <c r="AG248" i="33" s="1"/>
  <c r="AP12" i="36" s="1"/>
  <c r="CJ21" i="3"/>
  <c r="Y125" i="33" s="1"/>
  <c r="Z125" i="33" s="1"/>
  <c r="CI21" i="3"/>
  <c r="Y248" i="33" s="1"/>
  <c r="CH21" i="3"/>
  <c r="CG21" i="3"/>
  <c r="R248" i="33" s="1"/>
  <c r="CF21" i="3"/>
  <c r="K125" i="33" s="1"/>
  <c r="CE21" i="3"/>
  <c r="K248" i="33" s="1"/>
  <c r="CL19" i="3"/>
  <c r="AF123" i="33" s="1"/>
  <c r="AG123" i="33" s="1"/>
  <c r="CK19" i="3"/>
  <c r="AF246" i="33" s="1"/>
  <c r="CJ19" i="3"/>
  <c r="Y123" i="33" s="1"/>
  <c r="Z123" i="33" s="1"/>
  <c r="CI19" i="3"/>
  <c r="Y246" i="33" s="1"/>
  <c r="Z246" i="33" s="1"/>
  <c r="AC12" i="36" s="1"/>
  <c r="CH19" i="3"/>
  <c r="CG19" i="3"/>
  <c r="R246" i="33" s="1"/>
  <c r="S246" i="33" s="1"/>
  <c r="P12" i="36" s="1"/>
  <c r="CF19" i="3"/>
  <c r="K123" i="33" s="1"/>
  <c r="CE19" i="3"/>
  <c r="K246" i="33" s="1"/>
  <c r="L246" i="33" s="1"/>
  <c r="C12" i="36" s="1"/>
  <c r="CL16" i="3"/>
  <c r="CK16" i="3"/>
  <c r="AF176" i="33" s="1"/>
  <c r="CJ16" i="3"/>
  <c r="CI16" i="3"/>
  <c r="Y176" i="33" s="1"/>
  <c r="Z176" i="33" s="1"/>
  <c r="CH16" i="3"/>
  <c r="CG16" i="3"/>
  <c r="R176" i="33" s="1"/>
  <c r="CF16" i="3"/>
  <c r="CE16" i="3"/>
  <c r="K176" i="33" s="1"/>
  <c r="CL15" i="3"/>
  <c r="CK15" i="3"/>
  <c r="AF175" i="33" s="1"/>
  <c r="CJ15" i="3"/>
  <c r="CI15" i="3"/>
  <c r="Y175" i="33" s="1"/>
  <c r="Z175" i="33" s="1"/>
  <c r="CH15" i="3"/>
  <c r="CG15" i="3"/>
  <c r="R175" i="33" s="1"/>
  <c r="CF15" i="3"/>
  <c r="CE15" i="3"/>
  <c r="K175" i="33" s="1"/>
  <c r="CL14" i="3"/>
  <c r="CK14" i="3"/>
  <c r="AF174" i="33" s="1"/>
  <c r="CJ14" i="3"/>
  <c r="CI14" i="3"/>
  <c r="Y174" i="33" s="1"/>
  <c r="Z174" i="33" s="1"/>
  <c r="CH14" i="3"/>
  <c r="CG14" i="3"/>
  <c r="R174" i="33" s="1"/>
  <c r="CF14" i="3"/>
  <c r="CE14" i="3"/>
  <c r="K174" i="33" s="1"/>
  <c r="CK11" i="3"/>
  <c r="CI11" i="3"/>
  <c r="CG11" i="3"/>
  <c r="CE11" i="3"/>
  <c r="CL10" i="3"/>
  <c r="CK10" i="3"/>
  <c r="CJ10" i="3"/>
  <c r="CI10" i="3"/>
  <c r="CH10" i="3"/>
  <c r="CG10" i="3"/>
  <c r="CF10" i="3"/>
  <c r="CE10" i="3"/>
  <c r="CB139" i="3"/>
  <c r="AH298" i="33" s="1"/>
  <c r="AI298" i="33" s="1"/>
  <c r="AV15" i="38" s="1"/>
  <c r="CA139" i="3"/>
  <c r="AE131" i="33" s="1"/>
  <c r="BZ139" i="3"/>
  <c r="CB138" i="3"/>
  <c r="AH296" i="33" s="1"/>
  <c r="AI296" i="33" s="1"/>
  <c r="CA138" i="3"/>
  <c r="AE127" i="33" s="1"/>
  <c r="BZ138" i="3"/>
  <c r="CB136" i="3"/>
  <c r="CA136" i="3"/>
  <c r="AE130" i="33" s="1"/>
  <c r="BZ136" i="3"/>
  <c r="CB135" i="3"/>
  <c r="AH288" i="33" s="1"/>
  <c r="AI288" i="33" s="1"/>
  <c r="CA135" i="3"/>
  <c r="AE129" i="33" s="1"/>
  <c r="BZ135" i="3"/>
  <c r="CB134" i="3"/>
  <c r="AH196" i="33" s="1"/>
  <c r="AI196" i="33" s="1"/>
  <c r="CA134" i="3"/>
  <c r="AE126" i="33" s="1"/>
  <c r="BZ134" i="3"/>
  <c r="CB122" i="3"/>
  <c r="CA122" i="3"/>
  <c r="AE121" i="33" s="1"/>
  <c r="BZ122" i="3"/>
  <c r="CB121" i="3"/>
  <c r="CA121" i="3"/>
  <c r="BZ121" i="3"/>
  <c r="CB41" i="3"/>
  <c r="AH170" i="33" s="1"/>
  <c r="AI170" i="33" s="1"/>
  <c r="CA41" i="3"/>
  <c r="AE58" i="33" s="1"/>
  <c r="BZ41" i="3"/>
  <c r="CB39" i="3"/>
  <c r="AH234" i="33" s="1"/>
  <c r="AI234" i="33" s="1"/>
  <c r="CA39" i="3"/>
  <c r="BZ39" i="3"/>
  <c r="AH233" i="33"/>
  <c r="AI233" i="33" s="1"/>
  <c r="CA38" i="3"/>
  <c r="BZ38" i="3"/>
  <c r="CB35" i="3"/>
  <c r="AH168" i="33" s="1"/>
  <c r="AI168" i="33" s="1"/>
  <c r="CA35" i="3"/>
  <c r="BZ35" i="3"/>
  <c r="CB31" i="3"/>
  <c r="AH166" i="33" s="1"/>
  <c r="AI166" i="33" s="1"/>
  <c r="CA31" i="3"/>
  <c r="AE49" i="33" s="1"/>
  <c r="BZ31" i="3"/>
  <c r="CA29" i="3"/>
  <c r="AE47" i="33" s="1"/>
  <c r="BZ29" i="3"/>
  <c r="CB26" i="3"/>
  <c r="AH165" i="33" s="1"/>
  <c r="CA26" i="3"/>
  <c r="AE44" i="33" s="1"/>
  <c r="BZ26" i="3"/>
  <c r="CB25" i="3"/>
  <c r="AH225" i="33" s="1"/>
  <c r="AI225" i="33" s="1"/>
  <c r="CA25" i="3"/>
  <c r="AE43" i="33" s="1"/>
  <c r="BZ25" i="3"/>
  <c r="CB24" i="3"/>
  <c r="AH224" i="33" s="1"/>
  <c r="AI224" i="33" s="1"/>
  <c r="CA24" i="3"/>
  <c r="AE42" i="33" s="1"/>
  <c r="BZ24" i="3"/>
  <c r="CB23" i="3"/>
  <c r="AH223" i="33" s="1"/>
  <c r="AI223" i="33" s="1"/>
  <c r="CA23" i="3"/>
  <c r="AE41" i="33" s="1"/>
  <c r="BZ23" i="3"/>
  <c r="CB22" i="3"/>
  <c r="CA22" i="3"/>
  <c r="AE40" i="33" s="1"/>
  <c r="BZ22" i="3"/>
  <c r="CB21" i="3"/>
  <c r="AH248" i="33" s="1"/>
  <c r="AI248" i="33" s="1"/>
  <c r="CA21" i="3"/>
  <c r="AE125" i="33" s="1"/>
  <c r="BZ21" i="3"/>
  <c r="CB19" i="3"/>
  <c r="AH246" i="33" s="1"/>
  <c r="AI246" i="33" s="1"/>
  <c r="CA19" i="3"/>
  <c r="AE123" i="33" s="1"/>
  <c r="BZ19" i="3"/>
  <c r="CB16" i="3"/>
  <c r="AH176" i="33" s="1"/>
  <c r="AI176" i="33" s="1"/>
  <c r="CA16" i="3"/>
  <c r="BZ16" i="3"/>
  <c r="CB15" i="3"/>
  <c r="AH175" i="33" s="1"/>
  <c r="AI175" i="33" s="1"/>
  <c r="CA15" i="3"/>
  <c r="BZ15" i="3"/>
  <c r="CB14" i="3"/>
  <c r="AH174" i="33" s="1"/>
  <c r="AI174" i="33" s="1"/>
  <c r="CA14" i="3"/>
  <c r="AE65" i="33" s="1"/>
  <c r="BZ14" i="3"/>
  <c r="CB11" i="3"/>
  <c r="AH239" i="33" s="1"/>
  <c r="AI239" i="33" s="1"/>
  <c r="BZ11" i="3"/>
  <c r="BQ10" i="3"/>
  <c r="X60" i="33" s="1"/>
  <c r="BR10" i="3"/>
  <c r="BR11" i="3"/>
  <c r="AA239" i="33" s="1"/>
  <c r="AB239" i="33" s="1"/>
  <c r="AC239" i="33" s="1"/>
  <c r="BR14" i="3"/>
  <c r="AA174" i="33" s="1"/>
  <c r="AB174" i="33" s="1"/>
  <c r="AC174" i="33" s="1"/>
  <c r="BR15" i="3"/>
  <c r="AA175" i="33" s="1"/>
  <c r="AB175" i="33" s="1"/>
  <c r="AC175" i="33" s="1"/>
  <c r="BR16" i="3"/>
  <c r="AA176" i="33" s="1"/>
  <c r="AB176" i="33" s="1"/>
  <c r="AC176" i="33" s="1"/>
  <c r="BR19" i="3"/>
  <c r="AA246" i="33" s="1"/>
  <c r="AB246" i="33" s="1"/>
  <c r="AC246" i="33" s="1"/>
  <c r="AI12" i="36" s="1"/>
  <c r="BR21" i="3"/>
  <c r="AA248" i="33" s="1"/>
  <c r="AB248" i="33" s="1"/>
  <c r="BR22" i="3"/>
  <c r="BR23" i="3"/>
  <c r="AA223" i="33" s="1"/>
  <c r="AB223" i="33" s="1"/>
  <c r="AC223" i="33" s="1"/>
  <c r="AA224" i="33"/>
  <c r="AB224" i="33" s="1"/>
  <c r="AC224" i="33" s="1"/>
  <c r="BR25" i="3"/>
  <c r="AA225" i="33" s="1"/>
  <c r="AB225" i="33" s="1"/>
  <c r="AC225" i="33" s="1"/>
  <c r="BR26" i="3"/>
  <c r="AA165" i="33" s="1"/>
  <c r="BR29" i="3"/>
  <c r="BR31" i="3"/>
  <c r="AA166" i="33" s="1"/>
  <c r="AB166" i="33" s="1"/>
  <c r="AC166" i="33" s="1"/>
  <c r="BR35" i="3"/>
  <c r="AA168" i="33" s="1"/>
  <c r="AB168" i="33" s="1"/>
  <c r="AC168" i="33" s="1"/>
  <c r="AA233" i="33"/>
  <c r="AB233" i="33" s="1"/>
  <c r="AC233" i="33" s="1"/>
  <c r="BR39" i="3"/>
  <c r="AA234" i="33" s="1"/>
  <c r="AB234" i="33" s="1"/>
  <c r="AC234" i="33" s="1"/>
  <c r="BR41" i="3"/>
  <c r="AA170" i="33" s="1"/>
  <c r="AB170" i="33" s="1"/>
  <c r="AC170" i="33" s="1"/>
  <c r="BR121" i="3"/>
  <c r="BR122" i="3"/>
  <c r="BR134" i="3"/>
  <c r="BR135" i="3"/>
  <c r="AA288" i="33" s="1"/>
  <c r="AB288" i="33" s="1"/>
  <c r="BR136" i="3"/>
  <c r="BR138" i="3"/>
  <c r="AA296" i="33" s="1"/>
  <c r="AB296" i="33" s="1"/>
  <c r="BR139" i="3"/>
  <c r="AA298" i="33" s="1"/>
  <c r="AB298" i="33" s="1"/>
  <c r="BQ14" i="3"/>
  <c r="X65" i="33" s="1"/>
  <c r="BQ15" i="3"/>
  <c r="BQ16" i="3"/>
  <c r="BQ19" i="3"/>
  <c r="X123" i="33" s="1"/>
  <c r="BQ21" i="3"/>
  <c r="X125" i="33" s="1"/>
  <c r="BQ22" i="3"/>
  <c r="X40" i="33" s="1"/>
  <c r="BQ23" i="3"/>
  <c r="X41" i="33" s="1"/>
  <c r="BQ24" i="3"/>
  <c r="X42" i="33" s="1"/>
  <c r="BQ25" i="3"/>
  <c r="X43" i="33" s="1"/>
  <c r="BQ26" i="3"/>
  <c r="X44" i="33" s="1"/>
  <c r="BQ29" i="3"/>
  <c r="X47" i="33" s="1"/>
  <c r="BQ31" i="3"/>
  <c r="X49" i="33" s="1"/>
  <c r="BQ35" i="3"/>
  <c r="BQ39" i="3"/>
  <c r="BQ41" i="3"/>
  <c r="X58" i="33" s="1"/>
  <c r="BQ121" i="3"/>
  <c r="BQ122" i="3"/>
  <c r="X121" i="33" s="1"/>
  <c r="BQ134" i="3"/>
  <c r="X126" i="33" s="1"/>
  <c r="BQ135" i="3"/>
  <c r="X129" i="33" s="1"/>
  <c r="BQ136" i="3"/>
  <c r="X130" i="33" s="1"/>
  <c r="BQ138" i="3"/>
  <c r="X127" i="33" s="1"/>
  <c r="BQ139" i="3"/>
  <c r="X131" i="33" s="1"/>
  <c r="AV11" i="3"/>
  <c r="AV14" i="3"/>
  <c r="AV15" i="3"/>
  <c r="AV16" i="3"/>
  <c r="AV19" i="3"/>
  <c r="AV21" i="3"/>
  <c r="AV22" i="3"/>
  <c r="AV23" i="3"/>
  <c r="AV24" i="3"/>
  <c r="AV25" i="3"/>
  <c r="AV26" i="3"/>
  <c r="AV29" i="3"/>
  <c r="AV31" i="3"/>
  <c r="AV35" i="3"/>
  <c r="AV38" i="3"/>
  <c r="AV39" i="3"/>
  <c r="AV41" i="3"/>
  <c r="AV121" i="3"/>
  <c r="AV122" i="3"/>
  <c r="AV134" i="3"/>
  <c r="AV135" i="3"/>
  <c r="AV136" i="3"/>
  <c r="AV138" i="3"/>
  <c r="AV139" i="3"/>
  <c r="BP11" i="3"/>
  <c r="BP14" i="3"/>
  <c r="BP15" i="3"/>
  <c r="BP16" i="3"/>
  <c r="BP19" i="3"/>
  <c r="BP21" i="3"/>
  <c r="BP23" i="3"/>
  <c r="BP25" i="3"/>
  <c r="BP26" i="3"/>
  <c r="BP29" i="3"/>
  <c r="BP31" i="3"/>
  <c r="BP35" i="3"/>
  <c r="BP38" i="3"/>
  <c r="BP39" i="3"/>
  <c r="BP41" i="3"/>
  <c r="BP121" i="3"/>
  <c r="BP122" i="3"/>
  <c r="BP134" i="3"/>
  <c r="BP135" i="3"/>
  <c r="BP136" i="3"/>
  <c r="BP138" i="3"/>
  <c r="BP139" i="3"/>
  <c r="BH10" i="3"/>
  <c r="BH11" i="3"/>
  <c r="T239" i="33" s="1"/>
  <c r="BH14" i="3"/>
  <c r="T174" i="33" s="1"/>
  <c r="U174" i="33" s="1"/>
  <c r="BH15" i="3"/>
  <c r="T175" i="33" s="1"/>
  <c r="U175" i="33" s="1"/>
  <c r="BH16" i="3"/>
  <c r="T176" i="33" s="1"/>
  <c r="U176" i="33" s="1"/>
  <c r="BH19" i="3"/>
  <c r="T246" i="33" s="1"/>
  <c r="U246" i="33" s="1"/>
  <c r="V246" i="33" s="1"/>
  <c r="V12" i="36" s="1"/>
  <c r="BH21" i="3"/>
  <c r="T248" i="33" s="1"/>
  <c r="U248" i="33" s="1"/>
  <c r="BH22" i="3"/>
  <c r="BH23" i="3"/>
  <c r="T223" i="33" s="1"/>
  <c r="BH25" i="3"/>
  <c r="T225" i="33" s="1"/>
  <c r="U225" i="33" s="1"/>
  <c r="V225" i="33" s="1"/>
  <c r="BH26" i="3"/>
  <c r="T165" i="33" s="1"/>
  <c r="BH31" i="3"/>
  <c r="T166" i="33" s="1"/>
  <c r="U166" i="33" s="1"/>
  <c r="V166" i="33" s="1"/>
  <c r="BH35" i="3"/>
  <c r="T168" i="33" s="1"/>
  <c r="T233" i="33"/>
  <c r="U233" i="33" s="1"/>
  <c r="V233" i="33" s="1"/>
  <c r="BH39" i="3"/>
  <c r="T234" i="33" s="1"/>
  <c r="U234" i="33" s="1"/>
  <c r="V234" i="33" s="1"/>
  <c r="BH41" i="3"/>
  <c r="T170" i="33" s="1"/>
  <c r="U170" i="33" s="1"/>
  <c r="V170" i="33" s="1"/>
  <c r="BH121" i="3"/>
  <c r="BH122" i="3"/>
  <c r="BH134" i="3"/>
  <c r="BH135" i="3"/>
  <c r="T288" i="33" s="1"/>
  <c r="U288" i="33" s="1"/>
  <c r="BH136" i="3"/>
  <c r="BH138" i="3"/>
  <c r="T296" i="33" s="1"/>
  <c r="U296" i="33" s="1"/>
  <c r="BH139" i="3"/>
  <c r="T298" i="33" s="1"/>
  <c r="U298" i="33" s="1"/>
  <c r="BG10" i="3"/>
  <c r="Q60" i="33" s="1"/>
  <c r="BG14" i="3"/>
  <c r="Q65" i="33" s="1"/>
  <c r="BG15" i="3"/>
  <c r="BG16" i="3"/>
  <c r="BG21" i="3"/>
  <c r="Q125" i="33" s="1"/>
  <c r="BG22" i="3"/>
  <c r="Q40" i="33" s="1"/>
  <c r="BG23" i="3"/>
  <c r="Q41" i="33" s="1"/>
  <c r="BG24" i="3"/>
  <c r="Q42" i="33" s="1"/>
  <c r="BG25" i="3"/>
  <c r="Q43" i="33" s="1"/>
  <c r="BG26" i="3"/>
  <c r="Q44" i="33" s="1"/>
  <c r="BG31" i="3"/>
  <c r="Q49" i="33" s="1"/>
  <c r="BG35" i="3"/>
  <c r="BG38" i="3"/>
  <c r="BG39" i="3"/>
  <c r="BG41" i="3"/>
  <c r="Q58" i="33" s="1"/>
  <c r="BG121" i="3"/>
  <c r="BG122" i="3"/>
  <c r="Q121" i="33" s="1"/>
  <c r="BG134" i="3"/>
  <c r="Q126" i="33" s="1"/>
  <c r="BG135" i="3"/>
  <c r="Q129" i="33" s="1"/>
  <c r="BG136" i="3"/>
  <c r="Q130" i="33" s="1"/>
  <c r="BG138" i="3"/>
  <c r="Q127" i="33" s="1"/>
  <c r="BG139" i="3"/>
  <c r="Q131" i="33" s="1"/>
  <c r="BF11" i="3"/>
  <c r="BF14" i="3"/>
  <c r="BF15" i="3"/>
  <c r="BF16" i="3"/>
  <c r="BF19" i="3"/>
  <c r="BF21" i="3"/>
  <c r="BF22" i="3"/>
  <c r="BF23" i="3"/>
  <c r="BF25" i="3"/>
  <c r="BF26" i="3"/>
  <c r="BF31" i="3"/>
  <c r="BF35" i="3"/>
  <c r="BF38" i="3"/>
  <c r="BF39" i="3"/>
  <c r="BF41" i="3"/>
  <c r="BF121" i="3"/>
  <c r="BF122" i="3"/>
  <c r="BF134" i="3"/>
  <c r="BF135" i="3"/>
  <c r="BF136" i="3"/>
  <c r="BF138" i="3"/>
  <c r="BF139" i="3"/>
  <c r="AX11" i="3"/>
  <c r="M239" i="33" s="1"/>
  <c r="AX14" i="3"/>
  <c r="M174" i="33" s="1"/>
  <c r="N174" i="33" s="1"/>
  <c r="AX15" i="3"/>
  <c r="M175" i="33" s="1"/>
  <c r="N175" i="33" s="1"/>
  <c r="AX16" i="3"/>
  <c r="M176" i="33" s="1"/>
  <c r="N176" i="33" s="1"/>
  <c r="AX19" i="3"/>
  <c r="M246" i="33" s="1"/>
  <c r="AX21" i="3"/>
  <c r="M248" i="33" s="1"/>
  <c r="N248" i="33" s="1"/>
  <c r="AX22" i="3"/>
  <c r="AX23" i="3"/>
  <c r="M223" i="33" s="1"/>
  <c r="AX24" i="3"/>
  <c r="M224" i="33" s="1"/>
  <c r="N224" i="33" s="1"/>
  <c r="O224" i="33" s="1"/>
  <c r="AX25" i="3"/>
  <c r="M225" i="33" s="1"/>
  <c r="N225" i="33" s="1"/>
  <c r="O225" i="33" s="1"/>
  <c r="AX26" i="3"/>
  <c r="M165" i="33" s="1"/>
  <c r="AX29" i="3"/>
  <c r="AX31" i="3"/>
  <c r="M166" i="33" s="1"/>
  <c r="AX35" i="3"/>
  <c r="AX38" i="3"/>
  <c r="AX39" i="3"/>
  <c r="M234" i="33" s="1"/>
  <c r="N234" i="33" s="1"/>
  <c r="O234" i="33" s="1"/>
  <c r="AX41" i="3"/>
  <c r="M170" i="33" s="1"/>
  <c r="AX121" i="3"/>
  <c r="AX122" i="3"/>
  <c r="AX134" i="3"/>
  <c r="M196" i="33" s="1"/>
  <c r="AX135" i="3"/>
  <c r="M288" i="33" s="1"/>
  <c r="N288" i="33" s="1"/>
  <c r="AX136" i="3"/>
  <c r="M289" i="33" s="1"/>
  <c r="N289" i="33" s="1"/>
  <c r="AX138" i="3"/>
  <c r="M296" i="33" s="1"/>
  <c r="N296" i="33" s="1"/>
  <c r="AX139" i="3"/>
  <c r="M298" i="33" s="1"/>
  <c r="N298" i="33" s="1"/>
  <c r="AW14" i="3"/>
  <c r="J65" i="33" s="1"/>
  <c r="AW15" i="3"/>
  <c r="AW16" i="3"/>
  <c r="AW19" i="3"/>
  <c r="J123" i="33" s="1"/>
  <c r="AW21" i="3"/>
  <c r="J125" i="33" s="1"/>
  <c r="AW22" i="3"/>
  <c r="J40" i="33" s="1"/>
  <c r="AW23" i="3"/>
  <c r="J41" i="33" s="1"/>
  <c r="AW24" i="3"/>
  <c r="J42" i="33" s="1"/>
  <c r="AW25" i="3"/>
  <c r="J43" i="33" s="1"/>
  <c r="AW26" i="3"/>
  <c r="J44" i="33" s="1"/>
  <c r="AW29" i="3"/>
  <c r="J47" i="33" s="1"/>
  <c r="J49" i="33"/>
  <c r="AW35" i="3"/>
  <c r="J53" i="33" s="1"/>
  <c r="AW38" i="3"/>
  <c r="AW39" i="3"/>
  <c r="AW41" i="3"/>
  <c r="J58" i="33" s="1"/>
  <c r="AW121" i="3"/>
  <c r="AW122" i="3"/>
  <c r="J121" i="33" s="1"/>
  <c r="AW134" i="3"/>
  <c r="J126" i="33" s="1"/>
  <c r="AW135" i="3"/>
  <c r="J129" i="33" s="1"/>
  <c r="AW136" i="3"/>
  <c r="J130" i="33" s="1"/>
  <c r="AW138" i="3"/>
  <c r="J127" i="33" s="1"/>
  <c r="AW139" i="3"/>
  <c r="J131" i="33" s="1"/>
  <c r="CL9" i="3"/>
  <c r="AF59" i="33" s="1"/>
  <c r="CK9" i="3"/>
  <c r="CJ9" i="3"/>
  <c r="Y59" i="33" s="1"/>
  <c r="CI9" i="3"/>
  <c r="CH9" i="3"/>
  <c r="R59" i="33" s="1"/>
  <c r="CF9" i="3"/>
  <c r="K59" i="33" s="1"/>
  <c r="CG9" i="3"/>
  <c r="CB9" i="3"/>
  <c r="CA9" i="3"/>
  <c r="AE59" i="33" s="1"/>
  <c r="BR9" i="3"/>
  <c r="BH9" i="3"/>
  <c r="BF9" i="3"/>
  <c r="BQ9" i="3"/>
  <c r="X59" i="33" s="1"/>
  <c r="BP9" i="3"/>
  <c r="BG9" i="3"/>
  <c r="Q59" i="33" s="1"/>
  <c r="AX9" i="3"/>
  <c r="AW9" i="3"/>
  <c r="J59" i="33" s="1"/>
  <c r="AV9" i="3"/>
  <c r="CB10" i="3"/>
  <c r="CA10" i="3"/>
  <c r="AE60" i="33" s="1"/>
  <c r="BZ10" i="3"/>
  <c r="AX10" i="3"/>
  <c r="M238" i="33" s="1"/>
  <c r="BS14" i="3"/>
  <c r="BS15" i="3"/>
  <c r="CC16" i="3"/>
  <c r="BS19" i="3"/>
  <c r="AA123" i="33" s="1"/>
  <c r="AB123" i="33" s="1"/>
  <c r="AC123" i="33" s="1"/>
  <c r="CC21" i="3"/>
  <c r="AH125" i="33" s="1"/>
  <c r="AI125" i="33" s="1"/>
  <c r="CC22" i="3"/>
  <c r="CC24" i="3"/>
  <c r="CC25" i="3"/>
  <c r="BS26" i="3"/>
  <c r="CC35" i="3"/>
  <c r="AH53" i="33" s="1"/>
  <c r="AI53" i="33" s="1"/>
  <c r="AY39" i="3"/>
  <c r="CC41" i="3"/>
  <c r="CC121" i="3"/>
  <c r="BS122" i="3"/>
  <c r="AA121" i="33" s="1"/>
  <c r="AB121" i="33" s="1"/>
  <c r="AC121" i="33" s="1"/>
  <c r="CC134" i="3"/>
  <c r="AH126" i="33" s="1"/>
  <c r="AI126" i="33" s="1"/>
  <c r="CC135" i="3"/>
  <c r="AH129" i="33" s="1"/>
  <c r="AI129" i="33" s="1"/>
  <c r="BI136" i="3"/>
  <c r="BS139" i="3"/>
  <c r="AA131" i="33" s="1"/>
  <c r="AB131" i="33" s="1"/>
  <c r="AC131" i="33" s="1"/>
  <c r="BI10" i="3"/>
  <c r="AY9" i="3"/>
  <c r="M59" i="33" s="1"/>
  <c r="N59" i="33" s="1"/>
  <c r="Z223" i="33" l="1"/>
  <c r="Z16" i="38"/>
  <c r="X16" i="38"/>
  <c r="W16" i="38"/>
  <c r="Y16" i="38"/>
  <c r="AA16" i="38"/>
  <c r="AV12" i="36"/>
  <c r="AY12" i="36" s="1"/>
  <c r="AV10" i="36"/>
  <c r="AP16" i="38"/>
  <c r="AP10" i="36"/>
  <c r="AS10" i="36" s="1"/>
  <c r="U168" i="33"/>
  <c r="V168" i="33" s="1"/>
  <c r="U239" i="33"/>
  <c r="U223" i="33"/>
  <c r="V223" i="33" s="1"/>
  <c r="X12" i="36"/>
  <c r="V7" i="38"/>
  <c r="U12" i="36"/>
  <c r="P7" i="38"/>
  <c r="AA196" i="33"/>
  <c r="AB196" i="33" s="1"/>
  <c r="AC196" i="33" s="1"/>
  <c r="AI10" i="36" s="1"/>
  <c r="T196" i="33"/>
  <c r="U196" i="33" s="1"/>
  <c r="V196" i="33" s="1"/>
  <c r="V10" i="36" s="1"/>
  <c r="L196" i="33"/>
  <c r="N196" i="33"/>
  <c r="S223" i="33"/>
  <c r="AI165" i="33"/>
  <c r="AG165" i="33"/>
  <c r="U165" i="33"/>
  <c r="AB165" i="33"/>
  <c r="S165" i="33"/>
  <c r="K239" i="33"/>
  <c r="L239" i="33" s="1"/>
  <c r="M228" i="33"/>
  <c r="N228" i="33" s="1"/>
  <c r="O228" i="33" s="1"/>
  <c r="AA228" i="33"/>
  <c r="N165" i="33"/>
  <c r="N223" i="33"/>
  <c r="O223" i="33" s="1"/>
  <c r="L223" i="33"/>
  <c r="AV7" i="38"/>
  <c r="BA7" i="38" s="1"/>
  <c r="AV16" i="38"/>
  <c r="AI7" i="38"/>
  <c r="U10" i="36"/>
  <c r="S10" i="36"/>
  <c r="Q10" i="36"/>
  <c r="T10" i="36"/>
  <c r="R10" i="36"/>
  <c r="AQ12" i="36"/>
  <c r="AU12" i="36"/>
  <c r="AS12" i="36"/>
  <c r="AT12" i="36"/>
  <c r="AR12" i="36"/>
  <c r="AC7" i="38"/>
  <c r="AF10" i="36"/>
  <c r="AH10" i="36"/>
  <c r="AD10" i="36"/>
  <c r="AE10" i="36"/>
  <c r="AG10" i="36"/>
  <c r="AN12" i="36"/>
  <c r="AM12" i="36"/>
  <c r="AL12" i="36"/>
  <c r="AK12" i="36"/>
  <c r="AJ12" i="36"/>
  <c r="AH12" i="36"/>
  <c r="AE12" i="36"/>
  <c r="AG12" i="36"/>
  <c r="AD12" i="36"/>
  <c r="AF12" i="36"/>
  <c r="H12" i="36"/>
  <c r="G12" i="36"/>
  <c r="D12" i="36"/>
  <c r="E12" i="36"/>
  <c r="F12" i="36"/>
  <c r="N166" i="33"/>
  <c r="O166" i="33" s="1"/>
  <c r="N246" i="33"/>
  <c r="O246" i="33" s="1"/>
  <c r="I12" i="36" s="1"/>
  <c r="N170" i="33"/>
  <c r="O170" i="33" s="1"/>
  <c r="N239" i="33"/>
  <c r="O239" i="33" s="1"/>
  <c r="R185" i="33"/>
  <c r="AF310" i="33"/>
  <c r="R184" i="33"/>
  <c r="Y184" i="33"/>
  <c r="Z184" i="33" s="1"/>
  <c r="Y185" i="33"/>
  <c r="Z185" i="33" s="1"/>
  <c r="AH184" i="33"/>
  <c r="AI184" i="33" s="1"/>
  <c r="T185" i="33"/>
  <c r="AF184" i="33"/>
  <c r="AF185" i="33"/>
  <c r="AG185" i="33" s="1"/>
  <c r="AP11" i="36" s="1"/>
  <c r="T184" i="33"/>
  <c r="U184" i="33" s="1"/>
  <c r="AA185" i="33"/>
  <c r="AB185" i="33" s="1"/>
  <c r="AC185" i="33" s="1"/>
  <c r="AF314" i="33"/>
  <c r="M185" i="33"/>
  <c r="AA184" i="33"/>
  <c r="AB184" i="33" s="1"/>
  <c r="AC184" i="33" s="1"/>
  <c r="AH185" i="33"/>
  <c r="AI185" i="33" s="1"/>
  <c r="K184" i="33"/>
  <c r="K185" i="33"/>
  <c r="L185" i="33" s="1"/>
  <c r="M184" i="33"/>
  <c r="N184" i="33" s="1"/>
  <c r="AF260" i="33"/>
  <c r="AF67" i="33"/>
  <c r="AG67" i="33" s="1"/>
  <c r="AF259" i="33"/>
  <c r="AF261" i="33"/>
  <c r="R41" i="33"/>
  <c r="S41" i="33" s="1"/>
  <c r="R43" i="33"/>
  <c r="S43" i="33" s="1"/>
  <c r="R44" i="33"/>
  <c r="S44" i="33" s="1"/>
  <c r="AH43" i="33"/>
  <c r="AI43" i="33" s="1"/>
  <c r="Y47" i="33"/>
  <c r="AF49" i="33"/>
  <c r="R56" i="33"/>
  <c r="S56" i="33" s="1"/>
  <c r="R40" i="33"/>
  <c r="R42" i="33"/>
  <c r="S42" i="33" s="1"/>
  <c r="AF58" i="33"/>
  <c r="AG58" i="33" s="1"/>
  <c r="M56" i="33"/>
  <c r="N56" i="33" s="1"/>
  <c r="O56" i="33" s="1"/>
  <c r="Y40" i="33"/>
  <c r="Y41" i="33"/>
  <c r="Z41" i="33" s="1"/>
  <c r="Y42" i="33"/>
  <c r="Z42" i="33" s="1"/>
  <c r="Y43" i="33"/>
  <c r="Z43" i="33" s="1"/>
  <c r="Y44" i="33"/>
  <c r="Z44" i="33" s="1"/>
  <c r="AC12" i="35"/>
  <c r="K58" i="33"/>
  <c r="L58" i="33" s="1"/>
  <c r="K49" i="33"/>
  <c r="Y56" i="33"/>
  <c r="Z56" i="33" s="1"/>
  <c r="AE56" i="33"/>
  <c r="AH42" i="33"/>
  <c r="AI42" i="33" s="1"/>
  <c r="X56" i="33"/>
  <c r="AF40" i="33"/>
  <c r="AF41" i="33"/>
  <c r="AG41" i="33" s="1"/>
  <c r="AF42" i="33"/>
  <c r="AG42" i="33" s="1"/>
  <c r="AF43" i="33"/>
  <c r="AG43" i="33" s="1"/>
  <c r="AF44" i="33"/>
  <c r="AG44" i="33" s="1"/>
  <c r="R58" i="33"/>
  <c r="S58" i="33" s="1"/>
  <c r="AA44" i="33"/>
  <c r="AB44" i="33" s="1"/>
  <c r="AC44" i="33" s="1"/>
  <c r="Q56" i="33"/>
  <c r="AH40" i="33"/>
  <c r="J56" i="33"/>
  <c r="M168" i="33"/>
  <c r="R49" i="33"/>
  <c r="AF56" i="33"/>
  <c r="AG56" i="33" s="1"/>
  <c r="K40" i="33"/>
  <c r="K41" i="33"/>
  <c r="L41" i="33" s="1"/>
  <c r="K42" i="33"/>
  <c r="L42" i="33" s="1"/>
  <c r="K43" i="33"/>
  <c r="L43" i="33" s="1"/>
  <c r="K44" i="33"/>
  <c r="L44" i="33" s="1"/>
  <c r="K168" i="33"/>
  <c r="L168" i="33" s="1"/>
  <c r="Y58" i="33"/>
  <c r="Z58" i="33" s="1"/>
  <c r="AH58" i="33"/>
  <c r="AI58" i="33" s="1"/>
  <c r="Y49" i="33"/>
  <c r="Z49" i="33" s="1"/>
  <c r="K56" i="33"/>
  <c r="L56" i="33" s="1"/>
  <c r="T60" i="33"/>
  <c r="U60" i="33" s="1"/>
  <c r="V60" i="33" s="1"/>
  <c r="Y171" i="33"/>
  <c r="AA238" i="33"/>
  <c r="K238" i="33"/>
  <c r="AF60" i="33"/>
  <c r="AG60" i="33" s="1"/>
  <c r="AH238" i="33"/>
  <c r="AH309" i="33" s="1"/>
  <c r="T171" i="33"/>
  <c r="Z59" i="33"/>
  <c r="K60" i="33"/>
  <c r="L60" i="33" s="1"/>
  <c r="K65" i="33"/>
  <c r="AA171" i="33"/>
  <c r="R238" i="33"/>
  <c r="R309" i="33" s="1"/>
  <c r="AF65" i="33"/>
  <c r="AA65" i="33"/>
  <c r="AB65" i="33" s="1"/>
  <c r="AC65" i="33" s="1"/>
  <c r="AG59" i="33"/>
  <c r="R60" i="33"/>
  <c r="S60" i="33" s="1"/>
  <c r="R65" i="33"/>
  <c r="S59" i="33"/>
  <c r="AF171" i="33"/>
  <c r="M171" i="33"/>
  <c r="N171" i="33" s="1"/>
  <c r="AH171" i="33"/>
  <c r="Y238" i="33"/>
  <c r="Y309" i="33" s="1"/>
  <c r="R171" i="33"/>
  <c r="Y60" i="33"/>
  <c r="Z60" i="33" s="1"/>
  <c r="Y65" i="33"/>
  <c r="Z65" i="33" s="1"/>
  <c r="T238" i="33"/>
  <c r="T309" i="33" s="1"/>
  <c r="AF238" i="33"/>
  <c r="BS29" i="3"/>
  <c r="CC29" i="3"/>
  <c r="BI29" i="3"/>
  <c r="BI122" i="3"/>
  <c r="T121" i="33" s="1"/>
  <c r="U121" i="33" s="1"/>
  <c r="V121" i="33" s="1"/>
  <c r="CC9" i="3"/>
  <c r="AH59" i="33" s="1"/>
  <c r="AY136" i="3"/>
  <c r="M130" i="33" s="1"/>
  <c r="N130" i="33" s="1"/>
  <c r="BI39" i="3"/>
  <c r="BI16" i="3"/>
  <c r="BS134" i="3"/>
  <c r="AA126" i="33" s="1"/>
  <c r="AB126" i="33" s="1"/>
  <c r="AC126" i="33" s="1"/>
  <c r="AY10" i="3"/>
  <c r="BI139" i="3"/>
  <c r="T131" i="33" s="1"/>
  <c r="U131" i="33" s="1"/>
  <c r="AY41" i="3"/>
  <c r="BI121" i="3"/>
  <c r="AY134" i="3"/>
  <c r="M126" i="33" s="1"/>
  <c r="N126" i="33" s="1"/>
  <c r="O126" i="33" s="1"/>
  <c r="BI9" i="3"/>
  <c r="T59" i="33" s="1"/>
  <c r="AY16" i="3"/>
  <c r="BS22" i="3"/>
  <c r="CC10" i="3"/>
  <c r="AY14" i="3"/>
  <c r="AY22" i="3"/>
  <c r="AY121" i="3"/>
  <c r="AY29" i="3"/>
  <c r="BI41" i="3"/>
  <c r="BI19" i="3"/>
  <c r="T123" i="33" s="1"/>
  <c r="U123" i="33" s="1"/>
  <c r="CC14" i="3"/>
  <c r="CC138" i="3"/>
  <c r="AH127" i="33" s="1"/>
  <c r="AI127" i="33" s="1"/>
  <c r="BS138" i="3"/>
  <c r="AA127" i="33" s="1"/>
  <c r="AB127" i="33" s="1"/>
  <c r="AC127" i="33" s="1"/>
  <c r="CC31" i="3"/>
  <c r="BS31" i="3"/>
  <c r="CC38" i="3"/>
  <c r="AY24" i="3"/>
  <c r="AY15" i="3"/>
  <c r="BI38" i="3"/>
  <c r="BI26" i="3"/>
  <c r="BS121" i="3"/>
  <c r="BS41" i="3"/>
  <c r="CC19" i="3"/>
  <c r="AH123" i="33" s="1"/>
  <c r="AI123" i="33" s="1"/>
  <c r="CC139" i="3"/>
  <c r="AH131" i="33" s="1"/>
  <c r="AI131" i="33" s="1"/>
  <c r="CC23" i="3"/>
  <c r="BS23" i="3"/>
  <c r="BS135" i="3"/>
  <c r="AA129" i="33" s="1"/>
  <c r="AB129" i="33" s="1"/>
  <c r="AC129" i="33" s="1"/>
  <c r="BS25" i="3"/>
  <c r="CC136" i="3"/>
  <c r="BS136" i="3"/>
  <c r="CC39" i="3"/>
  <c r="BS39" i="3"/>
  <c r="AY138" i="3"/>
  <c r="M127" i="33" s="1"/>
  <c r="N127" i="33" s="1"/>
  <c r="AY31" i="3"/>
  <c r="AY23" i="3"/>
  <c r="BI135" i="3"/>
  <c r="T129" i="33" s="1"/>
  <c r="U129" i="33" s="1"/>
  <c r="BI35" i="3"/>
  <c r="T53" i="33" s="1"/>
  <c r="U53" i="33" s="1"/>
  <c r="V53" i="33" s="1"/>
  <c r="BI25" i="3"/>
  <c r="BI21" i="3"/>
  <c r="T125" i="33" s="1"/>
  <c r="U125" i="33" s="1"/>
  <c r="BS24" i="3"/>
  <c r="BS10" i="3"/>
  <c r="CC15" i="3"/>
  <c r="BS35" i="3"/>
  <c r="AA53" i="33" s="1"/>
  <c r="AB53" i="33" s="1"/>
  <c r="AC53" i="33" s="1"/>
  <c r="BS21" i="3"/>
  <c r="AA125" i="33" s="1"/>
  <c r="AB125" i="33" s="1"/>
  <c r="AC125" i="33" s="1"/>
  <c r="CC26" i="3"/>
  <c r="BS9" i="3"/>
  <c r="AA59" i="33" s="1"/>
  <c r="AY38" i="3"/>
  <c r="AY26" i="3"/>
  <c r="BI24" i="3"/>
  <c r="BI15" i="3"/>
  <c r="BS16" i="3"/>
  <c r="CC122" i="3"/>
  <c r="AH121" i="33" s="1"/>
  <c r="AI121" i="33" s="1"/>
  <c r="AY135" i="3"/>
  <c r="M129" i="33" s="1"/>
  <c r="N129" i="33" s="1"/>
  <c r="AY35" i="3"/>
  <c r="M53" i="33" s="1"/>
  <c r="N53" i="33" s="1"/>
  <c r="O53" i="33" s="1"/>
  <c r="AY25" i="3"/>
  <c r="AY21" i="3"/>
  <c r="M125" i="33" s="1"/>
  <c r="N125" i="33" s="1"/>
  <c r="BI138" i="3"/>
  <c r="T127" i="33" s="1"/>
  <c r="U127" i="33" s="1"/>
  <c r="BI31" i="3"/>
  <c r="BI23" i="3"/>
  <c r="AY139" i="3"/>
  <c r="M131" i="33" s="1"/>
  <c r="N131" i="33" s="1"/>
  <c r="AY122" i="3"/>
  <c r="M121" i="33" s="1"/>
  <c r="AY19" i="3"/>
  <c r="M123" i="33" s="1"/>
  <c r="N123" i="33" s="1"/>
  <c r="BI134" i="3"/>
  <c r="T126" i="33" s="1"/>
  <c r="U126" i="33" s="1"/>
  <c r="V126" i="33" s="1"/>
  <c r="BI22" i="3"/>
  <c r="BI14" i="3"/>
  <c r="K309" i="33" l="1"/>
  <c r="AB228" i="33"/>
  <c r="AC228" i="33" s="1"/>
  <c r="AA309" i="33"/>
  <c r="AB309" i="33" s="1"/>
  <c r="AD7" i="38"/>
  <c r="AH7" i="38"/>
  <c r="AF7" i="38"/>
  <c r="AG7" i="38"/>
  <c r="AE7" i="38"/>
  <c r="AL7" i="38"/>
  <c r="AK7" i="38"/>
  <c r="AJ7" i="38"/>
  <c r="AN7" i="38"/>
  <c r="AM7" i="38"/>
  <c r="R208" i="33"/>
  <c r="S208" i="33" s="1"/>
  <c r="Q7" i="34" s="1"/>
  <c r="Y208" i="33"/>
  <c r="Z208" i="33" s="1"/>
  <c r="AE7" i="34" s="1"/>
  <c r="M208" i="33"/>
  <c r="N208" i="33" s="1"/>
  <c r="AH208" i="33"/>
  <c r="AF208" i="33"/>
  <c r="AG208" i="33" s="1"/>
  <c r="AA208" i="33"/>
  <c r="AB208" i="33" s="1"/>
  <c r="K208" i="33"/>
  <c r="L208" i="33" s="1"/>
  <c r="C7" i="34" s="1"/>
  <c r="AV11" i="35"/>
  <c r="AX11" i="35" s="1"/>
  <c r="R367" i="33"/>
  <c r="R368" i="33"/>
  <c r="P13" i="36"/>
  <c r="R13" i="36" s="1"/>
  <c r="P12" i="35"/>
  <c r="P11" i="35"/>
  <c r="U11" i="35" s="1"/>
  <c r="T12" i="36"/>
  <c r="T368" i="33"/>
  <c r="T208" i="33"/>
  <c r="U208" i="33" s="1"/>
  <c r="V239" i="33"/>
  <c r="Z12" i="36"/>
  <c r="S12" i="36"/>
  <c r="W12" i="36"/>
  <c r="S309" i="33"/>
  <c r="Q8" i="34" s="1"/>
  <c r="T8" i="34" s="1"/>
  <c r="Q12" i="36"/>
  <c r="AA12" i="36"/>
  <c r="R12" i="36"/>
  <c r="Y12" i="36"/>
  <c r="U309" i="33"/>
  <c r="S7" i="38"/>
  <c r="T7" i="38"/>
  <c r="U7" i="38"/>
  <c r="Q7" i="38"/>
  <c r="R7" i="38"/>
  <c r="Z7" i="38"/>
  <c r="Y7" i="38"/>
  <c r="W7" i="38"/>
  <c r="AA7" i="38"/>
  <c r="X7" i="38"/>
  <c r="C10" i="36"/>
  <c r="H10" i="36" s="1"/>
  <c r="M309" i="33"/>
  <c r="N309" i="33" s="1"/>
  <c r="AC11" i="36"/>
  <c r="AE11" i="36" s="1"/>
  <c r="AM10" i="36"/>
  <c r="AJ10" i="36"/>
  <c r="AN10" i="36"/>
  <c r="AL10" i="36"/>
  <c r="AK10" i="36"/>
  <c r="M368" i="33"/>
  <c r="K368" i="33"/>
  <c r="K367" i="33"/>
  <c r="U185" i="33"/>
  <c r="O196" i="33"/>
  <c r="I10" i="36" s="1"/>
  <c r="S185" i="33"/>
  <c r="P6" i="38" s="1"/>
  <c r="D16" i="38"/>
  <c r="AH368" i="33"/>
  <c r="Y368" i="33"/>
  <c r="AF368" i="33"/>
  <c r="AA368" i="33"/>
  <c r="AC165" i="33"/>
  <c r="AP11" i="35"/>
  <c r="AU11" i="35" s="1"/>
  <c r="V165" i="33"/>
  <c r="AQ10" i="36"/>
  <c r="AR10" i="36"/>
  <c r="AT10" i="36"/>
  <c r="AU10" i="36"/>
  <c r="K132" i="33"/>
  <c r="Z309" i="33"/>
  <c r="AE8" i="34" s="1"/>
  <c r="AF8" i="34" s="1"/>
  <c r="C11" i="36"/>
  <c r="G11" i="36" s="1"/>
  <c r="AG12" i="35"/>
  <c r="AF12" i="35"/>
  <c r="AE12" i="35"/>
  <c r="AD12" i="35"/>
  <c r="AH12" i="35"/>
  <c r="C11" i="35"/>
  <c r="AY7" i="38"/>
  <c r="AW7" i="38"/>
  <c r="AZ7" i="38"/>
  <c r="AX7" i="38"/>
  <c r="AX12" i="36"/>
  <c r="BA12" i="36"/>
  <c r="AW12" i="36"/>
  <c r="AV11" i="36"/>
  <c r="AW11" i="36" s="1"/>
  <c r="AZ12" i="36"/>
  <c r="AI11" i="36"/>
  <c r="AL11" i="36" s="1"/>
  <c r="AV13" i="36"/>
  <c r="AZ13" i="36" s="1"/>
  <c r="AP13" i="36"/>
  <c r="AC13" i="36"/>
  <c r="M12" i="36"/>
  <c r="K12" i="36"/>
  <c r="J12" i="36"/>
  <c r="N12" i="36"/>
  <c r="L12" i="36"/>
  <c r="AT11" i="36"/>
  <c r="AU11" i="36"/>
  <c r="AR11" i="36"/>
  <c r="AQ11" i="36"/>
  <c r="AS11" i="36"/>
  <c r="AW10" i="36"/>
  <c r="AZ10" i="36"/>
  <c r="AX10" i="36"/>
  <c r="BA10" i="36"/>
  <c r="AY10" i="36"/>
  <c r="AP12" i="35"/>
  <c r="AC11" i="35"/>
  <c r="C13" i="36"/>
  <c r="AV12" i="35"/>
  <c r="C12" i="35"/>
  <c r="AF309" i="33"/>
  <c r="AG309" i="33" s="1"/>
  <c r="AS8" i="34" s="1"/>
  <c r="AW8" i="34" s="1"/>
  <c r="N168" i="33"/>
  <c r="O168" i="33" s="1"/>
  <c r="I11" i="35" s="1"/>
  <c r="AF365" i="33"/>
  <c r="AG365" i="33" s="1"/>
  <c r="AS9" i="34" s="1"/>
  <c r="N121" i="33"/>
  <c r="O121" i="33" s="1"/>
  <c r="R132" i="33"/>
  <c r="N238" i="33"/>
  <c r="Z40" i="33"/>
  <c r="Y367" i="33"/>
  <c r="Y132" i="33"/>
  <c r="AG40" i="33"/>
  <c r="AF367" i="33"/>
  <c r="AF132" i="33"/>
  <c r="N185" i="33"/>
  <c r="O185" i="33" s="1"/>
  <c r="AA56" i="33"/>
  <c r="AB56" i="33" s="1"/>
  <c r="AC56" i="33" s="1"/>
  <c r="M40" i="33"/>
  <c r="T47" i="33"/>
  <c r="AA42" i="33"/>
  <c r="AB42" i="33" s="1"/>
  <c r="AC42" i="33" s="1"/>
  <c r="AA40" i="33"/>
  <c r="AA49" i="33"/>
  <c r="AB49" i="33" s="1"/>
  <c r="AC49" i="33" s="1"/>
  <c r="AH41" i="33"/>
  <c r="AI41" i="33" s="1"/>
  <c r="AA58" i="33"/>
  <c r="AB58" i="33" s="1"/>
  <c r="AC58" i="33" s="1"/>
  <c r="T58" i="33"/>
  <c r="U58" i="33" s="1"/>
  <c r="V58" i="33" s="1"/>
  <c r="AA47" i="33"/>
  <c r="S49" i="33"/>
  <c r="T49" i="33"/>
  <c r="U49" i="33" s="1"/>
  <c r="V49" i="33" s="1"/>
  <c r="AA41" i="33"/>
  <c r="AB41" i="33" s="1"/>
  <c r="AC41" i="33" s="1"/>
  <c r="T44" i="33"/>
  <c r="U44" i="33" s="1"/>
  <c r="V44" i="33" s="1"/>
  <c r="AH44" i="33"/>
  <c r="AI44" i="33" s="1"/>
  <c r="AH49" i="33"/>
  <c r="AI49" i="33" s="1"/>
  <c r="T40" i="33"/>
  <c r="M44" i="33"/>
  <c r="N44" i="33" s="1"/>
  <c r="O44" i="33" s="1"/>
  <c r="M42" i="33"/>
  <c r="N42" i="33" s="1"/>
  <c r="O42" i="33" s="1"/>
  <c r="AG49" i="33"/>
  <c r="T42" i="33"/>
  <c r="U42" i="33" s="1"/>
  <c r="V42" i="33" s="1"/>
  <c r="M41" i="33"/>
  <c r="N41" i="33" s="1"/>
  <c r="O41" i="33" s="1"/>
  <c r="M58" i="33"/>
  <c r="AH56" i="33"/>
  <c r="AI56" i="33" s="1"/>
  <c r="T43" i="33"/>
  <c r="U43" i="33" s="1"/>
  <c r="V43" i="33" s="1"/>
  <c r="AA43" i="33"/>
  <c r="AB43" i="33" s="1"/>
  <c r="AC43" i="33" s="1"/>
  <c r="T56" i="33"/>
  <c r="U56" i="33" s="1"/>
  <c r="V56" i="33" s="1"/>
  <c r="Z47" i="33"/>
  <c r="M43" i="33"/>
  <c r="N43" i="33" s="1"/>
  <c r="O43" i="33" s="1"/>
  <c r="L49" i="33"/>
  <c r="AH47" i="33"/>
  <c r="M49" i="33"/>
  <c r="N49" i="33" s="1"/>
  <c r="O49" i="33" s="1"/>
  <c r="M47" i="33"/>
  <c r="N47" i="33" s="1"/>
  <c r="O47" i="33" s="1"/>
  <c r="T41" i="33"/>
  <c r="U41" i="33" s="1"/>
  <c r="V41" i="33" s="1"/>
  <c r="AI40" i="33"/>
  <c r="L238" i="33"/>
  <c r="M60" i="33"/>
  <c r="N60" i="33" s="1"/>
  <c r="AG171" i="33"/>
  <c r="AP6" i="36" s="1"/>
  <c r="M65" i="33"/>
  <c r="N65" i="33" s="1"/>
  <c r="AI238" i="33"/>
  <c r="AI309" i="33" s="1"/>
  <c r="AY8" i="34" s="1"/>
  <c r="AB238" i="33"/>
  <c r="AI59" i="33"/>
  <c r="T65" i="33"/>
  <c r="U65" i="33" s="1"/>
  <c r="U59" i="33"/>
  <c r="AG238" i="33"/>
  <c r="AI171" i="33"/>
  <c r="S238" i="33"/>
  <c r="P6" i="36" s="1"/>
  <c r="AB59" i="33"/>
  <c r="AH60" i="33"/>
  <c r="AI60" i="33" s="1"/>
  <c r="U171" i="33"/>
  <c r="AA60" i="33"/>
  <c r="AB60" i="33" s="1"/>
  <c r="AC60" i="33" s="1"/>
  <c r="U238" i="33"/>
  <c r="AB171" i="33"/>
  <c r="Z238" i="33"/>
  <c r="AH65" i="33"/>
  <c r="AI65" i="33" s="1"/>
  <c r="AA367" i="33" l="1"/>
  <c r="M367" i="33"/>
  <c r="T367" i="33"/>
  <c r="AI13" i="36"/>
  <c r="M132" i="33"/>
  <c r="T132" i="33"/>
  <c r="T366" i="33" s="1"/>
  <c r="AV6" i="36"/>
  <c r="AA132" i="33"/>
  <c r="Z368" i="33"/>
  <c r="AE13" i="34" s="1"/>
  <c r="AC6" i="36"/>
  <c r="AY11" i="35"/>
  <c r="AZ11" i="35"/>
  <c r="BA11" i="35"/>
  <c r="AW11" i="35"/>
  <c r="AI208" i="33"/>
  <c r="AY7" i="34" s="1"/>
  <c r="AN13" i="36"/>
  <c r="AC208" i="33"/>
  <c r="AK7" i="34" s="1"/>
  <c r="O208" i="33"/>
  <c r="I7" i="34" s="1"/>
  <c r="S367" i="33"/>
  <c r="S368" i="33"/>
  <c r="Q13" i="34" s="1"/>
  <c r="V12" i="35"/>
  <c r="V11" i="35"/>
  <c r="AA11" i="35" s="1"/>
  <c r="U368" i="33"/>
  <c r="R366" i="33"/>
  <c r="AG368" i="33"/>
  <c r="AS13" i="34" s="1"/>
  <c r="V13" i="36"/>
  <c r="AA13" i="36" s="1"/>
  <c r="E10" i="36"/>
  <c r="F10" i="36"/>
  <c r="G10" i="36"/>
  <c r="D10" i="36"/>
  <c r="R6" i="38"/>
  <c r="G16" i="38"/>
  <c r="F16" i="38"/>
  <c r="AF11" i="36"/>
  <c r="AD11" i="36"/>
  <c r="AG11" i="36"/>
  <c r="AH11" i="36"/>
  <c r="L367" i="33"/>
  <c r="S11" i="35"/>
  <c r="C15" i="35"/>
  <c r="G15" i="35" s="1"/>
  <c r="C6" i="36"/>
  <c r="H16" i="38"/>
  <c r="E16" i="38"/>
  <c r="R11" i="35"/>
  <c r="Q11" i="35"/>
  <c r="T11" i="35"/>
  <c r="L368" i="33"/>
  <c r="C13" i="34" s="1"/>
  <c r="H13" i="34" s="1"/>
  <c r="P15" i="35"/>
  <c r="S15" i="35" s="1"/>
  <c r="AC6" i="38"/>
  <c r="N368" i="33"/>
  <c r="P11" i="36"/>
  <c r="S11" i="36" s="1"/>
  <c r="AB368" i="33"/>
  <c r="V185" i="33"/>
  <c r="AS7" i="34"/>
  <c r="AW7" i="34" s="1"/>
  <c r="AS11" i="35"/>
  <c r="AQ11" i="35"/>
  <c r="AR11" i="35"/>
  <c r="AT11" i="35"/>
  <c r="AI11" i="35"/>
  <c r="AN11" i="35" s="1"/>
  <c r="AI12" i="35"/>
  <c r="AM12" i="35" s="1"/>
  <c r="V7" i="34"/>
  <c r="U7" i="34"/>
  <c r="T7" i="34"/>
  <c r="R7" i="34"/>
  <c r="S7" i="34"/>
  <c r="AG7" i="34"/>
  <c r="AI7" i="34"/>
  <c r="AH7" i="34"/>
  <c r="AJ7" i="34"/>
  <c r="AF7" i="34"/>
  <c r="AP6" i="38"/>
  <c r="AI368" i="33"/>
  <c r="AY13" i="34" s="1"/>
  <c r="AV6" i="38"/>
  <c r="AI8" i="34"/>
  <c r="AG8" i="34"/>
  <c r="AJ8" i="34"/>
  <c r="AH8" i="34"/>
  <c r="U8" i="34"/>
  <c r="S8" i="34"/>
  <c r="V8" i="34"/>
  <c r="R8" i="34"/>
  <c r="C6" i="38"/>
  <c r="H6" i="38" s="1"/>
  <c r="D11" i="36"/>
  <c r="H11" i="36"/>
  <c r="F11" i="36"/>
  <c r="E11" i="36"/>
  <c r="I11" i="36"/>
  <c r="L11" i="36" s="1"/>
  <c r="L11" i="35"/>
  <c r="K11" i="35"/>
  <c r="J11" i="35"/>
  <c r="N11" i="35"/>
  <c r="M11" i="35"/>
  <c r="H11" i="35"/>
  <c r="G11" i="35"/>
  <c r="F11" i="35"/>
  <c r="E11" i="35"/>
  <c r="D11" i="35"/>
  <c r="H12" i="35"/>
  <c r="G12" i="35"/>
  <c r="F12" i="35"/>
  <c r="E12" i="35"/>
  <c r="D12" i="35"/>
  <c r="S12" i="35"/>
  <c r="R12" i="35"/>
  <c r="Q12" i="35"/>
  <c r="U12" i="35"/>
  <c r="T12" i="35"/>
  <c r="AZ12" i="35"/>
  <c r="AY12" i="35"/>
  <c r="AX12" i="35"/>
  <c r="AW12" i="35"/>
  <c r="BA12" i="35"/>
  <c r="AD11" i="35"/>
  <c r="AH11" i="35"/>
  <c r="AG11" i="35"/>
  <c r="AF11" i="35"/>
  <c r="AE11" i="35"/>
  <c r="AQ12" i="35"/>
  <c r="AU12" i="35"/>
  <c r="AR12" i="35"/>
  <c r="AT12" i="35"/>
  <c r="AS12" i="35"/>
  <c r="K366" i="33"/>
  <c r="H7" i="34"/>
  <c r="F7" i="34"/>
  <c r="G7" i="34"/>
  <c r="E7" i="34"/>
  <c r="D7" i="34"/>
  <c r="AZ11" i="36"/>
  <c r="AX11" i="36"/>
  <c r="AY11" i="36"/>
  <c r="BA11" i="36"/>
  <c r="AJ11" i="36"/>
  <c r="S13" i="36"/>
  <c r="AK11" i="36"/>
  <c r="T13" i="36"/>
  <c r="AW13" i="36"/>
  <c r="U13" i="36"/>
  <c r="AX13" i="36"/>
  <c r="BA13" i="36"/>
  <c r="Q13" i="36"/>
  <c r="AY13" i="36"/>
  <c r="AM11" i="36"/>
  <c r="I13" i="36"/>
  <c r="J13" i="36" s="1"/>
  <c r="AN11" i="36"/>
  <c r="AT6" i="36"/>
  <c r="AE13" i="36"/>
  <c r="AG13" i="36"/>
  <c r="AH13" i="36"/>
  <c r="AD13" i="36"/>
  <c r="AF13" i="36"/>
  <c r="AR13" i="36"/>
  <c r="AT13" i="36"/>
  <c r="AQ13" i="36"/>
  <c r="AU13" i="36"/>
  <c r="AS13" i="36"/>
  <c r="AC15" i="35"/>
  <c r="AF15" i="35" s="1"/>
  <c r="H13" i="36"/>
  <c r="F13" i="36"/>
  <c r="G13" i="36"/>
  <c r="E13" i="36"/>
  <c r="D13" i="36"/>
  <c r="AV15" i="35"/>
  <c r="AP15" i="35"/>
  <c r="I12" i="35"/>
  <c r="AG367" i="33"/>
  <c r="AX8" i="34"/>
  <c r="AU8" i="34"/>
  <c r="AV8" i="34"/>
  <c r="AT8" i="34"/>
  <c r="AH132" i="33"/>
  <c r="AH366" i="33" s="1"/>
  <c r="N58" i="33"/>
  <c r="O58" i="33" s="1"/>
  <c r="S132" i="33"/>
  <c r="N40" i="33"/>
  <c r="Y366" i="33"/>
  <c r="Z132" i="33"/>
  <c r="AH367" i="33"/>
  <c r="AB40" i="33"/>
  <c r="Z367" i="33"/>
  <c r="U40" i="33"/>
  <c r="AU9" i="34"/>
  <c r="AX9" i="34"/>
  <c r="AV9" i="34"/>
  <c r="AW9" i="34"/>
  <c r="AT9" i="34"/>
  <c r="BD8" i="34"/>
  <c r="BA8" i="34"/>
  <c r="AZ8" i="34"/>
  <c r="BB8" i="34"/>
  <c r="BC8" i="34"/>
  <c r="AF366" i="33"/>
  <c r="AS11" i="34" s="1"/>
  <c r="AG132" i="33"/>
  <c r="AI47" i="33"/>
  <c r="AI367" i="33" s="1"/>
  <c r="U47" i="33"/>
  <c r="AB47" i="33"/>
  <c r="L132" i="33"/>
  <c r="O238" i="33"/>
  <c r="O309" i="33" s="1"/>
  <c r="V59" i="33"/>
  <c r="L309" i="33"/>
  <c r="C8" i="34" s="1"/>
  <c r="AC238" i="33"/>
  <c r="AI6" i="36" s="1"/>
  <c r="AC59" i="33"/>
  <c r="V238" i="33"/>
  <c r="V309" i="33" s="1"/>
  <c r="N367" i="33" l="1"/>
  <c r="U367" i="33"/>
  <c r="AN6" i="36"/>
  <c r="AM6" i="36"/>
  <c r="AL6" i="36"/>
  <c r="AJ6" i="36"/>
  <c r="AK6" i="36"/>
  <c r="AB367" i="33"/>
  <c r="AJ13" i="36"/>
  <c r="AH6" i="38"/>
  <c r="AF6" i="38"/>
  <c r="AE6" i="38"/>
  <c r="AD6" i="38"/>
  <c r="AG6" i="38"/>
  <c r="AK13" i="36"/>
  <c r="AM13" i="36"/>
  <c r="AL13" i="36"/>
  <c r="BD7" i="34"/>
  <c r="BC7" i="34"/>
  <c r="BA7" i="34"/>
  <c r="AZ7" i="34"/>
  <c r="BB7" i="34"/>
  <c r="AX13" i="34"/>
  <c r="V368" i="33"/>
  <c r="W13" i="34" s="1"/>
  <c r="V208" i="33"/>
  <c r="W7" i="34" s="1"/>
  <c r="Q11" i="36"/>
  <c r="V6" i="36"/>
  <c r="W6" i="36" s="1"/>
  <c r="S6" i="38"/>
  <c r="V6" i="38"/>
  <c r="U11" i="36"/>
  <c r="V11" i="36"/>
  <c r="R11" i="36"/>
  <c r="T11" i="36"/>
  <c r="I15" i="35"/>
  <c r="W11" i="35"/>
  <c r="X11" i="35"/>
  <c r="Z11" i="35"/>
  <c r="Y11" i="35"/>
  <c r="U6" i="38"/>
  <c r="Q6" i="38"/>
  <c r="T6" i="38"/>
  <c r="W8" i="34"/>
  <c r="AA8" i="34" s="1"/>
  <c r="V15" i="35"/>
  <c r="S13" i="34"/>
  <c r="U13" i="34"/>
  <c r="V13" i="34"/>
  <c r="T13" i="34"/>
  <c r="R13" i="34"/>
  <c r="O368" i="33"/>
  <c r="I13" i="34" s="1"/>
  <c r="AT7" i="34"/>
  <c r="AX7" i="34"/>
  <c r="AU7" i="34"/>
  <c r="AV7" i="34"/>
  <c r="N10" i="36"/>
  <c r="K10" i="36"/>
  <c r="L10" i="36"/>
  <c r="J10" i="36"/>
  <c r="M10" i="36"/>
  <c r="Y13" i="36"/>
  <c r="W13" i="36"/>
  <c r="Z13" i="36"/>
  <c r="X13" i="36"/>
  <c r="AK12" i="35"/>
  <c r="AN12" i="35"/>
  <c r="AL11" i="35"/>
  <c r="AJ11" i="35"/>
  <c r="AK11" i="35"/>
  <c r="AM11" i="35"/>
  <c r="AJ12" i="35"/>
  <c r="AL12" i="35"/>
  <c r="AC368" i="33"/>
  <c r="AK13" i="34" s="1"/>
  <c r="AI6" i="38"/>
  <c r="X12" i="35"/>
  <c r="W12" i="35"/>
  <c r="Z12" i="35"/>
  <c r="AA12" i="35"/>
  <c r="Y12" i="35"/>
  <c r="AO7" i="34"/>
  <c r="AM7" i="34"/>
  <c r="AL7" i="34"/>
  <c r="AN7" i="34"/>
  <c r="AP7" i="34"/>
  <c r="BA6" i="38"/>
  <c r="AX6" i="38"/>
  <c r="AY6" i="38"/>
  <c r="AW6" i="38"/>
  <c r="AZ6" i="38"/>
  <c r="AS6" i="38"/>
  <c r="AT6" i="38"/>
  <c r="AR6" i="38"/>
  <c r="AU6" i="38"/>
  <c r="AQ6" i="38"/>
  <c r="I8" i="34"/>
  <c r="L8" i="34" s="1"/>
  <c r="I6" i="36"/>
  <c r="N11" i="36"/>
  <c r="J11" i="36"/>
  <c r="M11" i="36"/>
  <c r="K11" i="36"/>
  <c r="I6" i="38"/>
  <c r="D6" i="38"/>
  <c r="E6" i="38"/>
  <c r="F6" i="38"/>
  <c r="G6" i="38"/>
  <c r="D13" i="34"/>
  <c r="E13" i="34"/>
  <c r="F13" i="34"/>
  <c r="G13" i="34"/>
  <c r="L366" i="33"/>
  <c r="C11" i="34" s="1"/>
  <c r="J12" i="35"/>
  <c r="N12" i="35"/>
  <c r="K12" i="35"/>
  <c r="M12" i="35"/>
  <c r="L12" i="35"/>
  <c r="K7" i="34"/>
  <c r="N7" i="34"/>
  <c r="L7" i="34"/>
  <c r="J7" i="34"/>
  <c r="M7" i="34"/>
  <c r="M13" i="36"/>
  <c r="L13" i="36"/>
  <c r="N13" i="36"/>
  <c r="AQ6" i="36"/>
  <c r="AR6" i="36"/>
  <c r="AE15" i="35"/>
  <c r="AS6" i="36"/>
  <c r="T15" i="35"/>
  <c r="AH15" i="35"/>
  <c r="K13" i="36"/>
  <c r="AU6" i="36"/>
  <c r="U15" i="35"/>
  <c r="AD15" i="35"/>
  <c r="R15" i="35"/>
  <c r="BA6" i="36"/>
  <c r="AZ6" i="36"/>
  <c r="AW6" i="36"/>
  <c r="AY6" i="36"/>
  <c r="AX6" i="36"/>
  <c r="Q15" i="35"/>
  <c r="AH6" i="36"/>
  <c r="AF6" i="36"/>
  <c r="AE6" i="36"/>
  <c r="AG6" i="36"/>
  <c r="AD6" i="36"/>
  <c r="T6" i="36"/>
  <c r="S6" i="36"/>
  <c r="U6" i="36"/>
  <c r="Q6" i="36"/>
  <c r="R6" i="36"/>
  <c r="F15" i="35"/>
  <c r="BA15" i="35"/>
  <c r="AY15" i="35"/>
  <c r="AW15" i="35"/>
  <c r="AZ15" i="35"/>
  <c r="AX15" i="35"/>
  <c r="E15" i="35"/>
  <c r="H15" i="35"/>
  <c r="AU15" i="35"/>
  <c r="AR15" i="35"/>
  <c r="AT15" i="35"/>
  <c r="AS15" i="35"/>
  <c r="AQ15" i="35"/>
  <c r="AC309" i="33"/>
  <c r="AI15" i="35"/>
  <c r="D15" i="35"/>
  <c r="E6" i="36"/>
  <c r="H6" i="36"/>
  <c r="D6" i="36"/>
  <c r="F6" i="36"/>
  <c r="G6" i="36"/>
  <c r="AW13" i="34"/>
  <c r="AT13" i="34"/>
  <c r="AV13" i="34"/>
  <c r="AU13" i="34"/>
  <c r="BA13" i="34"/>
  <c r="BC13" i="34"/>
  <c r="BD13" i="34"/>
  <c r="AZ13" i="34"/>
  <c r="BB13" i="34"/>
  <c r="S366" i="33"/>
  <c r="Q11" i="34" s="1"/>
  <c r="Q6" i="34"/>
  <c r="AA366" i="33"/>
  <c r="AB132" i="33"/>
  <c r="AB366" i="33" s="1"/>
  <c r="U132" i="33"/>
  <c r="U366" i="33" s="1"/>
  <c r="AI132" i="33"/>
  <c r="M366" i="33"/>
  <c r="N132" i="33"/>
  <c r="N366" i="33" s="1"/>
  <c r="C6" i="34"/>
  <c r="AC40" i="33"/>
  <c r="AE6" i="34"/>
  <c r="Z366" i="33"/>
  <c r="AE11" i="34" s="1"/>
  <c r="AS6" i="34"/>
  <c r="AG366" i="33"/>
  <c r="G8" i="34"/>
  <c r="E8" i="34"/>
  <c r="D8" i="34"/>
  <c r="F8" i="34"/>
  <c r="H8" i="34"/>
  <c r="AV11" i="34"/>
  <c r="AU11" i="34"/>
  <c r="AW11" i="34"/>
  <c r="AT11" i="34"/>
  <c r="AX11" i="34"/>
  <c r="AJ13" i="34"/>
  <c r="AG13" i="34"/>
  <c r="AH13" i="34"/>
  <c r="AF13" i="34"/>
  <c r="AI13" i="34"/>
  <c r="AC47" i="33"/>
  <c r="V47" i="33"/>
  <c r="V367" i="33" s="1"/>
  <c r="O60" i="33"/>
  <c r="O367" i="33" s="1"/>
  <c r="AC132" i="33" l="1"/>
  <c r="AN6" i="38"/>
  <c r="AM6" i="38"/>
  <c r="AL6" i="38"/>
  <c r="AK6" i="38"/>
  <c r="AJ6" i="38"/>
  <c r="AK8" i="34"/>
  <c r="AL8" i="34" s="1"/>
  <c r="AB7" i="34"/>
  <c r="AA7" i="34"/>
  <c r="Z7" i="34"/>
  <c r="Y7" i="34"/>
  <c r="X7" i="34"/>
  <c r="Z11" i="36"/>
  <c r="Y11" i="36"/>
  <c r="W11" i="36"/>
  <c r="X11" i="36"/>
  <c r="AA11" i="36"/>
  <c r="AA6" i="36"/>
  <c r="Z6" i="36"/>
  <c r="X6" i="36"/>
  <c r="Y6" i="36"/>
  <c r="AA6" i="38"/>
  <c r="X6" i="38"/>
  <c r="W6" i="38"/>
  <c r="Z6" i="38"/>
  <c r="Y6" i="38"/>
  <c r="L6" i="38"/>
  <c r="M6" i="38"/>
  <c r="K6" i="38"/>
  <c r="N6" i="38"/>
  <c r="J6" i="38"/>
  <c r="K8" i="34"/>
  <c r="J8" i="34"/>
  <c r="M8" i="34"/>
  <c r="N8" i="34"/>
  <c r="J6" i="36"/>
  <c r="M6" i="36"/>
  <c r="L6" i="36"/>
  <c r="N6" i="36"/>
  <c r="K6" i="36"/>
  <c r="Y8" i="34"/>
  <c r="Z8" i="34"/>
  <c r="W15" i="35"/>
  <c r="AA15" i="35"/>
  <c r="X15" i="35"/>
  <c r="Z15" i="35"/>
  <c r="Y15" i="35"/>
  <c r="X8" i="34"/>
  <c r="AB8" i="34"/>
  <c r="AL15" i="35"/>
  <c r="AN15" i="35"/>
  <c r="AK15" i="35"/>
  <c r="AM15" i="35"/>
  <c r="AJ15" i="35"/>
  <c r="AI11" i="34"/>
  <c r="AH11" i="34"/>
  <c r="AG11" i="34"/>
  <c r="AF11" i="34"/>
  <c r="AJ11" i="34"/>
  <c r="AG6" i="34"/>
  <c r="AH6" i="34"/>
  <c r="AF6" i="34"/>
  <c r="AI6" i="34"/>
  <c r="AJ6" i="34"/>
  <c r="U6" i="34"/>
  <c r="S6" i="34"/>
  <c r="T6" i="34"/>
  <c r="V6" i="34"/>
  <c r="R6" i="34"/>
  <c r="AY6" i="34"/>
  <c r="AI366" i="33"/>
  <c r="AY11" i="34" s="1"/>
  <c r="AX6" i="34"/>
  <c r="AV6" i="34"/>
  <c r="AW6" i="34"/>
  <c r="AT6" i="34"/>
  <c r="AU6" i="34"/>
  <c r="AC367" i="33"/>
  <c r="T11" i="34"/>
  <c r="V11" i="34"/>
  <c r="U11" i="34"/>
  <c r="S11" i="34"/>
  <c r="R11" i="34"/>
  <c r="N15" i="35"/>
  <c r="M15" i="35"/>
  <c r="L15" i="35"/>
  <c r="K15" i="35"/>
  <c r="J15" i="35"/>
  <c r="V132" i="33"/>
  <c r="G11" i="34"/>
  <c r="H11" i="34"/>
  <c r="F11" i="34"/>
  <c r="D11" i="34"/>
  <c r="E11" i="34"/>
  <c r="F6" i="34"/>
  <c r="D6" i="34"/>
  <c r="E6" i="34"/>
  <c r="G6" i="34"/>
  <c r="H6" i="34"/>
  <c r="O132" i="33"/>
  <c r="AP8" i="34" l="1"/>
  <c r="AN8" i="34"/>
  <c r="AO8" i="34"/>
  <c r="AM8" i="34"/>
  <c r="X10" i="36"/>
  <c r="Z10" i="36"/>
  <c r="AA10" i="36"/>
  <c r="Y10" i="36"/>
  <c r="W10" i="36"/>
  <c r="N13" i="34"/>
  <c r="K13" i="34"/>
  <c r="J13" i="34"/>
  <c r="L13" i="34"/>
  <c r="M13" i="34"/>
  <c r="AM13" i="34"/>
  <c r="AN13" i="34"/>
  <c r="AL13" i="34"/>
  <c r="AO13" i="34"/>
  <c r="AP13" i="34"/>
  <c r="I6" i="34"/>
  <c r="O366" i="33"/>
  <c r="I11" i="34" s="1"/>
  <c r="BD6" i="34"/>
  <c r="BB6" i="34"/>
  <c r="BC6" i="34"/>
  <c r="BA6" i="34"/>
  <c r="AZ6" i="34"/>
  <c r="Z13" i="34"/>
  <c r="AB13" i="34"/>
  <c r="X13" i="34"/>
  <c r="AA13" i="34"/>
  <c r="Y13" i="34"/>
  <c r="AK6" i="34"/>
  <c r="AC366" i="33"/>
  <c r="AK11" i="34" s="1"/>
  <c r="W6" i="34"/>
  <c r="V366" i="33"/>
  <c r="W11" i="34" s="1"/>
  <c r="BD11" i="34"/>
  <c r="BC11" i="34"/>
  <c r="BB11" i="34"/>
  <c r="BA11" i="34"/>
  <c r="AZ11" i="34"/>
  <c r="AM11" i="34" l="1"/>
  <c r="AO11" i="34"/>
  <c r="AL11" i="34"/>
  <c r="AP11" i="34"/>
  <c r="AN11" i="34"/>
  <c r="AP6" i="34"/>
  <c r="AO6" i="34"/>
  <c r="AN6" i="34"/>
  <c r="AM6" i="34"/>
  <c r="AL6" i="34"/>
  <c r="N6" i="34"/>
  <c r="M6" i="34"/>
  <c r="K6" i="34"/>
  <c r="L6" i="34"/>
  <c r="J6" i="34"/>
  <c r="Y11" i="34"/>
  <c r="Z11" i="34"/>
  <c r="X11" i="34"/>
  <c r="AB11" i="34"/>
  <c r="AA11" i="34"/>
  <c r="M11" i="34"/>
  <c r="K11" i="34"/>
  <c r="J11" i="34"/>
  <c r="N11" i="34"/>
  <c r="L11" i="34"/>
  <c r="X6" i="34"/>
  <c r="AA6" i="34"/>
  <c r="AB6" i="34"/>
  <c r="Z6" i="34"/>
  <c r="Y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7E6B9864-72BB-4B2A-86A3-F76225A72CFB}">
      <text>
        <r>
          <rPr>
            <sz val="9"/>
            <color indexed="81"/>
            <rFont val="Tahoma"/>
            <family val="2"/>
          </rPr>
          <t>Plan de Acción</t>
        </r>
      </text>
    </comment>
    <comment ref="E8" authorId="0" shapeId="0" xr:uid="{79E3F3E7-DEA9-4678-A47C-233A8BE60433}">
      <text>
        <r>
          <rPr>
            <sz val="9"/>
            <color indexed="81"/>
            <rFont val="Tahoma"/>
            <family val="2"/>
          </rPr>
          <t>Plan de adquisiciones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4127A76D-A321-4542-8C77-AE122DBC8293}">
      <text>
        <r>
          <rPr>
            <sz val="9"/>
            <color indexed="81"/>
            <rFont val="Tahoma"/>
            <family val="2"/>
          </rPr>
          <t>Plan de Acción</t>
        </r>
      </text>
    </comment>
    <comment ref="E8" authorId="0" shapeId="0" xr:uid="{6ABE4886-CCBE-4687-83F0-C2443EF3DCBA}">
      <text>
        <r>
          <rPr>
            <sz val="9"/>
            <color indexed="81"/>
            <rFont val="Tahoma"/>
            <family val="2"/>
          </rPr>
          <t>Plan de Adquisiciones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ESPERANZA TORRES RODRIGUEZ</author>
  </authors>
  <commentList>
    <comment ref="D8" authorId="0" shapeId="0" xr:uid="{83D025A1-9C1D-4084-9CAA-4B39E458078B}">
      <text>
        <r>
          <rPr>
            <sz val="9"/>
            <color indexed="81"/>
            <rFont val="Tahoma"/>
            <family val="2"/>
          </rPr>
          <t>Plan Anticorrupción y de Atención al Ciudadano</t>
        </r>
      </text>
    </comment>
    <comment ref="E8" authorId="0" shapeId="0" xr:uid="{60658068-CC3E-4228-84FE-A15F2600FB12}">
      <text>
        <r>
          <rPr>
            <sz val="9"/>
            <color indexed="81"/>
            <rFont val="Tahoma"/>
            <family val="2"/>
          </rPr>
          <t xml:space="preserve">Plan de Acción </t>
        </r>
      </text>
    </comment>
    <comment ref="F8" authorId="0" shapeId="0" xr:uid="{59CD9395-C051-4DC0-AD4D-175774050644}">
      <text>
        <r>
          <rPr>
            <sz val="9"/>
            <color indexed="81"/>
            <rFont val="Tahoma"/>
            <family val="2"/>
          </rPr>
          <t>Plan de Adquisiciones</t>
        </r>
      </text>
    </comment>
    <comment ref="G8" authorId="0" shapeId="0" xr:uid="{F1563AEB-AF5A-47D7-A090-D272D49FC270}">
      <text>
        <r>
          <rPr>
            <sz val="9"/>
            <color indexed="81"/>
            <rFont val="Tahoma"/>
            <family val="2"/>
          </rPr>
          <t>Plan Institucional de Capacitación</t>
        </r>
      </text>
    </comment>
    <comment ref="H8" authorId="0" shapeId="0" xr:uid="{A7D221B8-BE3C-4DE1-B11D-C77493B8D3A5}">
      <text>
        <r>
          <rPr>
            <sz val="9"/>
            <color indexed="81"/>
            <rFont val="Tahoma"/>
            <family val="2"/>
          </rPr>
          <t>Plan de Bienestar e incentivos Institucionales</t>
        </r>
      </text>
    </comment>
    <comment ref="I8" authorId="0" shapeId="0" xr:uid="{EB6DA501-EF9F-416B-8420-52EFBFB9879C}">
      <text>
        <r>
          <rPr>
            <sz val="9"/>
            <color indexed="81"/>
            <rFont val="Tahoma"/>
            <family val="2"/>
          </rPr>
          <t>Plan de Trabajo Anual en Seguridad y Salud en el Trabajo</t>
        </r>
      </text>
    </comment>
    <comment ref="J8" authorId="0" shapeId="0" xr:uid="{B0E57FE2-E80C-4F86-B325-5B912E1EFEE5}">
      <text>
        <r>
          <rPr>
            <sz val="9"/>
            <color indexed="81"/>
            <rFont val="Tahoma"/>
            <family val="2"/>
          </rPr>
          <t>Plan Anual de Vacantes</t>
        </r>
      </text>
    </comment>
    <comment ref="K8" authorId="0" shapeId="0" xr:uid="{171D18D7-9F41-4460-83A0-05BE60DB0173}">
      <text>
        <r>
          <rPr>
            <sz val="9"/>
            <color indexed="81"/>
            <rFont val="Tahoma"/>
            <family val="2"/>
          </rPr>
          <t>Plan de Previsión de Recursos Humanos</t>
        </r>
      </text>
    </comment>
    <comment ref="L8" authorId="0" shapeId="0" xr:uid="{FD39333C-36E8-4C7C-9402-5CF952460BAB}">
      <text>
        <r>
          <rPr>
            <sz val="9"/>
            <color indexed="81"/>
            <rFont val="Tahoma"/>
            <family val="2"/>
          </rPr>
          <t>Plan Estratégico de Talento Humano</t>
        </r>
      </text>
    </comment>
    <comment ref="M8" authorId="0" shapeId="0" xr:uid="{E06B374D-1434-411E-8CFB-8A950B70A01F}">
      <text>
        <r>
          <rPr>
            <sz val="9"/>
            <color indexed="81"/>
            <rFont val="Tahoma"/>
            <family val="2"/>
          </rPr>
          <t>Plan Institucional de Archivos de la Entidad –PINAR</t>
        </r>
      </text>
    </comment>
    <comment ref="N8" authorId="0" shapeId="0" xr:uid="{E655C968-4042-4820-B2F9-5CB713E7C158}">
      <text>
        <r>
          <rPr>
            <sz val="9"/>
            <color indexed="81"/>
            <rFont val="Tahoma"/>
            <family val="2"/>
          </rPr>
          <t>Plan Estratégico de Tecnologías de la Información y las comunicaciones PETI</t>
        </r>
      </text>
    </comment>
    <comment ref="O8" authorId="0" shapeId="0" xr:uid="{2853007A-599D-4E4D-BA80-91E2F9A0FE1A}">
      <text>
        <r>
          <rPr>
            <sz val="9"/>
            <color indexed="81"/>
            <rFont val="Tahoma"/>
            <family val="2"/>
          </rPr>
          <t xml:space="preserve">Plan de Seguridad y Privacidad de la Información </t>
        </r>
      </text>
    </comment>
    <comment ref="P8" authorId="0" shapeId="0" xr:uid="{3454F853-EB45-4B67-97F3-F0DA9569CCB8}">
      <text>
        <r>
          <rPr>
            <sz val="9"/>
            <color indexed="81"/>
            <rFont val="Tahoma"/>
            <family val="2"/>
          </rPr>
          <t>Plan de Tratamiento de Riesgos de Seguridad y Privacidad de la Información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NORELA BRICEÑO BOHORQUEZ</author>
  </authors>
  <commentList>
    <comment ref="F12" authorId="0" shapeId="0" xr:uid="{61BBF09F-B236-465B-AEC9-B30A67EE75FF}">
      <text>
        <r>
          <rPr>
            <b/>
            <sz val="9"/>
            <color indexed="81"/>
            <rFont val="Tahoma"/>
            <family val="2"/>
          </rPr>
          <t>Cifra cálculos Yuly Gomez</t>
        </r>
        <r>
          <rPr>
            <sz val="9"/>
            <color indexed="81"/>
            <rFont val="Tahoma"/>
            <family val="2"/>
          </rPr>
          <t xml:space="preserve">
</t>
        </r>
      </text>
    </comment>
    <comment ref="G12" authorId="0" shapeId="0" xr:uid="{4E52C18C-5D66-4B5D-954C-15D73CBBE38F}">
      <text>
        <r>
          <rPr>
            <b/>
            <sz val="9"/>
            <color indexed="81"/>
            <rFont val="Tahoma"/>
            <family val="2"/>
          </rPr>
          <t>NORELA BRICEÑO BOHORQUEZ:</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fogafin</author>
    <author>Toshiba</author>
    <author>NORELA BRICEÑO BOHORQUEZ</author>
  </authors>
  <commentList>
    <comment ref="K14" authorId="0" shapeId="0" xr:uid="{00000000-0006-0000-0400-000001000000}">
      <text>
        <r>
          <rPr>
            <b/>
            <sz val="10"/>
            <color indexed="81"/>
            <rFont val="Tahoma"/>
            <family val="2"/>
          </rPr>
          <t>Es la correspondencia entre el resultado del indicador en el periodo y la meta establecida.</t>
        </r>
      </text>
    </comment>
    <comment ref="M14" authorId="0" shapeId="0" xr:uid="{00000000-0006-0000-0400-000002000000}">
      <text>
        <r>
          <rPr>
            <b/>
            <sz val="10"/>
            <color indexed="81"/>
            <rFont val="Tahoma"/>
            <family val="2"/>
          </rPr>
          <t>Muestra el avance acumulado del idicador.</t>
        </r>
      </text>
    </comment>
    <comment ref="R14" authorId="0" shapeId="0" xr:uid="{00000000-0006-0000-0400-000003000000}">
      <text>
        <r>
          <rPr>
            <b/>
            <sz val="10"/>
            <color indexed="81"/>
            <rFont val="Tahoma"/>
            <family val="2"/>
          </rPr>
          <t>Es la correspondencia entre el resultado del indicador en el periodo y la meta establecida.</t>
        </r>
      </text>
    </comment>
    <comment ref="T14" authorId="0" shapeId="0" xr:uid="{00000000-0006-0000-0400-000004000000}">
      <text>
        <r>
          <rPr>
            <b/>
            <sz val="10"/>
            <color indexed="81"/>
            <rFont val="Tahoma"/>
            <family val="2"/>
          </rPr>
          <t>Muestra el avance acumulado del indicador.
La última columna muestra como N.A aquellas actividades que no tenían meta programada ni en este periodo ni en los anteriores.</t>
        </r>
      </text>
    </comment>
    <comment ref="Y14" authorId="0" shapeId="0" xr:uid="{00000000-0006-0000-0400-000005000000}">
      <text>
        <r>
          <rPr>
            <b/>
            <sz val="10"/>
            <color indexed="81"/>
            <rFont val="Tahoma"/>
            <family val="2"/>
          </rPr>
          <t>Es la correspondencia entre el resultado del indicador en el periodo y la meta establecida.</t>
        </r>
      </text>
    </comment>
    <comment ref="AA14" authorId="0" shapeId="0" xr:uid="{00000000-0006-0000-0400-000006000000}">
      <text>
        <r>
          <rPr>
            <b/>
            <sz val="10"/>
            <color indexed="81"/>
            <rFont val="Tahoma"/>
            <family val="2"/>
          </rPr>
          <t>Muestra el avance acumulado del indicador.
La última columna muestra como N.A aquellas actividades que no tenían meta programada ni en este periodo ni en los anteriores.</t>
        </r>
      </text>
    </comment>
    <comment ref="AF14" authorId="0" shapeId="0" xr:uid="{00000000-0006-0000-0400-000007000000}">
      <text>
        <r>
          <rPr>
            <b/>
            <sz val="10"/>
            <color indexed="81"/>
            <rFont val="Tahoma"/>
            <family val="2"/>
          </rPr>
          <t>Es la correspondencia entre el resultado del indicador en el periodo y la meta establecida.</t>
        </r>
      </text>
    </comment>
    <comment ref="AH14" authorId="0" shapeId="0" xr:uid="{00000000-0006-0000-0400-000008000000}">
      <text>
        <r>
          <rPr>
            <b/>
            <sz val="10"/>
            <color indexed="81"/>
            <rFont val="Tahoma"/>
            <family val="2"/>
          </rPr>
          <t>Muestra el avance acumulado del idicador</t>
        </r>
      </text>
    </comment>
    <comment ref="AJ14" authorId="0" shapeId="0" xr:uid="{00000000-0006-0000-0400-000009000000}">
      <text>
        <r>
          <rPr>
            <b/>
            <sz val="10"/>
            <color indexed="81"/>
            <rFont val="Tahoma"/>
            <family val="2"/>
          </rPr>
          <t>Haga click en el semáforo para consultar información más detallada sobre el indicador, sus resultados, tendencias y análisis en su ficha técnica.</t>
        </r>
      </text>
    </comment>
    <comment ref="AL14" authorId="1" shapeId="0" xr:uid="{00000000-0006-0000-0400-00000A000000}">
      <text>
        <r>
          <rPr>
            <b/>
            <sz val="11"/>
            <color indexed="81"/>
            <rFont val="Tahoma"/>
            <family val="2"/>
          </rPr>
          <t>Corresponde al resultado consolidado al corte, según su frecuencia de medición y reporte en la Ficha Técnica del indicador.</t>
        </r>
      </text>
    </comment>
    <comment ref="AM14" authorId="0" shapeId="0" xr:uid="{00000000-0006-0000-0400-00000B000000}">
      <text>
        <r>
          <rPr>
            <b/>
            <sz val="10"/>
            <color indexed="81"/>
            <rFont val="Tahoma"/>
            <family val="2"/>
          </rPr>
          <t>Es la correspondencia entre el resultado del indicador en el periodo y la meta establecida.</t>
        </r>
      </text>
    </comment>
    <comment ref="AX14" authorId="0" shapeId="0" xr:uid="{00000000-0006-0000-0400-00000C000000}">
      <text>
        <r>
          <rPr>
            <b/>
            <sz val="10"/>
            <color indexed="81"/>
            <rFont val="Tahoma"/>
            <family val="2"/>
          </rPr>
          <t>Haga click en el semáforo para consultar información más detallada sobre el indicador, sus resultados, tendencias y análisis en su ficha técnica.</t>
        </r>
      </text>
    </comment>
    <comment ref="AZ14" authorId="1" shapeId="0" xr:uid="{00000000-0006-0000-0400-00000D000000}">
      <text>
        <r>
          <rPr>
            <b/>
            <sz val="11"/>
            <color indexed="81"/>
            <rFont val="Tahoma"/>
            <family val="2"/>
          </rPr>
          <t>Corresponde al resultado consolidado al corte, según su frecuencia de medición y reporte en la Ficha Técnica del indicador.</t>
        </r>
      </text>
    </comment>
    <comment ref="BA14" authorId="0" shapeId="0" xr:uid="{00000000-0006-0000-0400-00000E000000}">
      <text>
        <r>
          <rPr>
            <b/>
            <sz val="10"/>
            <color indexed="81"/>
            <rFont val="Tahoma"/>
            <family val="2"/>
          </rPr>
          <t>Es la correspondencia entre el resultado del indicador en el periodo y la meta establecida.</t>
        </r>
      </text>
    </comment>
    <comment ref="BL14" authorId="0" shapeId="0" xr:uid="{00000000-0006-0000-0400-00000F000000}">
      <text>
        <r>
          <rPr>
            <b/>
            <sz val="10"/>
            <color indexed="81"/>
            <rFont val="Tahoma"/>
            <family val="2"/>
          </rPr>
          <t>Haga click en el semáforo para consultar información más detallada sobre el indicador, sus resultados, tendencias y análisis en su ficha técnica.</t>
        </r>
      </text>
    </comment>
    <comment ref="BN14" authorId="1" shapeId="0" xr:uid="{00000000-0006-0000-0400-000010000000}">
      <text>
        <r>
          <rPr>
            <b/>
            <sz val="11"/>
            <color indexed="81"/>
            <rFont val="Tahoma"/>
            <family val="2"/>
          </rPr>
          <t>Corresponde al resultado consolidado al corte, según su frecuencia de medición y reporte en la Ficha Técnica del indicador.</t>
        </r>
      </text>
    </comment>
    <comment ref="BO14" authorId="0" shapeId="0" xr:uid="{00000000-0006-0000-0400-000011000000}">
      <text>
        <r>
          <rPr>
            <b/>
            <sz val="10"/>
            <color indexed="81"/>
            <rFont val="Tahoma"/>
            <family val="2"/>
          </rPr>
          <t>Es la correspondencia entre el resultado del indicador en el periodo y la meta establecida.</t>
        </r>
      </text>
    </comment>
    <comment ref="BZ14" authorId="0" shapeId="0" xr:uid="{00000000-0006-0000-0400-000012000000}">
      <text>
        <r>
          <rPr>
            <b/>
            <sz val="10"/>
            <color indexed="81"/>
            <rFont val="Tahoma"/>
            <family val="2"/>
          </rPr>
          <t>Haga click en el semáforo para consultar información más detallada sobre el indicador, sus resultados, tendencias y análisis en su ficha técnica.</t>
        </r>
      </text>
    </comment>
    <comment ref="CB14" authorId="1" shapeId="0" xr:uid="{00000000-0006-0000-0400-000013000000}">
      <text>
        <r>
          <rPr>
            <b/>
            <sz val="11"/>
            <color indexed="81"/>
            <rFont val="Tahoma"/>
            <family val="2"/>
          </rPr>
          <t>Corresponde al resultado consolidado al corte, según su frecuencia de medición y reporte en la Ficha Técnica del indicador.</t>
        </r>
      </text>
    </comment>
    <comment ref="CC14" authorId="0" shapeId="0" xr:uid="{00000000-0006-0000-0400-000014000000}">
      <text>
        <r>
          <rPr>
            <b/>
            <sz val="10"/>
            <color indexed="81"/>
            <rFont val="Tahoma"/>
            <family val="2"/>
          </rPr>
          <t>Es la correspondencia entre el resultado del indicador en el periodo y la meta establecida.</t>
        </r>
      </text>
    </comment>
    <comment ref="CN14" authorId="0" shapeId="0" xr:uid="{00000000-0006-0000-0400-000015000000}">
      <text>
        <r>
          <rPr>
            <b/>
            <sz val="10"/>
            <color indexed="81"/>
            <rFont val="Tahoma"/>
            <family val="2"/>
          </rPr>
          <t>Haga click en el semáforo para consultar información más detallada sobre el indicador, sus resultados, tendencias y análisis en su ficha técnica.</t>
        </r>
      </text>
    </comment>
    <comment ref="N15" authorId="2" shapeId="0" xr:uid="{E66FAEC3-8CA4-4E83-B205-901191B3B7BC}">
      <text>
        <r>
          <rPr>
            <sz val="12"/>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5" authorId="2" shapeId="0" xr:uid="{40A6A240-AC3D-45AD-9F99-E1C8F31EA3C1}">
      <text>
        <r>
          <rPr>
            <sz val="14"/>
            <color indexed="81"/>
            <rFont val="Tahoma"/>
            <family val="2"/>
          </rPr>
          <t>Réplica del anterior. 
En esta columna se encuentran los resultados incluyendo solamente las actividades programadas por las áreas para el periodo objeto de medición</t>
        </r>
        <r>
          <rPr>
            <sz val="9"/>
            <color indexed="81"/>
            <rFont val="Tahoma"/>
            <family val="2"/>
          </rPr>
          <t>.</t>
        </r>
      </text>
    </comment>
    <comment ref="T15" authorId="2" shapeId="0" xr:uid="{5271C4B1-BFFA-48E0-880B-5024E7FDD5C9}">
      <text>
        <r>
          <rPr>
            <sz val="9"/>
            <color indexed="81"/>
            <rFont val="Tahoma"/>
            <family val="2"/>
          </rPr>
          <t>Datos iniciales</t>
        </r>
      </text>
    </comment>
    <comment ref="U15" authorId="2" shapeId="0" xr:uid="{08377772-FB5F-4B9D-ADDA-A127A58D5DA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5" authorId="2" shapeId="0" xr:uid="{D2BCF030-B44A-4258-A86B-6B54D027B065}">
      <text>
        <r>
          <rPr>
            <sz val="9"/>
            <color indexed="81"/>
            <rFont val="Tahoma"/>
            <family val="2"/>
          </rPr>
          <t>Réplica del anterior. 
En esta columna se encuentran los resultados incluyendo solamente las actividades programadas por las áreas para el periodo objeto de medición.</t>
        </r>
      </text>
    </comment>
    <comment ref="AA15" authorId="2" shapeId="0" xr:uid="{AF601166-2247-4444-B99E-8D2AEFC07F57}">
      <text>
        <r>
          <rPr>
            <sz val="9"/>
            <color indexed="81"/>
            <rFont val="Tahoma"/>
            <family val="2"/>
          </rPr>
          <t>Datos iniciales</t>
        </r>
      </text>
    </comment>
    <comment ref="AB15" authorId="2" shapeId="0" xr:uid="{684496C8-C974-4E7D-81DB-E1DE15338C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5" authorId="2" shapeId="0" xr:uid="{C9261149-1324-4DDB-8585-DDDAAA0B7A87}">
      <text>
        <r>
          <rPr>
            <sz val="9"/>
            <color indexed="81"/>
            <rFont val="Tahoma"/>
            <family val="2"/>
          </rPr>
          <t>Réplica del anterior. 
En esta columna se encuentran los resultados incluyendo solamente las actividades programadas por las áreas para el periodo objeto de medición.</t>
        </r>
      </text>
    </comment>
    <comment ref="AH15" authorId="2" shapeId="0" xr:uid="{9DBD2118-584C-4E41-8BF7-CF8C52191CDE}">
      <text>
        <r>
          <rPr>
            <sz val="9"/>
            <color indexed="81"/>
            <rFont val="Tahoma"/>
            <family val="2"/>
          </rPr>
          <t>Datos iniciales</t>
        </r>
      </text>
    </comment>
    <comment ref="AI15" authorId="2" shapeId="0" xr:uid="{73A9C70C-C4CA-46BE-901C-8F4C695B7D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 authorId="2" shapeId="0" xr:uid="{793AC290-0B6B-4EEE-91EA-5390DA487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6" authorId="2" shapeId="0" xr:uid="{1D073712-A451-40E1-8F46-5515A930BC11}">
      <text>
        <r>
          <rPr>
            <sz val="9"/>
            <color indexed="81"/>
            <rFont val="Tahoma"/>
            <family val="2"/>
          </rPr>
          <t>Réplica del anterior. 
En esta columna se encuentran los resultados incluyendo solamente las actividades programadas por las áreas para el periodo objeto de medición.</t>
        </r>
      </text>
    </comment>
    <comment ref="T16" authorId="2" shapeId="0" xr:uid="{4B71048C-F9E3-4638-9C07-98EE701CEAAF}">
      <text>
        <r>
          <rPr>
            <sz val="9"/>
            <color indexed="81"/>
            <rFont val="Tahoma"/>
            <family val="2"/>
          </rPr>
          <t>Datos iniciales</t>
        </r>
      </text>
    </comment>
    <comment ref="U16" authorId="2" shapeId="0" xr:uid="{31971EEC-C545-4C86-86E1-22AFD6573F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6" authorId="2" shapeId="0" xr:uid="{2CF8E876-441F-4642-8B49-DD75D45A920B}">
      <text>
        <r>
          <rPr>
            <sz val="9"/>
            <color indexed="81"/>
            <rFont val="Tahoma"/>
            <family val="2"/>
          </rPr>
          <t>Réplica del anterior. 
En esta columna se encuentran los resultados incluyendo solamente las actividades programadas por las áreas para el periodo objeto de medición.</t>
        </r>
      </text>
    </comment>
    <comment ref="AA16" authorId="2" shapeId="0" xr:uid="{AD287D18-C47E-4BD7-B034-7BF0842BDE9C}">
      <text>
        <r>
          <rPr>
            <sz val="9"/>
            <color indexed="81"/>
            <rFont val="Tahoma"/>
            <family val="2"/>
          </rPr>
          <t>Datos iniciales</t>
        </r>
      </text>
    </comment>
    <comment ref="AB16" authorId="2" shapeId="0" xr:uid="{E12FB097-93D1-4827-A4DB-9111C30909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6" authorId="2" shapeId="0" xr:uid="{85EBD56B-0F10-4EA2-8CC7-397457729645}">
      <text>
        <r>
          <rPr>
            <sz val="9"/>
            <color indexed="81"/>
            <rFont val="Tahoma"/>
            <family val="2"/>
          </rPr>
          <t>Réplica del anterior. 
En esta columna se encuentran los resultados incluyendo solamente las actividades programadas por las áreas para el periodo objeto de medición.</t>
        </r>
      </text>
    </comment>
    <comment ref="AH16" authorId="2" shapeId="0" xr:uid="{0D51B18F-2864-40BC-BDF5-A7A299CC9039}">
      <text>
        <r>
          <rPr>
            <sz val="9"/>
            <color indexed="81"/>
            <rFont val="Tahoma"/>
            <family val="2"/>
          </rPr>
          <t>Datos iniciales</t>
        </r>
      </text>
    </comment>
    <comment ref="AI16" authorId="2" shapeId="0" xr:uid="{D46AB779-1991-429E-B347-21E7845634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 authorId="2" shapeId="0" xr:uid="{EFF676EB-E649-4A8F-ACDD-6126DE61E0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7" authorId="2" shapeId="0" xr:uid="{F26A5791-17CD-4E50-BACC-AF0C36C6D1A5}">
      <text>
        <r>
          <rPr>
            <sz val="9"/>
            <color indexed="81"/>
            <rFont val="Tahoma"/>
            <family val="2"/>
          </rPr>
          <t>Réplica del anterior. 
En esta columna se encuentran los resultados incluyendo solamente las actividades programadas por las áreas para el periodo objeto de medición.</t>
        </r>
      </text>
    </comment>
    <comment ref="T17" authorId="2" shapeId="0" xr:uid="{071EDDE7-AF15-48B9-8ECB-49AC12E62354}">
      <text>
        <r>
          <rPr>
            <sz val="9"/>
            <color indexed="81"/>
            <rFont val="Tahoma"/>
            <family val="2"/>
          </rPr>
          <t>Datos iniciales</t>
        </r>
      </text>
    </comment>
    <comment ref="U17" authorId="2" shapeId="0" xr:uid="{5354A48E-6D5D-485C-90E3-D1B0BAC33B6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 authorId="2" shapeId="0" xr:uid="{C64882EF-68F9-4A60-B555-01129E2E2536}">
      <text>
        <r>
          <rPr>
            <sz val="9"/>
            <color indexed="81"/>
            <rFont val="Tahoma"/>
            <family val="2"/>
          </rPr>
          <t>Réplica del anterior. 
En esta columna se encuentran los resultados incluyendo solamente las actividades programadas por las áreas para el periodo objeto de medición.</t>
        </r>
      </text>
    </comment>
    <comment ref="AA17" authorId="2" shapeId="0" xr:uid="{5B20227D-8E49-43B0-A24D-FF4DC0CE04C7}">
      <text>
        <r>
          <rPr>
            <sz val="9"/>
            <color indexed="81"/>
            <rFont val="Tahoma"/>
            <family val="2"/>
          </rPr>
          <t>Datos iniciales</t>
        </r>
      </text>
    </comment>
    <comment ref="AB17" authorId="2" shapeId="0" xr:uid="{4766F5D0-BCE6-47AB-A1D6-5F877F2104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 authorId="2" shapeId="0" xr:uid="{4233982E-B589-4B2A-AAE9-BF26955BC612}">
      <text>
        <r>
          <rPr>
            <sz val="9"/>
            <color indexed="81"/>
            <rFont val="Tahoma"/>
            <family val="2"/>
          </rPr>
          <t>Réplica del anterior. 
En esta columna se encuentran los resultados incluyendo solamente las actividades programadas por las áreas para el periodo objeto de medición.</t>
        </r>
      </text>
    </comment>
    <comment ref="AH17" authorId="2" shapeId="0" xr:uid="{0D64CD40-1E1D-478A-A559-0419BAA1DBAC}">
      <text>
        <r>
          <rPr>
            <sz val="9"/>
            <color indexed="81"/>
            <rFont val="Tahoma"/>
            <family val="2"/>
          </rPr>
          <t>Datos iniciales</t>
        </r>
      </text>
    </comment>
    <comment ref="AI17" authorId="2" shapeId="0" xr:uid="{4DE1296F-6CC7-4F92-B2E1-043AE92EB9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 authorId="2" shapeId="0" xr:uid="{0A996FDD-984D-4A28-9253-76B8A29BE7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8" authorId="2" shapeId="0" xr:uid="{F7CD3348-CB95-4845-A9EE-5550A9B3D062}">
      <text>
        <r>
          <rPr>
            <sz val="9"/>
            <color indexed="81"/>
            <rFont val="Tahoma"/>
            <family val="2"/>
          </rPr>
          <t>Réplica del anterior. 
En esta columna se encuentran los resultados incluyendo solamente las actividades programadas por las áreas para el periodo objeto de medición.</t>
        </r>
      </text>
    </comment>
    <comment ref="T18" authorId="2" shapeId="0" xr:uid="{A910ED2A-976F-4DA5-97D5-9B2018441005}">
      <text>
        <r>
          <rPr>
            <sz val="9"/>
            <color indexed="81"/>
            <rFont val="Tahoma"/>
            <family val="2"/>
          </rPr>
          <t>Datos iniciales</t>
        </r>
      </text>
    </comment>
    <comment ref="U18" authorId="2" shapeId="0" xr:uid="{D9C4A9E4-853D-4868-AC29-E820525379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 authorId="2" shapeId="0" xr:uid="{95FAB7B1-1ED3-41F4-AFC7-13A9F1BE587A}">
      <text>
        <r>
          <rPr>
            <sz val="9"/>
            <color indexed="81"/>
            <rFont val="Tahoma"/>
            <family val="2"/>
          </rPr>
          <t>Réplica del anterior. 
En esta columna se encuentran los resultados incluyendo solamente las actividades programadas por las áreas para el periodo objeto de medición.</t>
        </r>
      </text>
    </comment>
    <comment ref="AA18" authorId="2" shapeId="0" xr:uid="{C768B23D-5B66-4864-BE57-443C01CDE87B}">
      <text>
        <r>
          <rPr>
            <sz val="9"/>
            <color indexed="81"/>
            <rFont val="Tahoma"/>
            <family val="2"/>
          </rPr>
          <t>Datos iniciales</t>
        </r>
      </text>
    </comment>
    <comment ref="AB18" authorId="2" shapeId="0" xr:uid="{C6F2613C-A94A-48C9-A073-51F24CA1757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8" authorId="2" shapeId="0" xr:uid="{56E147B9-5D1C-4B87-83E6-5A86EFCB776F}">
      <text>
        <r>
          <rPr>
            <sz val="9"/>
            <color indexed="81"/>
            <rFont val="Tahoma"/>
            <family val="2"/>
          </rPr>
          <t>Réplica del anterior. 
En esta columna se encuentran los resultados incluyendo solamente las actividades programadas por las áreas para el periodo objeto de medición.</t>
        </r>
      </text>
    </comment>
    <comment ref="AH18" authorId="2" shapeId="0" xr:uid="{C9DA63B3-A1C2-4872-B8C9-D40382AF7D4F}">
      <text>
        <r>
          <rPr>
            <sz val="9"/>
            <color indexed="81"/>
            <rFont val="Tahoma"/>
            <family val="2"/>
          </rPr>
          <t>Datos iniciales</t>
        </r>
      </text>
    </comment>
    <comment ref="AI18" authorId="2" shapeId="0" xr:uid="{C60E286C-9DB0-4600-8E3D-0FDC2FE712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 authorId="2" shapeId="0" xr:uid="{5DF4EA8F-258A-47BF-8E7D-2440CA83DA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2" authorId="2" shapeId="0" xr:uid="{80AC15A8-7340-463F-8EAA-46F73BA5D0F9}">
      <text>
        <r>
          <rPr>
            <sz val="9"/>
            <color indexed="81"/>
            <rFont val="Tahoma"/>
            <family val="2"/>
          </rPr>
          <t>Réplica del anterior. 
En esta columna se encuentran los resultados incluyendo solamente las actividades programadas por las áreas para el periodo objeto de medición.</t>
        </r>
      </text>
    </comment>
    <comment ref="T22" authorId="2" shapeId="0" xr:uid="{0DC44506-865C-42C4-8F4B-B396422E9F2C}">
      <text>
        <r>
          <rPr>
            <sz val="9"/>
            <color indexed="81"/>
            <rFont val="Tahoma"/>
            <family val="2"/>
          </rPr>
          <t>Datos iniciales</t>
        </r>
      </text>
    </comment>
    <comment ref="U22" authorId="2" shapeId="0" xr:uid="{DE77544C-0C52-4C7B-A823-D480C2B1D5A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2" authorId="2" shapeId="0" xr:uid="{E756B767-7E6C-446C-B912-500A71EBC358}">
      <text>
        <r>
          <rPr>
            <sz val="9"/>
            <color indexed="81"/>
            <rFont val="Tahoma"/>
            <family val="2"/>
          </rPr>
          <t>Réplica del anterior. 
En esta columna se encuentran los resultados incluyendo solamente las actividades programadas por las áreas para el periodo objeto de medición.</t>
        </r>
      </text>
    </comment>
    <comment ref="AA22" authorId="2" shapeId="0" xr:uid="{EC79F0DA-B8CD-420A-BB85-D73B2A51BDC2}">
      <text>
        <r>
          <rPr>
            <sz val="9"/>
            <color indexed="81"/>
            <rFont val="Tahoma"/>
            <family val="2"/>
          </rPr>
          <t>Datos iniciales</t>
        </r>
      </text>
    </comment>
    <comment ref="AB22" authorId="2" shapeId="0" xr:uid="{2C2F78FB-9700-42C6-8FE1-461AAD205D9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2" authorId="2" shapeId="0" xr:uid="{E5210E70-7800-43CD-9116-BF08CD8B7BE8}">
      <text>
        <r>
          <rPr>
            <sz val="9"/>
            <color indexed="81"/>
            <rFont val="Tahoma"/>
            <family val="2"/>
          </rPr>
          <t>Réplica del anterior. 
En esta columna se encuentran los resultados incluyendo solamente las actividades programadas por las áreas para el periodo objeto de medición.</t>
        </r>
      </text>
    </comment>
    <comment ref="AH22" authorId="2" shapeId="0" xr:uid="{62351438-0161-42C4-AFED-613BA6C2FE9F}">
      <text>
        <r>
          <rPr>
            <sz val="9"/>
            <color indexed="81"/>
            <rFont val="Tahoma"/>
            <family val="2"/>
          </rPr>
          <t>Datos iniciales</t>
        </r>
      </text>
    </comment>
    <comment ref="AI22" authorId="2" shapeId="0" xr:uid="{87F5656F-E41E-41EE-A8D2-A231483306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 authorId="2" shapeId="0" xr:uid="{3DE21FAA-1F4D-46C7-8404-77D7B1DE08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3" authorId="2" shapeId="0" xr:uid="{37982216-BE56-4408-82BE-5AEAAAA83D86}">
      <text>
        <r>
          <rPr>
            <sz val="9"/>
            <color indexed="81"/>
            <rFont val="Tahoma"/>
            <family val="2"/>
          </rPr>
          <t>Réplica del anterior. 
En esta columna se encuentran los resultados incluyendo solamente las actividades programadas por las áreas para el periodo objeto de medición.</t>
        </r>
      </text>
    </comment>
    <comment ref="T23" authorId="2" shapeId="0" xr:uid="{F33ADD9E-FF0D-46B1-8902-B9E4D45D77D7}">
      <text>
        <r>
          <rPr>
            <sz val="9"/>
            <color indexed="81"/>
            <rFont val="Tahoma"/>
            <family val="2"/>
          </rPr>
          <t>Datos iniciales</t>
        </r>
      </text>
    </comment>
    <comment ref="U23" authorId="2" shapeId="0" xr:uid="{5DE7564E-B40D-445C-9A2A-A0671BA13A9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3" authorId="2" shapeId="0" xr:uid="{AA6E477F-8230-4B87-A837-390065A75B09}">
      <text>
        <r>
          <rPr>
            <sz val="9"/>
            <color indexed="81"/>
            <rFont val="Tahoma"/>
            <family val="2"/>
          </rPr>
          <t>Réplica del anterior. 
En esta columna se encuentran los resultados incluyendo solamente las actividades programadas por las áreas para el periodo objeto de medición.</t>
        </r>
      </text>
    </comment>
    <comment ref="AA23" authorId="2" shapeId="0" xr:uid="{99586C79-0BC9-4831-859F-9E722DFC2B6D}">
      <text>
        <r>
          <rPr>
            <sz val="9"/>
            <color indexed="81"/>
            <rFont val="Tahoma"/>
            <family val="2"/>
          </rPr>
          <t>Datos iniciales</t>
        </r>
      </text>
    </comment>
    <comment ref="AB23" authorId="2" shapeId="0" xr:uid="{3DE3891E-E9B1-4B2B-B4FF-397F767722C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3" authorId="2" shapeId="0" xr:uid="{A95EA660-E27C-4E0A-9E46-05ED481E8EC4}">
      <text>
        <r>
          <rPr>
            <sz val="9"/>
            <color indexed="81"/>
            <rFont val="Tahoma"/>
            <family val="2"/>
          </rPr>
          <t>Réplica del anterior. 
En esta columna se encuentran los resultados incluyendo solamente las actividades programadas por las áreas para el periodo objeto de medición.</t>
        </r>
      </text>
    </comment>
    <comment ref="AH23" authorId="2" shapeId="0" xr:uid="{D78B2D4D-E329-4C48-9D4A-8595B08337BD}">
      <text>
        <r>
          <rPr>
            <sz val="9"/>
            <color indexed="81"/>
            <rFont val="Tahoma"/>
            <family val="2"/>
          </rPr>
          <t>Datos iniciales</t>
        </r>
      </text>
    </comment>
    <comment ref="AI23" authorId="2" shapeId="0" xr:uid="{AC8B8655-A760-41EF-80F9-4E8CC2C7CF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 authorId="2" shapeId="0" xr:uid="{9448E416-4F59-4F4E-87A9-C71A8F23274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4" authorId="2" shapeId="0" xr:uid="{33AF954F-E475-444F-BB40-E1C3CC2EA61C}">
      <text>
        <r>
          <rPr>
            <sz val="9"/>
            <color indexed="81"/>
            <rFont val="Tahoma"/>
            <family val="2"/>
          </rPr>
          <t>Réplica del anterior. 
En esta columna se encuentran los resultados incluyendo solamente las actividades programadas por las áreas para el periodo objeto de medición.</t>
        </r>
      </text>
    </comment>
    <comment ref="T24" authorId="2" shapeId="0" xr:uid="{B3C929D4-6F24-4D6E-8712-3BD1E4C479DC}">
      <text>
        <r>
          <rPr>
            <sz val="9"/>
            <color indexed="81"/>
            <rFont val="Tahoma"/>
            <family val="2"/>
          </rPr>
          <t>Datos iniciales</t>
        </r>
      </text>
    </comment>
    <comment ref="U24" authorId="2" shapeId="0" xr:uid="{2287E46B-0665-45B9-BDE0-61E098B72A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4" authorId="2" shapeId="0" xr:uid="{F0FEDDFB-5293-4881-9561-3527A16FA2EE}">
      <text>
        <r>
          <rPr>
            <sz val="9"/>
            <color indexed="81"/>
            <rFont val="Tahoma"/>
            <family val="2"/>
          </rPr>
          <t>Réplica del anterior. 
En esta columna se encuentran los resultados incluyendo solamente las actividades programadas por las áreas para el periodo objeto de medición.</t>
        </r>
      </text>
    </comment>
    <comment ref="AA24" authorId="2" shapeId="0" xr:uid="{50E2DB61-1912-4CCD-BFA6-A04D0CD14E9B}">
      <text>
        <r>
          <rPr>
            <sz val="9"/>
            <color indexed="81"/>
            <rFont val="Tahoma"/>
            <family val="2"/>
          </rPr>
          <t>Datos iniciales</t>
        </r>
      </text>
    </comment>
    <comment ref="AB24" authorId="2" shapeId="0" xr:uid="{EA5B160E-51BD-4C0E-87E2-4604D8BFF1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4" authorId="2" shapeId="0" xr:uid="{45623114-1703-45AC-9E2D-911801CE0DBF}">
      <text>
        <r>
          <rPr>
            <sz val="9"/>
            <color indexed="81"/>
            <rFont val="Tahoma"/>
            <family val="2"/>
          </rPr>
          <t>Réplica del anterior. 
En esta columna se encuentran los resultados incluyendo solamente las actividades programadas por las áreas para el periodo objeto de medición.</t>
        </r>
      </text>
    </comment>
    <comment ref="AH24" authorId="2" shapeId="0" xr:uid="{63E06313-46FA-4C26-B083-AFB362804A69}">
      <text>
        <r>
          <rPr>
            <sz val="9"/>
            <color indexed="81"/>
            <rFont val="Tahoma"/>
            <family val="2"/>
          </rPr>
          <t>Datos iniciales</t>
        </r>
      </text>
    </comment>
    <comment ref="AI24" authorId="2" shapeId="0" xr:uid="{07958427-2CB1-40D9-8ADD-E32F6C1C3D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 authorId="2" shapeId="0" xr:uid="{DE5D369F-536D-4F17-9EC7-CF68B8595C1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5" authorId="2" shapeId="0" xr:uid="{6D00D751-4F0D-4765-972B-05B32853A285}">
      <text>
        <r>
          <rPr>
            <sz val="9"/>
            <color indexed="81"/>
            <rFont val="Tahoma"/>
            <family val="2"/>
          </rPr>
          <t>Réplica del anterior. 
En esta columna se encuentran los resultados incluyendo solamente las actividades programadas por las áreas para el periodo objeto de medición.</t>
        </r>
      </text>
    </comment>
    <comment ref="T25" authorId="2" shapeId="0" xr:uid="{63C56318-DC9F-4D60-B5F9-95D4C0A4D42D}">
      <text>
        <r>
          <rPr>
            <sz val="9"/>
            <color indexed="81"/>
            <rFont val="Tahoma"/>
            <family val="2"/>
          </rPr>
          <t>Datos iniciales</t>
        </r>
      </text>
    </comment>
    <comment ref="U25" authorId="2" shapeId="0" xr:uid="{C951D7AC-499A-439B-9B85-CC733450B4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5" authorId="2" shapeId="0" xr:uid="{69CF4EF6-594F-4716-8284-BB3546E88C16}">
      <text>
        <r>
          <rPr>
            <sz val="9"/>
            <color indexed="81"/>
            <rFont val="Tahoma"/>
            <family val="2"/>
          </rPr>
          <t>Réplica del anterior. 
En esta columna se encuentran los resultados incluyendo solamente las actividades programadas por las áreas para el periodo objeto de medición.</t>
        </r>
      </text>
    </comment>
    <comment ref="AA25" authorId="2" shapeId="0" xr:uid="{01CEF046-70B9-4170-96B2-8C42B756E019}">
      <text>
        <r>
          <rPr>
            <sz val="9"/>
            <color indexed="81"/>
            <rFont val="Tahoma"/>
            <family val="2"/>
          </rPr>
          <t>Datos iniciales</t>
        </r>
      </text>
    </comment>
    <comment ref="AB25" authorId="2" shapeId="0" xr:uid="{B8FD1703-B783-4C0D-9851-7CD658DA05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5" authorId="2" shapeId="0" xr:uid="{C1BA84DB-3235-4EC1-B9D4-2B9B75678E23}">
      <text>
        <r>
          <rPr>
            <sz val="9"/>
            <color indexed="81"/>
            <rFont val="Tahoma"/>
            <family val="2"/>
          </rPr>
          <t>Réplica del anterior. 
En esta columna se encuentran los resultados incluyendo solamente las actividades programadas por las áreas para el periodo objeto de medición.</t>
        </r>
      </text>
    </comment>
    <comment ref="AH25" authorId="2" shapeId="0" xr:uid="{C4BBD60C-DA28-4678-8447-D3E9C769F6DA}">
      <text>
        <r>
          <rPr>
            <sz val="9"/>
            <color indexed="81"/>
            <rFont val="Tahoma"/>
            <family val="2"/>
          </rPr>
          <t>Datos iniciales</t>
        </r>
      </text>
    </comment>
    <comment ref="AI25" authorId="2" shapeId="0" xr:uid="{3055CDA2-9775-46BC-9102-70C3ABED95B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 authorId="2" shapeId="0" xr:uid="{66F1E64E-1A32-463C-9617-0F9ED35BA7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6" authorId="2" shapeId="0" xr:uid="{0AE0A2DB-EF75-452A-BE12-1BF19336416C}">
      <text>
        <r>
          <rPr>
            <sz val="9"/>
            <color indexed="81"/>
            <rFont val="Tahoma"/>
            <family val="2"/>
          </rPr>
          <t>Réplica del anterior. 
En esta columna se encuentran los resultados incluyendo solamente las actividades programadas por las áreas para el periodo objeto de medición.</t>
        </r>
      </text>
    </comment>
    <comment ref="T26" authorId="2" shapeId="0" xr:uid="{E62411AD-A64D-4B11-A738-A76C5B9BE84F}">
      <text>
        <r>
          <rPr>
            <sz val="9"/>
            <color indexed="81"/>
            <rFont val="Tahoma"/>
            <family val="2"/>
          </rPr>
          <t>Datos iniciales</t>
        </r>
      </text>
    </comment>
    <comment ref="U26" authorId="2" shapeId="0" xr:uid="{EF92EB76-3A3E-4214-9E69-B03532159E5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6" authorId="2" shapeId="0" xr:uid="{A364695D-822F-4E16-B174-4A92AE821105}">
      <text>
        <r>
          <rPr>
            <sz val="9"/>
            <color indexed="81"/>
            <rFont val="Tahoma"/>
            <family val="2"/>
          </rPr>
          <t>Réplica del anterior. 
En esta columna se encuentran los resultados incluyendo solamente las actividades programadas por las áreas para el periodo objeto de medición.</t>
        </r>
      </text>
    </comment>
    <comment ref="AA26" authorId="2" shapeId="0" xr:uid="{62533468-21B5-4A8E-8581-869F58FBE567}">
      <text>
        <r>
          <rPr>
            <sz val="9"/>
            <color indexed="81"/>
            <rFont val="Tahoma"/>
            <family val="2"/>
          </rPr>
          <t>Datos iniciales</t>
        </r>
      </text>
    </comment>
    <comment ref="AB26" authorId="2" shapeId="0" xr:uid="{ACAFF105-C779-4DF1-95F9-7841EFDF9E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6" authorId="2" shapeId="0" xr:uid="{E2A94EDD-AF7E-4881-9703-27DBE81EED0E}">
      <text>
        <r>
          <rPr>
            <sz val="9"/>
            <color indexed="81"/>
            <rFont val="Tahoma"/>
            <family val="2"/>
          </rPr>
          <t>Réplica del anterior. 
En esta columna se encuentran los resultados incluyendo solamente las actividades programadas por las áreas para el periodo objeto de medición.</t>
        </r>
      </text>
    </comment>
    <comment ref="AH26" authorId="2" shapeId="0" xr:uid="{862388D6-6D82-49C1-9D89-C1C69D4AED72}">
      <text>
        <r>
          <rPr>
            <sz val="9"/>
            <color indexed="81"/>
            <rFont val="Tahoma"/>
            <family val="2"/>
          </rPr>
          <t>Datos iniciales</t>
        </r>
      </text>
    </comment>
    <comment ref="AI26" authorId="2" shapeId="0" xr:uid="{D7E7CB65-3BDC-44F9-9662-9BB71BDFF1E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 authorId="2" shapeId="0" xr:uid="{897551D6-7813-43EF-80A9-99C3FCCD66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7" authorId="2" shapeId="0" xr:uid="{60AAF8ED-6F98-46CE-95F8-4A522DAF9BCB}">
      <text>
        <r>
          <rPr>
            <sz val="9"/>
            <color indexed="81"/>
            <rFont val="Tahoma"/>
            <family val="2"/>
          </rPr>
          <t>Réplica del anterior. 
En esta columna se encuentran los resultados incluyendo solamente las actividades programadas por las áreas para el periodo objeto de medición.</t>
        </r>
      </text>
    </comment>
    <comment ref="T27" authorId="2" shapeId="0" xr:uid="{D9C42474-04D9-41B8-A8EB-DA19FD88B413}">
      <text>
        <r>
          <rPr>
            <sz val="9"/>
            <color indexed="81"/>
            <rFont val="Tahoma"/>
            <family val="2"/>
          </rPr>
          <t>Datos iniciales</t>
        </r>
      </text>
    </comment>
    <comment ref="U27" authorId="2" shapeId="0" xr:uid="{553B925F-94BC-4813-938C-95792C385C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7" authorId="2" shapeId="0" xr:uid="{0CBEB66C-E814-493F-A7C2-2266826392B9}">
      <text>
        <r>
          <rPr>
            <sz val="9"/>
            <color indexed="81"/>
            <rFont val="Tahoma"/>
            <family val="2"/>
          </rPr>
          <t>Réplica del anterior. 
En esta columna se encuentran los resultados incluyendo solamente las actividades programadas por las áreas para el periodo objeto de medición.</t>
        </r>
      </text>
    </comment>
    <comment ref="AA27" authorId="2" shapeId="0" xr:uid="{FB514928-E71E-46F2-A1B4-BBCA325C0F5A}">
      <text>
        <r>
          <rPr>
            <sz val="9"/>
            <color indexed="81"/>
            <rFont val="Tahoma"/>
            <family val="2"/>
          </rPr>
          <t>Datos iniciales</t>
        </r>
      </text>
    </comment>
    <comment ref="AB27" authorId="2" shapeId="0" xr:uid="{363069D0-3046-49DB-8DB5-9C3B6BD82EE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7" authorId="2" shapeId="0" xr:uid="{AF3C0A9A-6B46-4D9C-8C21-A3AA47828D74}">
      <text>
        <r>
          <rPr>
            <sz val="9"/>
            <color indexed="81"/>
            <rFont val="Tahoma"/>
            <family val="2"/>
          </rPr>
          <t>Réplica del anterior. 
En esta columna se encuentran los resultados incluyendo solamente las actividades programadas por las áreas para el periodo objeto de medición.</t>
        </r>
      </text>
    </comment>
    <comment ref="AH27" authorId="2" shapeId="0" xr:uid="{F59EF26E-5455-459F-A5AC-12045FF13A81}">
      <text>
        <r>
          <rPr>
            <sz val="9"/>
            <color indexed="81"/>
            <rFont val="Tahoma"/>
            <family val="2"/>
          </rPr>
          <t>Datos iniciales</t>
        </r>
      </text>
    </comment>
    <comment ref="AI27" authorId="2" shapeId="0" xr:uid="{E4621AA7-195E-4F98-91B4-015CFD855B6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 authorId="2" shapeId="0" xr:uid="{7AA94662-78E0-4E5E-A14C-E1D4F16E6E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8" authorId="2" shapeId="0" xr:uid="{CF665230-D32A-4D37-BDB8-47522AA3D649}">
      <text>
        <r>
          <rPr>
            <sz val="9"/>
            <color indexed="81"/>
            <rFont val="Tahoma"/>
            <family val="2"/>
          </rPr>
          <t>Réplica del anterior. 
En esta columna se encuentran los resultados incluyendo solamente las actividades programadas por las áreas para el periodo objeto de medición.</t>
        </r>
      </text>
    </comment>
    <comment ref="T28" authorId="2" shapeId="0" xr:uid="{F35D0D4D-1D9C-4270-A441-32C5F3619182}">
      <text>
        <r>
          <rPr>
            <sz val="9"/>
            <color indexed="81"/>
            <rFont val="Tahoma"/>
            <family val="2"/>
          </rPr>
          <t>Datos iniciales</t>
        </r>
      </text>
    </comment>
    <comment ref="U28" authorId="2" shapeId="0" xr:uid="{ECBC96E3-1A2F-4A99-A552-040758E6741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28" authorId="2" shapeId="0" xr:uid="{D2CF731C-6450-489E-9158-5A7BE04568B0}">
      <text>
        <r>
          <rPr>
            <sz val="9"/>
            <color indexed="81"/>
            <rFont val="Tahoma"/>
            <family val="2"/>
          </rPr>
          <t>Réplica del anterior. 
En esta columna se encuentran los resultados incluyendo solamente las actividades programadas por las áreas para el periodo objeto de medición.</t>
        </r>
      </text>
    </comment>
    <comment ref="AA28" authorId="2" shapeId="0" xr:uid="{2AD5FF00-6D68-4641-9D3A-8607352B65EE}">
      <text>
        <r>
          <rPr>
            <sz val="9"/>
            <color indexed="81"/>
            <rFont val="Tahoma"/>
            <family val="2"/>
          </rPr>
          <t>Datos iniciales</t>
        </r>
      </text>
    </comment>
    <comment ref="AB28" authorId="2" shapeId="0" xr:uid="{93005507-CAB5-4D4C-843D-4D81E08FA4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28" authorId="2" shapeId="0" xr:uid="{A3388146-5C83-49FC-BBCC-DFD24CBB07FC}">
      <text>
        <r>
          <rPr>
            <sz val="9"/>
            <color indexed="81"/>
            <rFont val="Tahoma"/>
            <family val="2"/>
          </rPr>
          <t>Réplica del anterior. 
En esta columna se encuentran los resultados incluyendo solamente las actividades programadas por las áreas para el periodo objeto de medición.</t>
        </r>
      </text>
    </comment>
    <comment ref="AH28" authorId="2" shapeId="0" xr:uid="{4645BFD6-E12B-48C6-B9C6-9A6EC29F8A10}">
      <text>
        <r>
          <rPr>
            <sz val="9"/>
            <color indexed="81"/>
            <rFont val="Tahoma"/>
            <family val="2"/>
          </rPr>
          <t>Datos iniciales</t>
        </r>
      </text>
    </comment>
    <comment ref="AI28" authorId="2" shapeId="0" xr:uid="{0B0ADADB-304E-429D-9820-8F3A0DC40B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 authorId="2" shapeId="0" xr:uid="{1EE86376-9D84-4273-A972-299FD260C0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29" authorId="2" shapeId="0" xr:uid="{0DDD23A6-6E99-459A-8AB5-23178F93107D}">
      <text>
        <r>
          <rPr>
            <sz val="9"/>
            <color indexed="81"/>
            <rFont val="Tahoma"/>
            <family val="2"/>
          </rPr>
          <t>Réplica del anterior. 
En esta columna se encuentran los resultados incluyendo solamente las actividades programadas por las áreas para el periodo objeto de medición.</t>
        </r>
      </text>
    </comment>
    <comment ref="V29" authorId="2" shapeId="0" xr:uid="{A905D698-C8E6-4E59-B172-037CFA1F7230}">
      <text>
        <r>
          <rPr>
            <sz val="9"/>
            <color indexed="81"/>
            <rFont val="Tahoma"/>
            <family val="2"/>
          </rPr>
          <t>Réplica del anterior. 
En esta columna se encuentran los resultados incluyendo solamente las actividades programadas por las áreas para el periodo objeto de medición.</t>
        </r>
      </text>
    </comment>
    <comment ref="AC29" authorId="2" shapeId="0" xr:uid="{E5B03C94-98C4-4EC1-AA5E-522F03A4B97D}">
      <text>
        <r>
          <rPr>
            <sz val="9"/>
            <color indexed="81"/>
            <rFont val="Tahoma"/>
            <family val="2"/>
          </rPr>
          <t>Réplica del anterior. 
En esta columna se encuentran los resultados incluyendo solamente las actividades programadas por las áreas para el periodo objeto de medición.</t>
        </r>
      </text>
    </comment>
    <comment ref="N30" authorId="2" shapeId="0" xr:uid="{EA1A3098-042C-4750-A6F6-B6A6BB13C58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0" authorId="2" shapeId="0" xr:uid="{DE9DF3AB-2D74-4740-8CD7-15537617ABD7}">
      <text>
        <r>
          <rPr>
            <sz val="9"/>
            <color indexed="81"/>
            <rFont val="Tahoma"/>
            <family val="2"/>
          </rPr>
          <t>Réplica del anterior. 
En esta columna se encuentran los resultados incluyendo solamente las actividades programadas por las áreas para el periodo objeto de medición.</t>
        </r>
      </text>
    </comment>
    <comment ref="V30" authorId="2" shapeId="0" xr:uid="{BA84896D-28CF-4C19-B559-761E4F19BD7D}">
      <text>
        <r>
          <rPr>
            <sz val="9"/>
            <color indexed="81"/>
            <rFont val="Tahoma"/>
            <family val="2"/>
          </rPr>
          <t>Réplica del anterior. 
En esta columna se encuentran los resultados incluyendo solamente las actividades programadas por las áreas para el periodo objeto de medición.</t>
        </r>
      </text>
    </comment>
    <comment ref="AC30" authorId="2" shapeId="0" xr:uid="{11037F6E-8796-4AEF-9C96-01A1FD3CCB3C}">
      <text>
        <r>
          <rPr>
            <sz val="9"/>
            <color indexed="81"/>
            <rFont val="Tahoma"/>
            <family val="2"/>
          </rPr>
          <t>Réplica del anterior. 
En esta columna se encuentran los resultados incluyendo solamente las actividades programadas por las áreas para el periodo objeto de medición.</t>
        </r>
      </text>
    </comment>
    <comment ref="O31" authorId="2" shapeId="0" xr:uid="{16E29D04-3536-41FF-A25D-9D703C216104}">
      <text>
        <r>
          <rPr>
            <sz val="9"/>
            <color indexed="81"/>
            <rFont val="Tahoma"/>
            <family val="2"/>
          </rPr>
          <t>Réplica del anterior. 
En esta columna se encuentran los resultados incluyendo solamente las actividades programadas por las áreas para el periodo objeto de medición.</t>
        </r>
      </text>
    </comment>
    <comment ref="V31" authorId="2" shapeId="0" xr:uid="{8C8B06A7-6ACB-4CD7-BA0B-04DDAA87B134}">
      <text>
        <r>
          <rPr>
            <sz val="9"/>
            <color indexed="81"/>
            <rFont val="Tahoma"/>
            <family val="2"/>
          </rPr>
          <t>Réplica del anterior. 
En esta columna se encuentran los resultados incluyendo solamente las actividades programadas por las áreas para el periodo objeto de medición.</t>
        </r>
      </text>
    </comment>
    <comment ref="AC31" authorId="2" shapeId="0" xr:uid="{6C2AD9BA-B3F0-41E3-B16D-833D49B42A68}">
      <text>
        <r>
          <rPr>
            <sz val="9"/>
            <color indexed="81"/>
            <rFont val="Tahoma"/>
            <family val="2"/>
          </rPr>
          <t>Réplica del anterior. 
En esta columna se encuentran los resultados incluyendo solamente las actividades programadas por las áreas para el periodo objeto de medición.</t>
        </r>
      </text>
    </comment>
    <comment ref="N34" authorId="2" shapeId="0" xr:uid="{AA400325-4B92-4FB5-AF15-0B57EAD6C4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4" authorId="2" shapeId="0" xr:uid="{C44527A5-F9D3-47BB-88CF-F71050A08502}">
      <text>
        <r>
          <rPr>
            <sz val="9"/>
            <color indexed="81"/>
            <rFont val="Tahoma"/>
            <family val="2"/>
          </rPr>
          <t>Réplica del anterior. 
En esta columna se encuentran los resultados incluyendo solamente las actividades programadas por las áreas para el periodo objeto de medición.</t>
        </r>
      </text>
    </comment>
    <comment ref="V34" authorId="2" shapeId="0" xr:uid="{14B379BF-8CF0-4319-878D-0FF69D4F5C2D}">
      <text>
        <r>
          <rPr>
            <sz val="9"/>
            <color indexed="81"/>
            <rFont val="Tahoma"/>
            <family val="2"/>
          </rPr>
          <t>Réplica del anterior. 
En esta columna se encuentran los resultados incluyendo solamente las actividades programadas por las áreas para el periodo objeto de medición.</t>
        </r>
      </text>
    </comment>
    <comment ref="AC34" authorId="2" shapeId="0" xr:uid="{949DAC5B-8B90-45AD-A694-AED3D2041CA3}">
      <text>
        <r>
          <rPr>
            <sz val="9"/>
            <color indexed="81"/>
            <rFont val="Tahoma"/>
            <family val="2"/>
          </rPr>
          <t>Réplica del anterior. 
En esta columna se encuentran los resultados incluyendo solamente las actividades programadas por las áreas para el periodo objeto de medición.</t>
        </r>
      </text>
    </comment>
    <comment ref="N35" authorId="2" shapeId="0" xr:uid="{232673B0-7A59-4E0D-9F53-9F3A59C555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 authorId="2" shapeId="0" xr:uid="{41B46B4D-D30A-4023-A907-260D3693D1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6" authorId="2" shapeId="0" xr:uid="{B40756E3-7FCC-4078-9F56-8ECDE0BC1D0B}">
      <text>
        <r>
          <rPr>
            <sz val="9"/>
            <color indexed="81"/>
            <rFont val="Tahoma"/>
            <family val="2"/>
          </rPr>
          <t>Réplica del anterior. 
En esta columna se encuentran los resultados incluyendo solamente las actividades programadas por las áreas para el periodo objeto de medición.</t>
        </r>
      </text>
    </comment>
    <comment ref="V36" authorId="2" shapeId="0" xr:uid="{13BCCFB7-80F7-48F1-BB44-F8FF8827284E}">
      <text>
        <r>
          <rPr>
            <sz val="9"/>
            <color indexed="81"/>
            <rFont val="Tahoma"/>
            <family val="2"/>
          </rPr>
          <t>Réplica del anterior. 
En esta columna se encuentran los resultados incluyendo solamente las actividades programadas por las áreas para el periodo objeto de medición.</t>
        </r>
      </text>
    </comment>
    <comment ref="AC36" authorId="2" shapeId="0" xr:uid="{DC79E94A-53F0-448E-9854-3F71BB2A3149}">
      <text>
        <r>
          <rPr>
            <sz val="9"/>
            <color indexed="81"/>
            <rFont val="Tahoma"/>
            <family val="2"/>
          </rPr>
          <t>Réplica del anterior. 
En esta columna se encuentran los resultados incluyendo solamente las actividades programadas por las áreas para el periodo objeto de medición.</t>
        </r>
      </text>
    </comment>
    <comment ref="N37" authorId="2" shapeId="0" xr:uid="{F1EC4363-019A-457F-95C9-01E9C6642A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7" authorId="2" shapeId="0" xr:uid="{7E662732-9DFB-4718-9FAB-D2A7C34D82CD}">
      <text>
        <r>
          <rPr>
            <sz val="9"/>
            <color indexed="81"/>
            <rFont val="Tahoma"/>
            <family val="2"/>
          </rPr>
          <t>Réplica del anterior. 
En esta columna se encuentran los resultados incluyendo solamente las actividades programadas por las áreas para el periodo objeto de medición.</t>
        </r>
      </text>
    </comment>
    <comment ref="V37" authorId="2" shapeId="0" xr:uid="{A3AB29E0-81F8-4D00-BB8D-F660B82C45A9}">
      <text>
        <r>
          <rPr>
            <sz val="9"/>
            <color indexed="81"/>
            <rFont val="Tahoma"/>
            <family val="2"/>
          </rPr>
          <t>Réplica del anterior. 
En esta columna se encuentran los resultados incluyendo solamente las actividades programadas por las áreas para el periodo objeto de medición.</t>
        </r>
      </text>
    </comment>
    <comment ref="AC37" authorId="2" shapeId="0" xr:uid="{CDC66BEF-A377-4390-832F-8627EE814F5A}">
      <text>
        <r>
          <rPr>
            <sz val="9"/>
            <color indexed="81"/>
            <rFont val="Tahoma"/>
            <family val="2"/>
          </rPr>
          <t>Réplica del anterior. 
En esta columna se encuentran los resultados incluyendo solamente las actividades programadas por las áreas para el periodo objeto de medición.</t>
        </r>
      </text>
    </comment>
    <comment ref="N38" authorId="2" shapeId="0" xr:uid="{D3EE89F7-DF20-494F-B7D2-E6264E8C6D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8" authorId="2" shapeId="0" xr:uid="{C8BA3331-3B1B-44F0-BAF5-24C3A0CE7DC0}">
      <text>
        <r>
          <rPr>
            <sz val="9"/>
            <color indexed="81"/>
            <rFont val="Tahoma"/>
            <family val="2"/>
          </rPr>
          <t>Réplica del anterior. 
En esta columna se encuentran los resultados incluyendo solamente las actividades programadas por las áreas para el periodo objeto de medición.</t>
        </r>
      </text>
    </comment>
    <comment ref="V38" authorId="2" shapeId="0" xr:uid="{83659E78-1A8C-47F9-A436-B658225FDFDE}">
      <text>
        <r>
          <rPr>
            <sz val="9"/>
            <color indexed="81"/>
            <rFont val="Tahoma"/>
            <family val="2"/>
          </rPr>
          <t>Réplica del anterior. 
En esta columna se encuentran los resultados incluyendo solamente las actividades programadas por las áreas para el periodo objeto de medición.</t>
        </r>
      </text>
    </comment>
    <comment ref="AC38" authorId="2" shapeId="0" xr:uid="{93367ECC-80AE-43B6-9DE5-8B8385992BBF}">
      <text>
        <r>
          <rPr>
            <sz val="9"/>
            <color indexed="81"/>
            <rFont val="Tahoma"/>
            <family val="2"/>
          </rPr>
          <t>Réplica del anterior. 
En esta columna se encuentran los resultados incluyendo solamente las actividades programadas por las áreas para el periodo objeto de medición.</t>
        </r>
      </text>
    </comment>
    <comment ref="N39" authorId="2" shapeId="0" xr:uid="{11F78BFE-EC56-408B-84BB-51ACA67047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39" authorId="2" shapeId="0" xr:uid="{9B45C780-F066-413B-B542-4A2F2CACBB69}">
      <text>
        <r>
          <rPr>
            <sz val="9"/>
            <color indexed="81"/>
            <rFont val="Tahoma"/>
            <family val="2"/>
          </rPr>
          <t>Réplica del anterior. 
En esta columna se encuentran los resultados incluyendo solamente las actividades programadas por las áreas para el periodo objeto de medición.</t>
        </r>
      </text>
    </comment>
    <comment ref="V39" authorId="2" shapeId="0" xr:uid="{689D5649-B63E-4E36-A4FD-66CC5B915B37}">
      <text>
        <r>
          <rPr>
            <sz val="9"/>
            <color indexed="81"/>
            <rFont val="Tahoma"/>
            <family val="2"/>
          </rPr>
          <t>Réplica del anterior. 
En esta columna se encuentran los resultados incluyendo solamente las actividades programadas por las áreas para el periodo objeto de medición.</t>
        </r>
      </text>
    </comment>
    <comment ref="AC39" authorId="2" shapeId="0" xr:uid="{9CDDF0FD-0FA8-4DC1-96AA-25E0A24C5C48}">
      <text>
        <r>
          <rPr>
            <sz val="9"/>
            <color indexed="81"/>
            <rFont val="Tahoma"/>
            <family val="2"/>
          </rPr>
          <t>Réplica del anterior. 
En esta columna se encuentran los resultados incluyendo solamente las actividades programadas por las áreas para el periodo objeto de medición.</t>
        </r>
      </text>
    </comment>
    <comment ref="N40" authorId="2" shapeId="0" xr:uid="{ECDC78DE-F192-45E6-98B4-58D1B0B070D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40" authorId="2" shapeId="0" xr:uid="{702CC80C-54F2-4E33-8E5B-E55AF5188E9E}">
      <text>
        <r>
          <rPr>
            <sz val="9"/>
            <color indexed="81"/>
            <rFont val="Tahoma"/>
            <family val="2"/>
          </rPr>
          <t>Réplica del anterior. 
En esta columna se encuentran los resultados incluyendo solamente las actividades programadas por las áreas para el periodo objeto de medición.</t>
        </r>
      </text>
    </comment>
    <comment ref="AC40" authorId="2" shapeId="0" xr:uid="{13716FC2-E39E-48B5-9B3C-DA4D86001BA1}">
      <text>
        <r>
          <rPr>
            <sz val="9"/>
            <color indexed="81"/>
            <rFont val="Tahoma"/>
            <family val="2"/>
          </rPr>
          <t>Réplica del anterior. 
En esta columna se encuentran los resultados incluyendo solamente las actividades programadas por las áreas para el periodo objeto de medición.</t>
        </r>
      </text>
    </comment>
    <comment ref="N41" authorId="2" shapeId="0" xr:uid="{29CFE5C1-53C0-4E0D-A52E-F81CCD1994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1" authorId="2" shapeId="0" xr:uid="{48266109-BC0C-499F-BDC0-F3F56E65BCEF}">
      <text>
        <r>
          <rPr>
            <sz val="9"/>
            <color indexed="81"/>
            <rFont val="Tahoma"/>
            <family val="2"/>
          </rPr>
          <t>Réplica del anterior. 
En esta columna se encuentran los resultados incluyendo solamente las actividades programadas por las áreas para el periodo objeto de medición.</t>
        </r>
      </text>
    </comment>
    <comment ref="V41" authorId="2" shapeId="0" xr:uid="{E34107B9-5F3B-4CFF-8187-3FA6958DDE01}">
      <text>
        <r>
          <rPr>
            <sz val="9"/>
            <color indexed="81"/>
            <rFont val="Tahoma"/>
            <family val="2"/>
          </rPr>
          <t>Réplica del anterior. 
En esta columna se encuentran los resultados incluyendo solamente las actividades programadas por las áreas para el periodo objeto de medición.</t>
        </r>
      </text>
    </comment>
    <comment ref="AC41" authorId="2" shapeId="0" xr:uid="{F6705E23-531D-4A5F-B0F4-A7BB89F1075D}">
      <text>
        <r>
          <rPr>
            <sz val="9"/>
            <color indexed="81"/>
            <rFont val="Tahoma"/>
            <family val="2"/>
          </rPr>
          <t>Réplica del anterior. 
En esta columna se encuentran los resultados incluyendo solamente las actividades programadas por las áreas para el periodo objeto de medición.</t>
        </r>
      </text>
    </comment>
    <comment ref="N42" authorId="2" shapeId="0" xr:uid="{C869CBCA-1B8A-4D52-9A62-2CD04CB58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2" authorId="2" shapeId="0" xr:uid="{B31E6AE6-13BF-4C88-AE63-3193EE586433}">
      <text>
        <r>
          <rPr>
            <sz val="9"/>
            <color indexed="81"/>
            <rFont val="Tahoma"/>
            <family val="2"/>
          </rPr>
          <t>Réplica del anterior. 
En esta columna se encuentran los resultados incluyendo solamente las actividades programadas por las áreas para el periodo objeto de medición.</t>
        </r>
      </text>
    </comment>
    <comment ref="V42" authorId="2" shapeId="0" xr:uid="{C37134D7-DE44-40D6-8C63-8D7E5DBE7983}">
      <text>
        <r>
          <rPr>
            <sz val="9"/>
            <color indexed="81"/>
            <rFont val="Tahoma"/>
            <family val="2"/>
          </rPr>
          <t>Réplica del anterior. 
En esta columna se encuentran los resultados incluyendo solamente las actividades programadas por las áreas para el periodo objeto de medición.</t>
        </r>
      </text>
    </comment>
    <comment ref="AC42" authorId="2" shapeId="0" xr:uid="{BB6C1DF8-9F02-4262-B73D-5ACA6A958BF0}">
      <text>
        <r>
          <rPr>
            <sz val="9"/>
            <color indexed="81"/>
            <rFont val="Tahoma"/>
            <family val="2"/>
          </rPr>
          <t>Réplica del anterior. 
En esta columna se encuentran los resultados incluyendo solamente las actividades programadas por las áreas para el periodo objeto de medición.</t>
        </r>
      </text>
    </comment>
    <comment ref="N43" authorId="2" shapeId="0" xr:uid="{56C2FAFB-9BE6-494A-A26A-71E7E8E48C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43" authorId="2" shapeId="0" xr:uid="{8CF339E9-A9D9-48E8-A365-33EC43632555}">
      <text>
        <r>
          <rPr>
            <sz val="9"/>
            <color indexed="81"/>
            <rFont val="Tahoma"/>
            <family val="2"/>
          </rPr>
          <t>Réplica del anterior. 
En esta columna se encuentran los resultados incluyendo solamente las actividades programadas por las áreas para el periodo objeto de medición.</t>
        </r>
      </text>
    </comment>
    <comment ref="V43" authorId="2" shapeId="0" xr:uid="{EFF2EC20-2A4B-4851-A1D0-6B774C8E0EEF}">
      <text>
        <r>
          <rPr>
            <sz val="9"/>
            <color indexed="81"/>
            <rFont val="Tahoma"/>
            <family val="2"/>
          </rPr>
          <t>Réplica del anterior. 
En esta columna se encuentran los resultados incluyendo solamente las actividades programadas por las áreas para el periodo objeto de medición.</t>
        </r>
      </text>
    </comment>
    <comment ref="AC43" authorId="2" shapeId="0" xr:uid="{09F1E969-3EA2-42B5-B0FF-C00C61516290}">
      <text>
        <r>
          <rPr>
            <sz val="9"/>
            <color indexed="81"/>
            <rFont val="Tahoma"/>
            <family val="2"/>
          </rPr>
          <t>Réplica del anterior. 
En esta columna se encuentran los resultados incluyendo solamente las actividades programadas por las áreas para el periodo objeto de medición.</t>
        </r>
      </text>
    </comment>
    <comment ref="V44" authorId="2" shapeId="0" xr:uid="{6F6103B3-91EB-405C-81CC-FBAC679EDE6C}">
      <text>
        <r>
          <rPr>
            <sz val="9"/>
            <color indexed="81"/>
            <rFont val="Tahoma"/>
            <family val="2"/>
          </rPr>
          <t>Réplica del anterior. 
En esta columna se encuentran los resultados incluyendo solamente las actividades programadas por las áreas para el periodo objeto de medición.</t>
        </r>
      </text>
    </comment>
    <comment ref="AC44" authorId="2" shapeId="0" xr:uid="{E457AB41-26B0-428D-BDB0-FB02FE0F40DE}">
      <text>
        <r>
          <rPr>
            <sz val="9"/>
            <color indexed="81"/>
            <rFont val="Tahoma"/>
            <family val="2"/>
          </rPr>
          <t>Réplica del anterior. 
En esta columna se encuentran los resultados incluyendo solamente las actividades programadas por las áreas para el periodo objeto de medición.</t>
        </r>
      </text>
    </comment>
    <comment ref="V47" authorId="2" shapeId="0" xr:uid="{FD07D024-2F79-4CAF-A949-2CE86643064C}">
      <text>
        <r>
          <rPr>
            <sz val="9"/>
            <color indexed="81"/>
            <rFont val="Tahoma"/>
            <family val="2"/>
          </rPr>
          <t>Réplica del anterior. 
En esta columna se encuentran los resultados incluyendo solamente las actividades programadas por las áreas para el periodo objeto de medición.</t>
        </r>
      </text>
    </comment>
    <comment ref="AC47" authorId="2" shapeId="0" xr:uid="{F50A46A9-331A-4ABE-BBC2-BEE6ED567966}">
      <text>
        <r>
          <rPr>
            <sz val="9"/>
            <color indexed="81"/>
            <rFont val="Tahoma"/>
            <family val="2"/>
          </rPr>
          <t>Réplica del anterior. 
En esta columna se encuentran los resultados incluyendo solamente las actividades programadas por las áreas para el periodo objeto de medición.</t>
        </r>
      </text>
    </comment>
    <comment ref="O49" authorId="2" shapeId="0" xr:uid="{C93D7F7A-2596-45F7-8D9D-71938977C669}">
      <text>
        <r>
          <rPr>
            <sz val="9"/>
            <color indexed="81"/>
            <rFont val="Tahoma"/>
            <family val="2"/>
          </rPr>
          <t>Réplica del anterior. 
En esta columna se encuentran los resultados incluyendo solamente las actividades programadas por las áreas para el periodo objeto de medición.</t>
        </r>
      </text>
    </comment>
    <comment ref="V49" authorId="2" shapeId="0" xr:uid="{26B669CC-5FD3-4E57-883B-C31C6EB8B9EA}">
      <text>
        <r>
          <rPr>
            <sz val="9"/>
            <color indexed="81"/>
            <rFont val="Tahoma"/>
            <family val="2"/>
          </rPr>
          <t>Réplica del anterior. 
En esta columna se encuentran los resultados incluyendo solamente las actividades programadas por las áreas para el periodo objeto de medición.</t>
        </r>
      </text>
    </comment>
    <comment ref="AC49" authorId="2" shapeId="0" xr:uid="{9CA77DB5-925C-45DF-88E8-9327750C90DF}">
      <text>
        <r>
          <rPr>
            <sz val="9"/>
            <color indexed="81"/>
            <rFont val="Tahoma"/>
            <family val="2"/>
          </rPr>
          <t>Réplica del anterior. 
En esta columna se encuentran los resultados incluyendo solamente las actividades programadas por las áreas para el periodo objeto de medición.</t>
        </r>
      </text>
    </comment>
    <comment ref="V53" authorId="2" shapeId="0" xr:uid="{B3B1B8EE-86E2-4176-A9DD-DFED7FF3EE23}">
      <text>
        <r>
          <rPr>
            <sz val="9"/>
            <color indexed="81"/>
            <rFont val="Tahoma"/>
            <family val="2"/>
          </rPr>
          <t>Réplica del anterior. 
En esta columna se encuentran los resultados incluyendo solamente las actividades programadas por las áreas para el periodo objeto de medición.</t>
        </r>
      </text>
    </comment>
    <comment ref="AC53" authorId="2" shapeId="0" xr:uid="{25A67E37-6425-4ADC-8460-5DC8CCDE0FB4}">
      <text>
        <r>
          <rPr>
            <sz val="9"/>
            <color indexed="81"/>
            <rFont val="Tahoma"/>
            <family val="2"/>
          </rPr>
          <t>Réplica del anterior. 
En esta columna se encuentran los resultados incluyendo solamente las actividades programadas por las áreas para el periodo objeto de medición.</t>
        </r>
      </text>
    </comment>
    <comment ref="N55" authorId="2" shapeId="0" xr:uid="{A3466B4B-F512-4195-830D-7BC743C9FF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5" authorId="2" shapeId="0" xr:uid="{53E28949-17C3-42B8-A836-75C6DD790A9B}">
      <text>
        <r>
          <rPr>
            <sz val="9"/>
            <color indexed="81"/>
            <rFont val="Tahoma"/>
            <family val="2"/>
          </rPr>
          <t>Réplica del anterior. 
En esta columna se encuentran los resultados incluyendo solamente las actividades programadas por las áreas para el periodo objeto de medición.</t>
        </r>
      </text>
    </comment>
    <comment ref="V55" authorId="2" shapeId="0" xr:uid="{7B0065FF-3E95-4329-8807-E2DDFA48EC06}">
      <text>
        <r>
          <rPr>
            <sz val="9"/>
            <color indexed="81"/>
            <rFont val="Tahoma"/>
            <family val="2"/>
          </rPr>
          <t>Réplica del anterior. 
En esta columna se encuentran los resultados incluyendo solamente las actividades programadas por las áreas para el periodo objeto de medición.</t>
        </r>
      </text>
    </comment>
    <comment ref="AC55" authorId="2" shapeId="0" xr:uid="{C0FC16CD-F183-4761-860E-66A272A81D75}">
      <text>
        <r>
          <rPr>
            <sz val="9"/>
            <color indexed="81"/>
            <rFont val="Tahoma"/>
            <family val="2"/>
          </rPr>
          <t>Réplica del anterior. 
En esta columna se encuentran los resultados incluyendo solamente las actividades programadas por las áreas para el periodo objeto de medición.</t>
        </r>
      </text>
    </comment>
    <comment ref="V56" authorId="2" shapeId="0" xr:uid="{BDECABFE-47D5-4E13-AD5E-0906C511C3D3}">
      <text>
        <r>
          <rPr>
            <sz val="9"/>
            <color indexed="81"/>
            <rFont val="Tahoma"/>
            <family val="2"/>
          </rPr>
          <t>Réplica del anterior. 
En esta columna se encuentran los resultados incluyendo solamente las actividades programadas por las áreas para el periodo objeto de medición.</t>
        </r>
      </text>
    </comment>
    <comment ref="AC56" authorId="2" shapeId="0" xr:uid="{01DF4057-F0DC-46A3-9538-A1FAB992ACCF}">
      <text>
        <r>
          <rPr>
            <sz val="9"/>
            <color indexed="81"/>
            <rFont val="Tahoma"/>
            <family val="2"/>
          </rPr>
          <t>Réplica del anterior. 
En esta columna se encuentran los resultados incluyendo solamente las actividades programadas por las áreas para el periodo objeto de medición.</t>
        </r>
      </text>
    </comment>
    <comment ref="N58" authorId="2" shapeId="0" xr:uid="{3B28F513-0339-4AEC-B353-72821EADCA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58" authorId="2" shapeId="0" xr:uid="{86E4615F-C3B8-4203-9552-38EDC957F9FF}">
      <text>
        <r>
          <rPr>
            <sz val="9"/>
            <color indexed="81"/>
            <rFont val="Tahoma"/>
            <family val="2"/>
          </rPr>
          <t>Réplica del anterior. 
En esta columna se encuentran los resultados incluyendo solamente las actividades programadas por las áreas para el periodo objeto de medición.</t>
        </r>
      </text>
    </comment>
    <comment ref="V58" authorId="2" shapeId="0" xr:uid="{C64E244B-1E48-45C4-B4C0-DBC130FEDF53}">
      <text>
        <r>
          <rPr>
            <sz val="9"/>
            <color indexed="81"/>
            <rFont val="Tahoma"/>
            <family val="2"/>
          </rPr>
          <t>Réplica del anterior. 
En esta columna se encuentran los resultados incluyendo solamente las actividades programadas por las áreas para el periodo objeto de medición.</t>
        </r>
      </text>
    </comment>
    <comment ref="AC58" authorId="2" shapeId="0" xr:uid="{61ACF391-C99E-4207-BAB6-1CD34801B25A}">
      <text>
        <r>
          <rPr>
            <sz val="9"/>
            <color indexed="81"/>
            <rFont val="Tahoma"/>
            <family val="2"/>
          </rPr>
          <t>Réplica del anterior. 
En esta columna se encuentran los resultados incluyendo solamente las actividades programadas por las áreas para el periodo objeto de medición.</t>
        </r>
      </text>
    </comment>
    <comment ref="N59" authorId="2" shapeId="0" xr:uid="{19DBE640-6797-4EC3-A3C1-27F0C815CC5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59" authorId="2" shapeId="0" xr:uid="{59772909-C3EC-45FC-8C5C-95DF7C8E6454}">
      <text>
        <r>
          <rPr>
            <sz val="9"/>
            <color indexed="81"/>
            <rFont val="Tahoma"/>
            <family val="2"/>
          </rPr>
          <t>Réplica del anterior. 
En esta columna se encuentran los resultados incluyendo solamente las actividades programadas por las áreas para el periodo objeto de medición.</t>
        </r>
      </text>
    </comment>
    <comment ref="AC59" authorId="2" shapeId="0" xr:uid="{C0845715-CA4A-4202-8EAD-80756F2E4A2A}">
      <text>
        <r>
          <rPr>
            <sz val="9"/>
            <color indexed="81"/>
            <rFont val="Tahoma"/>
            <family val="2"/>
          </rPr>
          <t>Réplica del anterior. 
En esta columna se encuentran los resultados incluyendo solamente las actividades programadas por las áreas para el periodo objeto de medición.</t>
        </r>
      </text>
    </comment>
    <comment ref="O60" authorId="2" shapeId="0" xr:uid="{E89C7D47-DA7D-4EDB-ACD3-1C6B9645BC74}">
      <text>
        <r>
          <rPr>
            <sz val="9"/>
            <color indexed="81"/>
            <rFont val="Tahoma"/>
            <family val="2"/>
          </rPr>
          <t>Réplica del anterior. 
En esta columna se encuentran los resultados incluyendo solamente las actividades programadas por las áreas para el periodo objeto de medición.</t>
        </r>
      </text>
    </comment>
    <comment ref="V60" authorId="2" shapeId="0" xr:uid="{F572209D-9D3B-41F1-8F90-1D2B92EB7E25}">
      <text>
        <r>
          <rPr>
            <sz val="9"/>
            <color indexed="81"/>
            <rFont val="Tahoma"/>
            <family val="2"/>
          </rPr>
          <t>Réplica del anterior. 
En esta columna se encuentran los resultados incluyendo solamente las actividades programadas por las áreas para el periodo objeto de medición.</t>
        </r>
      </text>
    </comment>
    <comment ref="AC60" authorId="2" shapeId="0" xr:uid="{46F80FA4-AEAA-49AA-9EE3-FA1FF99D7F95}">
      <text>
        <r>
          <rPr>
            <sz val="9"/>
            <color indexed="81"/>
            <rFont val="Tahoma"/>
            <family val="2"/>
          </rPr>
          <t>Réplica del anterior. 
En esta columna se encuentran los resultados incluyendo solamente las actividades programadas por las áreas para el periodo objeto de medición.</t>
        </r>
      </text>
    </comment>
    <comment ref="V64" authorId="2" shapeId="0" xr:uid="{ED78D756-ACFC-4652-B931-6EF1F14A3DCA}">
      <text>
        <r>
          <rPr>
            <sz val="9"/>
            <color indexed="81"/>
            <rFont val="Tahoma"/>
            <family val="2"/>
          </rPr>
          <t>Réplica del anterior. 
En esta columna se encuentran los resultados incluyendo solamente las actividades programadas por las áreas para el periodo objeto de medición.</t>
        </r>
      </text>
    </comment>
    <comment ref="AC64" authorId="2" shapeId="0" xr:uid="{6DFB8201-D72C-4FB6-94D8-FBC40BFA076C}">
      <text>
        <r>
          <rPr>
            <sz val="9"/>
            <color indexed="81"/>
            <rFont val="Tahoma"/>
            <family val="2"/>
          </rPr>
          <t>Réplica del anterior. 
En esta columna se encuentran los resultados incluyendo solamente las actividades programadas por las áreas para el periodo objeto de medición.</t>
        </r>
      </text>
    </comment>
    <comment ref="N65" authorId="2" shapeId="0" xr:uid="{EFA83901-2DEF-46D3-AE28-B27709247AB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65" authorId="2" shapeId="0" xr:uid="{3366440B-5E39-4029-A5EB-0659F8DB5D10}">
      <text>
        <r>
          <rPr>
            <sz val="9"/>
            <color indexed="81"/>
            <rFont val="Tahoma"/>
            <family val="2"/>
          </rPr>
          <t>Réplica del anterior. 
En esta columna se encuentran los resultados incluyendo solamente las actividades programadas por las áreas para el periodo objeto de medición.</t>
        </r>
      </text>
    </comment>
    <comment ref="AC65" authorId="2" shapeId="0" xr:uid="{455EFE58-45C5-4D3E-B336-3BE2F4464D9E}">
      <text>
        <r>
          <rPr>
            <sz val="9"/>
            <color indexed="81"/>
            <rFont val="Tahoma"/>
            <family val="2"/>
          </rPr>
          <t>Réplica del anterior. 
En esta columna se encuentran los resultados incluyendo solamente las actividades programadas por las áreas para el periodo objeto de medición.</t>
        </r>
      </text>
    </comment>
    <comment ref="N66" authorId="2" shapeId="0" xr:uid="{7FF2FE9C-9598-4848-BE89-C4F6E982F4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66" authorId="2" shapeId="0" xr:uid="{DF3F4F65-CBBD-4D2E-B5F6-828ABA958514}">
      <text>
        <r>
          <rPr>
            <sz val="9"/>
            <color indexed="81"/>
            <rFont val="Tahoma"/>
            <family val="2"/>
          </rPr>
          <t>Réplica del anterior. 
En esta columna se encuentran los resultados incluyendo solamente las actividades programadas por las áreas para el periodo objeto de medición.</t>
        </r>
      </text>
    </comment>
    <comment ref="V66" authorId="2" shapeId="0" xr:uid="{7A3706CB-DF6B-48DD-AC61-DA9C1D01FB84}">
      <text>
        <r>
          <rPr>
            <sz val="9"/>
            <color indexed="81"/>
            <rFont val="Tahoma"/>
            <family val="2"/>
          </rPr>
          <t>Réplica del anterior. 
En esta columna se encuentran los resultados incluyendo solamente las actividades programadas por las áreas para el periodo objeto de medición.</t>
        </r>
      </text>
    </comment>
    <comment ref="AC66" authorId="2" shapeId="0" xr:uid="{35D3F945-17C2-4EEE-924D-A5C43E017CB8}">
      <text>
        <r>
          <rPr>
            <sz val="9"/>
            <color indexed="81"/>
            <rFont val="Tahoma"/>
            <family val="2"/>
          </rPr>
          <t>Réplica del anterior. 
En esta columna se encuentran los resultados incluyendo solamente las actividades programadas por las áreas para el periodo objeto de medición.</t>
        </r>
      </text>
    </comment>
    <comment ref="O67" authorId="2" shapeId="0" xr:uid="{291CC14E-51C1-4D84-91BC-0166B56C0FF9}">
      <text>
        <r>
          <rPr>
            <sz val="9"/>
            <color indexed="81"/>
            <rFont val="Tahoma"/>
            <family val="2"/>
          </rPr>
          <t>Réplica del anterior. 
En esta columna se encuentran los resultados incluyendo solamente las actividades programadas por las áreas para el periodo objeto de medición.</t>
        </r>
      </text>
    </comment>
    <comment ref="V67" authorId="2" shapeId="0" xr:uid="{990E037D-FC45-4034-8EA1-571A1D452183}">
      <text>
        <r>
          <rPr>
            <sz val="9"/>
            <color indexed="81"/>
            <rFont val="Tahoma"/>
            <family val="2"/>
          </rPr>
          <t>Réplica del anterior. 
En esta columna se encuentran los resultados incluyendo solamente las actividades programadas por las áreas para el periodo objeto de medición.</t>
        </r>
      </text>
    </comment>
    <comment ref="AC67" authorId="2" shapeId="0" xr:uid="{583A1C24-0536-4729-9A9F-9FF0F6987362}">
      <text>
        <r>
          <rPr>
            <sz val="9"/>
            <color indexed="81"/>
            <rFont val="Tahoma"/>
            <family val="2"/>
          </rPr>
          <t>Réplica del anterior. 
En esta columna se encuentran los resultados incluyendo solamente las actividades programadas por las áreas para el periodo objeto de medición.</t>
        </r>
      </text>
    </comment>
    <comment ref="N84" authorId="2" shapeId="0" xr:uid="{36839B8D-0598-4FE0-BFD0-B692536805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4" authorId="2" shapeId="0" xr:uid="{355FE30B-94B5-4FE4-B325-6C062449822A}">
      <text>
        <r>
          <rPr>
            <sz val="9"/>
            <color indexed="81"/>
            <rFont val="Tahoma"/>
            <family val="2"/>
          </rPr>
          <t>Réplica del anterior. 
En esta columna se encuentran los resultados incluyendo solamente las actividades programadas por las áreas para el periodo objeto de medición.</t>
        </r>
      </text>
    </comment>
    <comment ref="V84" authorId="2" shapeId="0" xr:uid="{2E0872D5-3F87-46B0-BBCB-383F456B8472}">
      <text>
        <r>
          <rPr>
            <sz val="9"/>
            <color indexed="81"/>
            <rFont val="Tahoma"/>
            <family val="2"/>
          </rPr>
          <t>Réplica del anterior. 
En esta columna se encuentran los resultados incluyendo solamente las actividades programadas por las áreas para el periodo objeto de medición.</t>
        </r>
      </text>
    </comment>
    <comment ref="AC84" authorId="2" shapeId="0" xr:uid="{0324BE5C-3B18-4D82-BD82-165329AEC373}">
      <text>
        <r>
          <rPr>
            <sz val="9"/>
            <color indexed="81"/>
            <rFont val="Tahoma"/>
            <family val="2"/>
          </rPr>
          <t>Réplica del anterior. 
En esta columna se encuentran los resultados incluyendo solamente las actividades programadas por las áreas para el periodo objeto de medición.</t>
        </r>
      </text>
    </comment>
    <comment ref="N85" authorId="2" shapeId="0" xr:uid="{E81B8A6C-19C8-491B-B8BE-7C40C75284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5" authorId="2" shapeId="0" xr:uid="{B715A338-02A4-4DE0-8152-3BFA15814465}">
      <text>
        <r>
          <rPr>
            <sz val="9"/>
            <color indexed="81"/>
            <rFont val="Tahoma"/>
            <family val="2"/>
          </rPr>
          <t>Réplica del anterior. 
En esta columna se encuentran los resultados incluyendo solamente las actividades programadas por las áreas para el periodo objeto de medición.</t>
        </r>
      </text>
    </comment>
    <comment ref="V85" authorId="2" shapeId="0" xr:uid="{C482D6BF-3592-4429-86CF-9D28DF2A7926}">
      <text>
        <r>
          <rPr>
            <sz val="9"/>
            <color indexed="81"/>
            <rFont val="Tahoma"/>
            <family val="2"/>
          </rPr>
          <t>Réplica del anterior. 
En esta columna se encuentran los resultados incluyendo solamente las actividades programadas por las áreas para el periodo objeto de medición.</t>
        </r>
      </text>
    </comment>
    <comment ref="AC85" authorId="2" shapeId="0" xr:uid="{529A55A4-75AF-4734-9B95-6E7453365837}">
      <text>
        <r>
          <rPr>
            <sz val="9"/>
            <color indexed="81"/>
            <rFont val="Tahoma"/>
            <family val="2"/>
          </rPr>
          <t>Réplica del anterior. 
En esta columna se encuentran los resultados incluyendo solamente las actividades programadas por las áreas para el periodo objeto de medición.</t>
        </r>
      </text>
    </comment>
    <comment ref="N86" authorId="2" shapeId="0" xr:uid="{2D6FB2AA-01E1-49FE-89CF-B6C14A6581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6" authorId="2" shapeId="0" xr:uid="{EB85212C-5E50-48DE-B6D3-C21FC4507079}">
      <text>
        <r>
          <rPr>
            <sz val="9"/>
            <color indexed="81"/>
            <rFont val="Tahoma"/>
            <family val="2"/>
          </rPr>
          <t>Réplica del anterior. 
En esta columna se encuentran los resultados incluyendo solamente las actividades programadas por las áreas para el periodo objeto de medición.</t>
        </r>
      </text>
    </comment>
    <comment ref="V86" authorId="2" shapeId="0" xr:uid="{2DAA8334-AF8A-488C-BCDF-3123C638DEBF}">
      <text>
        <r>
          <rPr>
            <sz val="9"/>
            <color indexed="81"/>
            <rFont val="Tahoma"/>
            <family val="2"/>
          </rPr>
          <t>Réplica del anterior. 
En esta columna se encuentran los resultados incluyendo solamente las actividades programadas por las áreas para el periodo objeto de medición.</t>
        </r>
      </text>
    </comment>
    <comment ref="AC86" authorId="2" shapeId="0" xr:uid="{82A53D18-16F2-48F2-8838-E98C2E9E73C8}">
      <text>
        <r>
          <rPr>
            <sz val="9"/>
            <color indexed="81"/>
            <rFont val="Tahoma"/>
            <family val="2"/>
          </rPr>
          <t>Réplica del anterior. 
En esta columna se encuentran los resultados incluyendo solamente las actividades programadas por las áreas para el periodo objeto de medición.</t>
        </r>
      </text>
    </comment>
    <comment ref="N87" authorId="2" shapeId="0" xr:uid="{7AC79459-7052-4EC9-9264-EA99633196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7" authorId="2" shapeId="0" xr:uid="{6CB942E1-3383-4C8B-8BD1-0D1231E5DE35}">
      <text>
        <r>
          <rPr>
            <sz val="9"/>
            <color indexed="81"/>
            <rFont val="Tahoma"/>
            <family val="2"/>
          </rPr>
          <t>Réplica del anterior. 
En esta columna se encuentran los resultados incluyendo solamente las actividades programadas por las áreas para el periodo objeto de medición.</t>
        </r>
      </text>
    </comment>
    <comment ref="V87" authorId="2" shapeId="0" xr:uid="{2FFC2B0D-9E10-4534-922E-4FDE89EFCFCF}">
      <text>
        <r>
          <rPr>
            <sz val="9"/>
            <color indexed="81"/>
            <rFont val="Tahoma"/>
            <family val="2"/>
          </rPr>
          <t>Réplica del anterior. 
En esta columna se encuentran los resultados incluyendo solamente las actividades programadas por las áreas para el periodo objeto de medición.</t>
        </r>
      </text>
    </comment>
    <comment ref="AC87" authorId="2" shapeId="0" xr:uid="{00653007-CF17-4470-9336-5119592DD4CE}">
      <text>
        <r>
          <rPr>
            <sz val="9"/>
            <color indexed="81"/>
            <rFont val="Tahoma"/>
            <family val="2"/>
          </rPr>
          <t>Réplica del anterior. 
En esta columna se encuentran los resultados incluyendo solamente las actividades programadas por las áreas para el periodo objeto de medición.</t>
        </r>
      </text>
    </comment>
    <comment ref="N88" authorId="2" shapeId="0" xr:uid="{15407CB4-B3D5-428D-9CC7-8C1B80AF70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8" authorId="2" shapeId="0" xr:uid="{58AD150C-FD18-4037-BA6B-7C07A82D7DB0}">
      <text>
        <r>
          <rPr>
            <sz val="9"/>
            <color indexed="81"/>
            <rFont val="Tahoma"/>
            <family val="2"/>
          </rPr>
          <t>Réplica del anterior. 
En esta columna se encuentran los resultados incluyendo solamente las actividades programadas por las áreas para el periodo objeto de medición.</t>
        </r>
      </text>
    </comment>
    <comment ref="V88" authorId="2" shapeId="0" xr:uid="{D1370583-CE95-4B3A-9CBD-5D656688C66B}">
      <text>
        <r>
          <rPr>
            <sz val="9"/>
            <color indexed="81"/>
            <rFont val="Tahoma"/>
            <family val="2"/>
          </rPr>
          <t>Réplica del anterior. 
En esta columna se encuentran los resultados incluyendo solamente las actividades programadas por las áreas para el periodo objeto de medición.</t>
        </r>
      </text>
    </comment>
    <comment ref="AC88" authorId="2" shapeId="0" xr:uid="{918C8FE0-1772-4830-A365-2F80023A038B}">
      <text>
        <r>
          <rPr>
            <sz val="9"/>
            <color indexed="81"/>
            <rFont val="Tahoma"/>
            <family val="2"/>
          </rPr>
          <t>Réplica del anterior. 
En esta columna se encuentran los resultados incluyendo solamente las actividades programadas por las áreas para el periodo objeto de medición.</t>
        </r>
      </text>
    </comment>
    <comment ref="N89" authorId="2" shapeId="0" xr:uid="{0452DC0B-5476-47F8-8480-2DB88CFD6BE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89" authorId="2" shapeId="0" xr:uid="{7E74AD6D-3D9F-4AC9-9286-AC6FAA882EAC}">
      <text>
        <r>
          <rPr>
            <sz val="9"/>
            <color indexed="81"/>
            <rFont val="Tahoma"/>
            <family val="2"/>
          </rPr>
          <t>Réplica del anterior. 
En esta columna se encuentran los resultados incluyendo solamente las actividades programadas por las áreas para el periodo objeto de medición.</t>
        </r>
      </text>
    </comment>
    <comment ref="V89" authorId="2" shapeId="0" xr:uid="{C32482BB-32F8-413F-A235-92DBCC84B15A}">
      <text>
        <r>
          <rPr>
            <sz val="9"/>
            <color indexed="81"/>
            <rFont val="Tahoma"/>
            <family val="2"/>
          </rPr>
          <t>Réplica del anterior. 
En esta columna se encuentran los resultados incluyendo solamente las actividades programadas por las áreas para el periodo objeto de medición.</t>
        </r>
      </text>
    </comment>
    <comment ref="AC89" authorId="2" shapeId="0" xr:uid="{6AB71C22-AFE7-4F89-9473-34B5133FEE49}">
      <text>
        <r>
          <rPr>
            <sz val="9"/>
            <color indexed="81"/>
            <rFont val="Tahoma"/>
            <family val="2"/>
          </rPr>
          <t>Réplica del anterior. 
En esta columna se encuentran los resultados incluyendo solamente las actividades programadas por las áreas para el periodo objeto de medición.</t>
        </r>
      </text>
    </comment>
    <comment ref="N90" authorId="2" shapeId="0" xr:uid="{949C4174-C7EE-4EF5-875C-499BE68AB5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0" authorId="2" shapeId="0" xr:uid="{BFB02526-3332-44AE-B4DF-11B2ADF3ED69}">
      <text>
        <r>
          <rPr>
            <sz val="9"/>
            <color indexed="81"/>
            <rFont val="Tahoma"/>
            <family val="2"/>
          </rPr>
          <t>Réplica del anterior. 
En esta columna se encuentran los resultados incluyendo solamente las actividades programadas por las áreas para el periodo objeto de medición.</t>
        </r>
      </text>
    </comment>
    <comment ref="V90" authorId="2" shapeId="0" xr:uid="{0344C43D-604C-4D14-8C8C-875C8673CB81}">
      <text>
        <r>
          <rPr>
            <sz val="9"/>
            <color indexed="81"/>
            <rFont val="Tahoma"/>
            <family val="2"/>
          </rPr>
          <t>Réplica del anterior. 
En esta columna se encuentran los resultados incluyendo solamente las actividades programadas por las áreas para el periodo objeto de medición.</t>
        </r>
      </text>
    </comment>
    <comment ref="AC90" authorId="2" shapeId="0" xr:uid="{4B5BBC3E-14E1-4872-B3F7-6CDB9A7E6B84}">
      <text>
        <r>
          <rPr>
            <sz val="9"/>
            <color indexed="81"/>
            <rFont val="Tahoma"/>
            <family val="2"/>
          </rPr>
          <t>Réplica del anterior. 
En esta columna se encuentran los resultados incluyendo solamente las actividades programadas por las áreas para el periodo objeto de medición.</t>
        </r>
      </text>
    </comment>
    <comment ref="N91" authorId="2" shapeId="0" xr:uid="{B8E94D47-CD65-479B-BB08-DD028BA7A6F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1" authorId="2" shapeId="0" xr:uid="{18DDDC1E-32CA-486C-B3F5-6EE39F043BDC}">
      <text>
        <r>
          <rPr>
            <sz val="9"/>
            <color indexed="81"/>
            <rFont val="Tahoma"/>
            <family val="2"/>
          </rPr>
          <t>Réplica del anterior. 
En esta columna se encuentran los resultados incluyendo solamente las actividades programadas por las áreas para el periodo objeto de medición.</t>
        </r>
      </text>
    </comment>
    <comment ref="V91" authorId="2" shapeId="0" xr:uid="{5542BA93-2C3B-42BF-8BCB-44777B67204A}">
      <text>
        <r>
          <rPr>
            <sz val="9"/>
            <color indexed="81"/>
            <rFont val="Tahoma"/>
            <family val="2"/>
          </rPr>
          <t>Réplica del anterior. 
En esta columna se encuentran los resultados incluyendo solamente las actividades programadas por las áreas para el periodo objeto de medición.</t>
        </r>
      </text>
    </comment>
    <comment ref="AC91" authorId="2" shapeId="0" xr:uid="{B451B13E-8B27-487C-9E2F-2297C5D2386F}">
      <text>
        <r>
          <rPr>
            <sz val="9"/>
            <color indexed="81"/>
            <rFont val="Tahoma"/>
            <family val="2"/>
          </rPr>
          <t>Réplica del anterior. 
En esta columna se encuentran los resultados incluyendo solamente las actividades programadas por las áreas para el periodo objeto de medición.</t>
        </r>
      </text>
    </comment>
    <comment ref="N97" authorId="2" shapeId="0" xr:uid="{64D85E77-D183-4350-91F3-FA2C440434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97" authorId="2" shapeId="0" xr:uid="{C79874A6-8B04-493F-8E96-00F96D0C4ADA}">
      <text>
        <r>
          <rPr>
            <sz val="9"/>
            <color indexed="81"/>
            <rFont val="Tahoma"/>
            <family val="2"/>
          </rPr>
          <t>Réplica del anterior. 
En esta columna se encuentran los resultados incluyendo solamente las actividades programadas por las áreas para el periodo objeto de medición.</t>
        </r>
      </text>
    </comment>
    <comment ref="V97" authorId="2" shapeId="0" xr:uid="{CFFD20F8-08CA-4F47-BF4B-3C4A0B5A3F7B}">
      <text>
        <r>
          <rPr>
            <sz val="9"/>
            <color indexed="81"/>
            <rFont val="Tahoma"/>
            <family val="2"/>
          </rPr>
          <t>Réplica del anterior. 
En esta columna se encuentran los resultados incluyendo solamente las actividades programadas por las áreas para el periodo objeto de medición.</t>
        </r>
      </text>
    </comment>
    <comment ref="AC97" authorId="2" shapeId="0" xr:uid="{B8DEA94A-B985-4730-B0AA-A9BF712080BF}">
      <text>
        <r>
          <rPr>
            <sz val="9"/>
            <color indexed="81"/>
            <rFont val="Tahoma"/>
            <family val="2"/>
          </rPr>
          <t>Réplica del anterior. 
En esta columna se encuentran los resultados incluyendo solamente las actividades programadas por las áreas para el periodo objeto de medición.</t>
        </r>
      </text>
    </comment>
    <comment ref="N117" authorId="2" shapeId="0" xr:uid="{37F2B154-8B00-439E-A648-062DB078882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7" authorId="2" shapeId="0" xr:uid="{025BA891-E644-4314-8BC1-5BD97EF488E3}">
      <text>
        <r>
          <rPr>
            <sz val="9"/>
            <color indexed="81"/>
            <rFont val="Tahoma"/>
            <family val="2"/>
          </rPr>
          <t>Réplica del anterior. 
En esta columna se encuentran los resultados incluyendo solamente las actividades programadas por las áreas para el periodo objeto de medición.</t>
        </r>
      </text>
    </comment>
    <comment ref="V117" authorId="2" shapeId="0" xr:uid="{F438D535-7FF5-4151-9C60-6DA65D0939A6}">
      <text>
        <r>
          <rPr>
            <sz val="9"/>
            <color indexed="81"/>
            <rFont val="Tahoma"/>
            <family val="2"/>
          </rPr>
          <t>Réplica del anterior. 
En esta columna se encuentran los resultados incluyendo solamente las actividades programadas por las áreas para el periodo objeto de medición.</t>
        </r>
      </text>
    </comment>
    <comment ref="AC117" authorId="2" shapeId="0" xr:uid="{C01FB5DC-E7C0-48AE-AAB4-E6CFFE3B3080}">
      <text>
        <r>
          <rPr>
            <sz val="9"/>
            <color indexed="81"/>
            <rFont val="Tahoma"/>
            <family val="2"/>
          </rPr>
          <t>Réplica del anterior. 
En esta columna se encuentran los resultados incluyendo solamente las actividades programadas por las áreas para el periodo objeto de medición.</t>
        </r>
      </text>
    </comment>
    <comment ref="N118" authorId="2" shapeId="0" xr:uid="{9931B6DD-B616-44CE-AE67-831F9495614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8" authorId="2" shapeId="0" xr:uid="{C4C4379D-7C71-4271-B6A7-82A34C1DF9F7}">
      <text>
        <r>
          <rPr>
            <sz val="9"/>
            <color indexed="81"/>
            <rFont val="Tahoma"/>
            <family val="2"/>
          </rPr>
          <t>Réplica del anterior. 
En esta columna se encuentran los resultados incluyendo solamente las actividades programadas por las áreas para el periodo objeto de medición.</t>
        </r>
      </text>
    </comment>
    <comment ref="V118" authorId="2" shapeId="0" xr:uid="{CB08A973-9780-44AA-8BEB-245944129CC0}">
      <text>
        <r>
          <rPr>
            <sz val="9"/>
            <color indexed="81"/>
            <rFont val="Tahoma"/>
            <family val="2"/>
          </rPr>
          <t>Réplica del anterior. 
En esta columna se encuentran los resultados incluyendo solamente las actividades programadas por las áreas para el periodo objeto de medición.</t>
        </r>
      </text>
    </comment>
    <comment ref="AC118" authorId="2" shapeId="0" xr:uid="{EFC7FA8E-AEF9-42C4-97A9-67C386F3764C}">
      <text>
        <r>
          <rPr>
            <sz val="9"/>
            <color indexed="81"/>
            <rFont val="Tahoma"/>
            <family val="2"/>
          </rPr>
          <t>Réplica del anterior. 
En esta columna se encuentran los resultados incluyendo solamente las actividades programadas por las áreas para el periodo objeto de medición.</t>
        </r>
      </text>
    </comment>
    <comment ref="N119" authorId="2" shapeId="0" xr:uid="{63D4113C-0951-4B0A-A71C-3CE677EF20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19" authorId="2" shapeId="0" xr:uid="{1F922496-C8C2-4916-9FFD-4DFA0FB3C087}">
      <text>
        <r>
          <rPr>
            <sz val="9"/>
            <color indexed="81"/>
            <rFont val="Tahoma"/>
            <family val="2"/>
          </rPr>
          <t>Réplica del anterior. 
En esta columna se encuentran los resultados incluyendo solamente las actividades programadas por las áreas para el periodo objeto de medición.</t>
        </r>
      </text>
    </comment>
    <comment ref="V119" authorId="2" shapeId="0" xr:uid="{B43FB599-9B77-4F44-9F9C-08A0A1340DFB}">
      <text>
        <r>
          <rPr>
            <sz val="9"/>
            <color indexed="81"/>
            <rFont val="Tahoma"/>
            <family val="2"/>
          </rPr>
          <t>Réplica del anterior. 
En esta columna se encuentran los resultados incluyendo solamente las actividades programadas por las áreas para el periodo objeto de medición.</t>
        </r>
      </text>
    </comment>
    <comment ref="AC119" authorId="2" shapeId="0" xr:uid="{3F6B9F85-C329-4432-B7FF-986F8BD174DE}">
      <text>
        <r>
          <rPr>
            <sz val="9"/>
            <color indexed="81"/>
            <rFont val="Tahoma"/>
            <family val="2"/>
          </rPr>
          <t>Réplica del anterior. 
En esta columna se encuentran los resultados incluyendo solamente las actividades programadas por las áreas para el periodo objeto de medición.</t>
        </r>
      </text>
    </comment>
    <comment ref="N120" authorId="2" shapeId="0" xr:uid="{98C9C7F9-2C8D-4CB3-86AD-39CBBA8A022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0" authorId="2" shapeId="0" xr:uid="{DF3C6CC9-AFAD-43C1-8C2E-FF86738739BB}">
      <text>
        <r>
          <rPr>
            <sz val="9"/>
            <color indexed="81"/>
            <rFont val="Tahoma"/>
            <family val="2"/>
          </rPr>
          <t>Réplica del anterior. 
En esta columna se encuentran los resultados incluyendo solamente las actividades programadas por las áreas para el periodo objeto de medición.</t>
        </r>
      </text>
    </comment>
    <comment ref="V120" authorId="2" shapeId="0" xr:uid="{E695E1E9-FF52-4267-B328-E95844FEE3D2}">
      <text>
        <r>
          <rPr>
            <sz val="9"/>
            <color indexed="81"/>
            <rFont val="Tahoma"/>
            <family val="2"/>
          </rPr>
          <t>Réplica del anterior. 
En esta columna se encuentran los resultados incluyendo solamente las actividades programadas por las áreas para el periodo objeto de medición.</t>
        </r>
      </text>
    </comment>
    <comment ref="AC120" authorId="2" shapeId="0" xr:uid="{901F62DF-7A49-4AF4-BDB6-85FA4C661AF5}">
      <text>
        <r>
          <rPr>
            <sz val="9"/>
            <color indexed="81"/>
            <rFont val="Tahoma"/>
            <family val="2"/>
          </rPr>
          <t>Réplica del anterior. 
En esta columna se encuentran los resultados incluyendo solamente las actividades programadas por las áreas para el periodo objeto de medición.</t>
        </r>
      </text>
    </comment>
    <comment ref="N121" authorId="2" shapeId="0" xr:uid="{D0905A7F-D96F-4964-A75B-7BC8B27A31A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1" authorId="2" shapeId="0" xr:uid="{D67EAD77-F0CE-4CCA-8E94-73FAA8D2809E}">
      <text>
        <r>
          <rPr>
            <sz val="9"/>
            <color indexed="81"/>
            <rFont val="Tahoma"/>
            <family val="2"/>
          </rPr>
          <t>Réplica del anterior. 
En esta columna se encuentran los resultados incluyendo solamente las actividades programadas por las áreas para el periodo objeto de medición.</t>
        </r>
      </text>
    </comment>
    <comment ref="V121" authorId="2" shapeId="0" xr:uid="{102B3EF8-C5EF-403F-8B52-E12447D1C99E}">
      <text>
        <r>
          <rPr>
            <sz val="9"/>
            <color indexed="81"/>
            <rFont val="Tahoma"/>
            <family val="2"/>
          </rPr>
          <t>Réplica del anterior. 
En esta columna se encuentran los resultados incluyendo solamente las actividades programadas por las áreas para el periodo objeto de medición.</t>
        </r>
      </text>
    </comment>
    <comment ref="AC121" authorId="2" shapeId="0" xr:uid="{9C399C18-5F89-4660-862F-C127579580C7}">
      <text>
        <r>
          <rPr>
            <sz val="9"/>
            <color indexed="81"/>
            <rFont val="Tahoma"/>
            <family val="2"/>
          </rPr>
          <t>Réplica del anterior. 
En esta columna se encuentran los resultados incluyendo solamente las actividades programadas por las áreas para el periodo objeto de medición.</t>
        </r>
      </text>
    </comment>
    <comment ref="N122" authorId="2" shapeId="0" xr:uid="{848C4C6A-B0AE-4011-BF56-AC04A34575E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2" authorId="2" shapeId="0" xr:uid="{0D21B763-92E4-4EC2-9D30-B02E6F62F731}">
      <text>
        <r>
          <rPr>
            <sz val="9"/>
            <color indexed="81"/>
            <rFont val="Tahoma"/>
            <family val="2"/>
          </rPr>
          <t>Réplica del anterior. 
En esta columna se encuentran los resultados incluyendo solamente las actividades programadas por las áreas para el periodo objeto de medición.</t>
        </r>
      </text>
    </comment>
    <comment ref="V122" authorId="2" shapeId="0" xr:uid="{5AC792D7-3E23-4F94-845F-A0B68ED46837}">
      <text>
        <r>
          <rPr>
            <sz val="9"/>
            <color indexed="81"/>
            <rFont val="Tahoma"/>
            <family val="2"/>
          </rPr>
          <t>Réplica del anterior. 
En esta columna se encuentran los resultados incluyendo solamente las actividades programadas por las áreas para el periodo objeto de medición.</t>
        </r>
      </text>
    </comment>
    <comment ref="AC122" authorId="2" shapeId="0" xr:uid="{27CCB811-1285-42B8-8DF9-E3B77635539A}">
      <text>
        <r>
          <rPr>
            <sz val="9"/>
            <color indexed="81"/>
            <rFont val="Tahoma"/>
            <family val="2"/>
          </rPr>
          <t>Réplica del anterior. 
En esta columna se encuentran los resultados incluyendo solamente las actividades programadas por las áreas para el periodo objeto de medición.</t>
        </r>
      </text>
    </comment>
    <comment ref="N123" authorId="2" shapeId="0" xr:uid="{7F16C7E8-6049-4916-B9EC-C65E5B8693C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3" authorId="2" shapeId="0" xr:uid="{F7FC3D9C-DB27-455E-8DCD-3341BB124528}">
      <text>
        <r>
          <rPr>
            <sz val="9"/>
            <color indexed="81"/>
            <rFont val="Tahoma"/>
            <family val="2"/>
          </rPr>
          <t>Réplica del anterior. 
En esta columna se encuentran los resultados incluyendo solamente las actividades programadas por las áreas para el periodo objeto de medición.</t>
        </r>
      </text>
    </comment>
    <comment ref="V123" authorId="2" shapeId="0" xr:uid="{112EF09D-EA60-4B75-9D4F-480B676E2692}">
      <text>
        <r>
          <rPr>
            <sz val="9"/>
            <color indexed="81"/>
            <rFont val="Tahoma"/>
            <family val="2"/>
          </rPr>
          <t>Réplica del anterior. 
En esta columna se encuentran los resultados incluyendo solamente las actividades programadas por las áreas para el periodo objeto de medición.</t>
        </r>
      </text>
    </comment>
    <comment ref="AC123" authorId="2" shapeId="0" xr:uid="{291E95EF-BEDD-4AF8-A84D-D093962933D2}">
      <text>
        <r>
          <rPr>
            <sz val="9"/>
            <color indexed="81"/>
            <rFont val="Tahoma"/>
            <family val="2"/>
          </rPr>
          <t>Réplica del anterior. 
En esta columna se encuentran los resultados incluyendo solamente las actividades programadas por las áreas para el periodo objeto de medición.</t>
        </r>
      </text>
    </comment>
    <comment ref="N124" authorId="2" shapeId="0" xr:uid="{19C06DFC-65F0-49D8-A0EF-0DEB803C41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4" authorId="2" shapeId="0" xr:uid="{DF9BA836-38FC-4574-8178-56EBF36BBAE2}">
      <text>
        <r>
          <rPr>
            <sz val="9"/>
            <color indexed="81"/>
            <rFont val="Tahoma"/>
            <family val="2"/>
          </rPr>
          <t>Réplica del anterior. 
En esta columna se encuentran los resultados incluyendo solamente las actividades programadas por las áreas para el periodo objeto de medición.</t>
        </r>
      </text>
    </comment>
    <comment ref="V124" authorId="2" shapeId="0" xr:uid="{7C61D357-1D77-4BBA-B705-D612ECD5B795}">
      <text>
        <r>
          <rPr>
            <sz val="9"/>
            <color indexed="81"/>
            <rFont val="Tahoma"/>
            <family val="2"/>
          </rPr>
          <t>Réplica del anterior. 
En esta columna se encuentran los resultados incluyendo solamente las actividades programadas por las áreas para el periodo objeto de medición.</t>
        </r>
      </text>
    </comment>
    <comment ref="AC124" authorId="2" shapeId="0" xr:uid="{BBC82B25-5EBC-4F9B-90CC-3A9B5C6803A6}">
      <text>
        <r>
          <rPr>
            <sz val="9"/>
            <color indexed="81"/>
            <rFont val="Tahoma"/>
            <family val="2"/>
          </rPr>
          <t>Réplica del anterior. 
En esta columna se encuentran los resultados incluyendo solamente las actividades programadas por las áreas para el periodo objeto de medición.</t>
        </r>
      </text>
    </comment>
    <comment ref="N125" authorId="2" shapeId="0" xr:uid="{3837153D-B6DE-45DD-8F9B-77775CD777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5" authorId="2" shapeId="0" xr:uid="{91B32BE0-78A7-43A7-8AC0-CC320D08A58A}">
      <text>
        <r>
          <rPr>
            <sz val="9"/>
            <color indexed="81"/>
            <rFont val="Tahoma"/>
            <family val="2"/>
          </rPr>
          <t>Réplica del anterior. 
En esta columna se encuentran los resultados incluyendo solamente las actividades programadas por las áreas para el periodo objeto de medición.</t>
        </r>
      </text>
    </comment>
    <comment ref="V125" authorId="2" shapeId="0" xr:uid="{6415DF0D-58FB-49EF-9498-7DA0EE1A3627}">
      <text>
        <r>
          <rPr>
            <sz val="9"/>
            <color indexed="81"/>
            <rFont val="Tahoma"/>
            <family val="2"/>
          </rPr>
          <t>Réplica del anterior. 
En esta columna se encuentran los resultados incluyendo solamente las actividades programadas por las áreas para el periodo objeto de medición.</t>
        </r>
      </text>
    </comment>
    <comment ref="AC125" authorId="2" shapeId="0" xr:uid="{FB6E86CB-A71C-4010-B6AC-9EAA31387F57}">
      <text>
        <r>
          <rPr>
            <sz val="9"/>
            <color indexed="81"/>
            <rFont val="Tahoma"/>
            <family val="2"/>
          </rPr>
          <t>Réplica del anterior. 
En esta columna se encuentran los resultados incluyendo solamente las actividades programadas por las áreas para el periodo objeto de medición.</t>
        </r>
      </text>
    </comment>
    <comment ref="N126" authorId="2" shapeId="0" xr:uid="{4278C478-5ADE-47EA-9014-D7A57F8FE5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6" authorId="2" shapeId="0" xr:uid="{8B43D008-90EF-45C1-B3A3-9D2BCF5E058E}">
      <text>
        <r>
          <rPr>
            <sz val="9"/>
            <color indexed="81"/>
            <rFont val="Tahoma"/>
            <family val="2"/>
          </rPr>
          <t>Réplica del anterior. 
En esta columna se encuentran los resultados incluyendo solamente las actividades programadas por las áreas para el periodo objeto de medición.</t>
        </r>
      </text>
    </comment>
    <comment ref="V126" authorId="2" shapeId="0" xr:uid="{4E088BB8-F5FF-4629-B1CB-30C3A511E1D8}">
      <text>
        <r>
          <rPr>
            <sz val="9"/>
            <color indexed="81"/>
            <rFont val="Tahoma"/>
            <family val="2"/>
          </rPr>
          <t>Réplica del anterior. 
En esta columna se encuentran los resultados incluyendo solamente las actividades programadas por las áreas para el periodo objeto de medición.</t>
        </r>
      </text>
    </comment>
    <comment ref="AC126" authorId="2" shapeId="0" xr:uid="{D6F9047A-FE3B-4661-AD8C-A58D78DF7B63}">
      <text>
        <r>
          <rPr>
            <sz val="9"/>
            <color indexed="81"/>
            <rFont val="Tahoma"/>
            <family val="2"/>
          </rPr>
          <t>Réplica del anterior. 
En esta columna se encuentran los resultados incluyendo solamente las actividades programadas por las áreas para el periodo objeto de medición.</t>
        </r>
      </text>
    </comment>
    <comment ref="N127" authorId="2" shapeId="0" xr:uid="{19F48FAC-9876-49E4-A69F-F77BF57F408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7" authorId="2" shapeId="0" xr:uid="{8209DDDE-BED3-410A-8FAC-C226C98652B1}">
      <text>
        <r>
          <rPr>
            <sz val="9"/>
            <color indexed="81"/>
            <rFont val="Tahoma"/>
            <family val="2"/>
          </rPr>
          <t>Réplica del anterior. 
En esta columna se encuentran los resultados incluyendo solamente las actividades programadas por las áreas para el periodo objeto de medición.</t>
        </r>
      </text>
    </comment>
    <comment ref="V127" authorId="2" shapeId="0" xr:uid="{0CFD9A83-59B7-4549-AB53-11813DE0394D}">
      <text>
        <r>
          <rPr>
            <sz val="9"/>
            <color indexed="81"/>
            <rFont val="Tahoma"/>
            <family val="2"/>
          </rPr>
          <t>Réplica del anterior. 
En esta columna se encuentran los resultados incluyendo solamente las actividades programadas por las áreas para el periodo objeto de medición.</t>
        </r>
      </text>
    </comment>
    <comment ref="AC127" authorId="2" shapeId="0" xr:uid="{4EBDD826-2668-4530-A4E7-5283DF6162E6}">
      <text>
        <r>
          <rPr>
            <sz val="9"/>
            <color indexed="81"/>
            <rFont val="Tahoma"/>
            <family val="2"/>
          </rPr>
          <t>Réplica del anterior. 
En esta columna se encuentran los resultados incluyendo solamente las actividades programadas por las áreas para el periodo objeto de medición.</t>
        </r>
      </text>
    </comment>
    <comment ref="N128" authorId="2" shapeId="0" xr:uid="{9D333A71-31C7-4D2C-A285-E24149B5171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8" authorId="2" shapeId="0" xr:uid="{FFC2CAF9-E21A-40B4-A5D5-0BA8600AC7EB}">
      <text>
        <r>
          <rPr>
            <sz val="9"/>
            <color indexed="81"/>
            <rFont val="Tahoma"/>
            <family val="2"/>
          </rPr>
          <t>Réplica del anterior. 
En esta columna se encuentran los resultados incluyendo solamente las actividades programadas por las áreas para el periodo objeto de medición.</t>
        </r>
      </text>
    </comment>
    <comment ref="V128" authorId="2" shapeId="0" xr:uid="{97269D4D-F6A2-4CD3-A087-2C34DBFF60FE}">
      <text>
        <r>
          <rPr>
            <sz val="9"/>
            <color indexed="81"/>
            <rFont val="Tahoma"/>
            <family val="2"/>
          </rPr>
          <t>Réplica del anterior. 
En esta columna se encuentran los resultados incluyendo solamente las actividades programadas por las áreas para el periodo objeto de medición.</t>
        </r>
      </text>
    </comment>
    <comment ref="AC128" authorId="2" shapeId="0" xr:uid="{3A569E60-85FF-4A3B-8037-BA064C4A7632}">
      <text>
        <r>
          <rPr>
            <sz val="9"/>
            <color indexed="81"/>
            <rFont val="Tahoma"/>
            <family val="2"/>
          </rPr>
          <t>Réplica del anterior. 
En esta columna se encuentran los resultados incluyendo solamente las actividades programadas por las áreas para el periodo objeto de medición.</t>
        </r>
      </text>
    </comment>
    <comment ref="N129" authorId="2" shapeId="0" xr:uid="{C830D9F2-9861-4E73-8C27-DC88C4CF4C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29" authorId="2" shapeId="0" xr:uid="{F107C5D6-805A-4B3F-AD0A-D6DD86DD039A}">
      <text>
        <r>
          <rPr>
            <sz val="9"/>
            <color indexed="81"/>
            <rFont val="Tahoma"/>
            <family val="2"/>
          </rPr>
          <t>Réplica del anterior. 
En esta columna se encuentran los resultados incluyendo solamente las actividades programadas por las áreas para el periodo objeto de medición.</t>
        </r>
      </text>
    </comment>
    <comment ref="V129" authorId="2" shapeId="0" xr:uid="{F6310439-85A3-4CDC-9DBF-9ECF5194D87F}">
      <text>
        <r>
          <rPr>
            <sz val="9"/>
            <color indexed="81"/>
            <rFont val="Tahoma"/>
            <family val="2"/>
          </rPr>
          <t>Réplica del anterior. 
En esta columna se encuentran los resultados incluyendo solamente las actividades programadas por las áreas para el periodo objeto de medición.</t>
        </r>
      </text>
    </comment>
    <comment ref="AC129" authorId="2" shapeId="0" xr:uid="{CD1F54A4-61B6-4F8F-A752-5AFC09D86A3F}">
      <text>
        <r>
          <rPr>
            <sz val="9"/>
            <color indexed="81"/>
            <rFont val="Tahoma"/>
            <family val="2"/>
          </rPr>
          <t>Réplica del anterior. 
En esta columna se encuentran los resultados incluyendo solamente las actividades programadas por las áreas para el periodo objeto de medición.</t>
        </r>
      </text>
    </comment>
    <comment ref="N130" authorId="2" shapeId="0" xr:uid="{EACA4680-78A9-4EA0-832E-B305B36DA79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0" authorId="2" shapeId="0" xr:uid="{85F681BD-E1C9-464A-83F4-3C9F077DCFDA}">
      <text>
        <r>
          <rPr>
            <sz val="9"/>
            <color indexed="81"/>
            <rFont val="Tahoma"/>
            <family val="2"/>
          </rPr>
          <t>Réplica del anterior. 
En esta columna se encuentran los resultados incluyendo solamente las actividades programadas por las áreas para el periodo objeto de medición.</t>
        </r>
      </text>
    </comment>
    <comment ref="V130" authorId="2" shapeId="0" xr:uid="{85671D88-F1C7-48FF-8C26-B9470A806859}">
      <text>
        <r>
          <rPr>
            <sz val="9"/>
            <color indexed="81"/>
            <rFont val="Tahoma"/>
            <family val="2"/>
          </rPr>
          <t>Réplica del anterior. 
En esta columna se encuentran los resultados incluyendo solamente las actividades programadas por las áreas para el periodo objeto de medición.</t>
        </r>
      </text>
    </comment>
    <comment ref="AC130" authorId="2" shapeId="0" xr:uid="{0BA8359C-625E-4C4B-9FB5-E00FC043C531}">
      <text>
        <r>
          <rPr>
            <sz val="9"/>
            <color indexed="81"/>
            <rFont val="Tahoma"/>
            <family val="2"/>
          </rPr>
          <t>Réplica del anterior. 
En esta columna se encuentran los resultados incluyendo solamente las actividades programadas por las áreas para el periodo objeto de medición.</t>
        </r>
      </text>
    </comment>
    <comment ref="N131" authorId="2" shapeId="0" xr:uid="{F3C0DDD9-EDBB-4CD1-957F-91756309FBF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O131" authorId="2" shapeId="0" xr:uid="{4945D073-3F10-4981-8509-6E2220064C33}">
      <text>
        <r>
          <rPr>
            <sz val="9"/>
            <color indexed="81"/>
            <rFont val="Tahoma"/>
            <family val="2"/>
          </rPr>
          <t>Réplica del anterior. 
En esta columna se encuentran los resultados incluyendo solamente las actividades programadas por las áreas para el periodo objeto de medición.</t>
        </r>
      </text>
    </comment>
    <comment ref="V131" authorId="2" shapeId="0" xr:uid="{84119994-2818-4259-A1CD-66CA70F32E34}">
      <text>
        <r>
          <rPr>
            <sz val="9"/>
            <color indexed="81"/>
            <rFont val="Tahoma"/>
            <family val="2"/>
          </rPr>
          <t>Réplica del anterior. 
En esta columna se encuentran los resultados incluyendo solamente las actividades programadas por las áreas para el periodo objeto de medición.</t>
        </r>
      </text>
    </comment>
    <comment ref="AC131" authorId="2" shapeId="0" xr:uid="{6B07D08E-AC04-44B7-B0A8-7527356B4478}">
      <text>
        <r>
          <rPr>
            <sz val="9"/>
            <color indexed="81"/>
            <rFont val="Tahoma"/>
            <family val="2"/>
          </rPr>
          <t>Réplica del anterior. 
En esta columna se encuentran los resultados incluyendo solamente las actividades programadas por las áreas para el periodo objeto de medición.</t>
        </r>
      </text>
    </comment>
    <comment ref="N133" authorId="2" shapeId="0" xr:uid="{C2179E28-7AE8-4532-922F-3D0309FFF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4" authorId="2" shapeId="0" xr:uid="{C7F5990C-60EE-42C3-B083-200CCBD9EB1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8" authorId="2" shapeId="0" xr:uid="{07CFC652-C0C2-4E89-9D29-9B39E8D4D6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39" authorId="2" shapeId="0" xr:uid="{E37D487C-EF88-468B-9BD8-2778906E4B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0" authorId="2" shapeId="0" xr:uid="{72AAF9BF-836A-4B04-A038-E9ED9070DE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1" authorId="2" shapeId="0" xr:uid="{6171A621-823C-46B9-B419-7EFB8FAD49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2" authorId="2" shapeId="0" xr:uid="{FE7F1CFA-07EA-4E99-81F1-44CC3250BC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3" authorId="2" shapeId="0" xr:uid="{A7E52754-90EC-430F-BBDB-584BC05C41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6" authorId="2" shapeId="0" xr:uid="{A8029E61-BD9D-4876-9035-90E9A15CAB0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7" authorId="2" shapeId="0" xr:uid="{7C7826BC-D9CE-4C46-A9E4-E91C96EF111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8" authorId="2" shapeId="0" xr:uid="{54A4B175-DD30-490B-969C-14FA8427257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49" authorId="2" shapeId="0" xr:uid="{0E74E390-3447-4839-8119-8B50077CB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0" authorId="2" shapeId="0" xr:uid="{64FC81DA-567E-45EA-9C6E-940993AB219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1" authorId="2" shapeId="0" xr:uid="{B907279F-9A67-440B-8CCF-7DBC180CF7E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2" authorId="2" shapeId="0" xr:uid="{350C35CD-5E9A-4281-8D64-6AE356D614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3" authorId="2" shapeId="0" xr:uid="{3163C2D6-80D3-4296-8CC6-9E0CC4F61EE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4" authorId="2" shapeId="0" xr:uid="{B9DD6A0E-0CF0-4248-A1AB-00B874235C2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5" authorId="2" shapeId="0" xr:uid="{199E6A0B-76E2-4A20-A3D5-734DBEA38B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6" authorId="2" shapeId="0" xr:uid="{35D65500-2E25-4708-8AB5-2D087D3C26E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7" authorId="2" shapeId="0" xr:uid="{97C04CB8-5EBB-42AA-8844-2982DE99316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8" authorId="2" shapeId="0" xr:uid="{76F96D8F-91DB-4D26-8F3F-6E587D1949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59" authorId="2" shapeId="0" xr:uid="{F91709A5-43EB-418E-AFF1-5948A6EC74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0" authorId="2" shapeId="0" xr:uid="{1DBD1CA4-1A74-4A4A-B627-F6E613C483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1" authorId="2" shapeId="0" xr:uid="{CD54A507-0B82-403C-98E6-04350C4761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2" authorId="2" shapeId="0" xr:uid="{9E8625A5-45C5-4126-91AA-5B34F4C7B3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3" authorId="2" shapeId="0" xr:uid="{408E2B01-82D7-4363-8D37-CA272D0D45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4" authorId="2" shapeId="0" xr:uid="{2FF026FB-52E1-4B05-B677-E4BAB972ADC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5" authorId="2" shapeId="0" xr:uid="{4E76BE6F-5602-4905-9608-7233C0B8256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6" authorId="2" shapeId="0" xr:uid="{810E7849-A9D1-47F0-836D-5A5F478951F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7" authorId="2" shapeId="0" xr:uid="{8680D4CA-1CF4-43E6-9561-71AB243B5B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8" authorId="2" shapeId="0" xr:uid="{59A020DE-92D2-40B4-8CC0-CFF6C9FE54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69" authorId="2" shapeId="0" xr:uid="{D0E403A9-7567-43EB-A194-491EADABE2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0" authorId="2" shapeId="0" xr:uid="{E6BA099B-ECE5-4178-8959-CD47684D538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71" authorId="2" shapeId="0" xr:uid="{8D3657AF-9AED-4D6F-A3C3-85576FD7B08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1" authorId="2" shapeId="0" xr:uid="{500E9F08-4404-448D-A0CC-33994B972404}">
      <text>
        <r>
          <rPr>
            <sz val="9"/>
            <color indexed="81"/>
            <rFont val="Tahoma"/>
            <family val="2"/>
          </rPr>
          <t>Réplica del anterior. 
En esta columna se encuentran los resultados incluyendo solamente las actividades programadas por las áreas para el periodo objeto de medición.</t>
        </r>
      </text>
    </comment>
    <comment ref="AC171" authorId="2" shapeId="0" xr:uid="{F7C4BA03-50D9-4282-BFB2-797F63AF5401}">
      <text>
        <r>
          <rPr>
            <sz val="9"/>
            <color indexed="81"/>
            <rFont val="Tahoma"/>
            <family val="2"/>
          </rPr>
          <t>Réplica del anterior. 
En esta columna se encuentran los resultados incluyendo solamente las actividades programadas por las áreas para el periodo objeto de medición.</t>
        </r>
      </text>
    </comment>
    <comment ref="N172" authorId="2" shapeId="0" xr:uid="{D740E5CA-97D5-4BFB-98DA-6AC3BC47F19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2" authorId="2" shapeId="0" xr:uid="{79D13BCA-99B5-4CE0-94E2-0492797528C9}">
      <text>
        <r>
          <rPr>
            <sz val="9"/>
            <color indexed="81"/>
            <rFont val="Tahoma"/>
            <family val="2"/>
          </rPr>
          <t>Réplica del anterior. 
En esta columna se encuentran los resultados incluyendo solamente las actividades programadas por las áreas para el periodo objeto de medición.</t>
        </r>
      </text>
    </comment>
    <comment ref="AC172" authorId="2" shapeId="0" xr:uid="{DB5226A7-9117-4910-BA0F-2DA5EEFA41E5}">
      <text>
        <r>
          <rPr>
            <sz val="9"/>
            <color indexed="81"/>
            <rFont val="Tahoma"/>
            <family val="2"/>
          </rPr>
          <t>Réplica del anterior. 
En esta columna se encuentran los resultados incluyendo solamente las actividades programadas por las áreas para el periodo objeto de medición.</t>
        </r>
      </text>
    </comment>
    <comment ref="N173" authorId="2" shapeId="0" xr:uid="{3E4BD3D8-BD28-4433-8A21-975A5796977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C173" authorId="2" shapeId="0" xr:uid="{08062CE5-A62D-4121-A87A-7D67EB06C9FF}">
      <text>
        <r>
          <rPr>
            <sz val="9"/>
            <color indexed="81"/>
            <rFont val="Tahoma"/>
            <family val="2"/>
          </rPr>
          <t>Réplica del anterior. 
En esta columna se encuentran los resultados incluyendo solamente las actividades programadas por las áreas para el periodo objeto de medición.</t>
        </r>
      </text>
    </comment>
    <comment ref="N174" authorId="2" shapeId="0" xr:uid="{F9DE5E52-639F-4282-A5FC-CDE364A4106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4" authorId="2" shapeId="0" xr:uid="{B9D91462-440C-4C2B-9D4E-DB1FB0B327E9}">
      <text>
        <r>
          <rPr>
            <sz val="9"/>
            <color indexed="81"/>
            <rFont val="Tahoma"/>
            <family val="2"/>
          </rPr>
          <t>Réplica del anterior. 
En esta columna se encuentran los resultados incluyendo solamente las actividades programadas por las áreas para el periodo objeto de medición.</t>
        </r>
      </text>
    </comment>
    <comment ref="N175" authorId="2" shapeId="0" xr:uid="{575DA247-C051-45DE-94E9-50111C46CC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5" authorId="2" shapeId="0" xr:uid="{A851C7EA-8A20-4ED1-A2C1-266A16FBA681}">
      <text>
        <r>
          <rPr>
            <sz val="9"/>
            <color indexed="81"/>
            <rFont val="Tahoma"/>
            <family val="2"/>
          </rPr>
          <t>Réplica del anterior. 
En esta columna se encuentran los resultados incluyendo solamente las actividades programadas por las áreas para el periodo objeto de medición.</t>
        </r>
      </text>
    </comment>
    <comment ref="N176" authorId="2" shapeId="0" xr:uid="{90CAF7F2-F0A3-4D12-A31D-0A370DB798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6" authorId="2" shapeId="0" xr:uid="{757102F3-A28A-4EDB-9450-0B6A9967FDDB}">
      <text>
        <r>
          <rPr>
            <sz val="9"/>
            <color indexed="81"/>
            <rFont val="Tahoma"/>
            <family val="2"/>
          </rPr>
          <t>Réplica del anterior. 
En esta columna se encuentran los resultados incluyendo solamente las actividades programadas por las áreas para el periodo objeto de medición.</t>
        </r>
      </text>
    </comment>
    <comment ref="N177" authorId="2" shapeId="0" xr:uid="{102CB551-80F7-47EC-82DA-C8BD202D90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7" authorId="2" shapeId="0" xr:uid="{E81C02D8-DB81-4851-9C47-19BE9A4685E8}">
      <text>
        <r>
          <rPr>
            <sz val="9"/>
            <color indexed="81"/>
            <rFont val="Tahoma"/>
            <family val="2"/>
          </rPr>
          <t>Réplica del anterior. 
En esta columna se encuentran los resultados incluyendo solamente las actividades programadas por las áreas para el periodo objeto de medición.</t>
        </r>
      </text>
    </comment>
    <comment ref="N178" authorId="2" shapeId="0" xr:uid="{21BE4A9C-4D69-442E-89C3-2D2815B41B0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8" authorId="2" shapeId="0" xr:uid="{4D5E8F1C-5833-437C-9897-A11708BD1BF7}">
      <text>
        <r>
          <rPr>
            <sz val="9"/>
            <color indexed="81"/>
            <rFont val="Tahoma"/>
            <family val="2"/>
          </rPr>
          <t>Réplica del anterior. 
En esta columna se encuentran los resultados incluyendo solamente las actividades programadas por las áreas para el periodo objeto de medición.</t>
        </r>
      </text>
    </comment>
    <comment ref="N179" authorId="2" shapeId="0" xr:uid="{CBB282CA-7EE7-46AC-A368-5C1E00FF05F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79" authorId="2" shapeId="0" xr:uid="{4D006279-8B56-4952-BE7D-18F146A420A8}">
      <text>
        <r>
          <rPr>
            <sz val="9"/>
            <color indexed="81"/>
            <rFont val="Tahoma"/>
            <family val="2"/>
          </rPr>
          <t>Réplica del anterior. 
En esta columna se encuentran los resultados incluyendo solamente las actividades programadas por las áreas para el periodo objeto de medición.</t>
        </r>
      </text>
    </comment>
    <comment ref="N180" authorId="2" shapeId="0" xr:uid="{3292313E-B63B-4A42-968C-2D2345F0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V180" authorId="2" shapeId="0" xr:uid="{A3D80D63-1AAF-4095-8B81-E9A4DD84891C}">
      <text>
        <r>
          <rPr>
            <sz val="9"/>
            <color indexed="81"/>
            <rFont val="Tahoma"/>
            <family val="2"/>
          </rPr>
          <t>Réplica del anterior. 
En esta columna se encuentran los resultados incluyendo solamente las actividades programadas por las áreas para el periodo objeto de medición.</t>
        </r>
      </text>
    </comment>
    <comment ref="N181" authorId="2" shapeId="0" xr:uid="{04DF5826-D0E8-435A-962D-2941347A2F9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2" authorId="2" shapeId="0" xr:uid="{861CD00A-2D52-446E-8C6F-457F26B904B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3" authorId="2" shapeId="0" xr:uid="{8E337EA5-EC9B-4EF0-BC82-F742B7084BC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4" authorId="2" shapeId="0" xr:uid="{D52CECF8-257D-4A84-9D8B-5A80337CD8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5" authorId="2" shapeId="0" xr:uid="{12FC75A7-4F58-40F7-AEC3-5766EF5133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6" authorId="2" shapeId="0" xr:uid="{02F8253D-F173-41F1-BC92-2EEB22F532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7" authorId="2" shapeId="0" xr:uid="{D45488C3-D5BC-424C-886D-66E5EC67123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8" authorId="2" shapeId="0" xr:uid="{8D22739F-1A04-462D-8B67-08CEE28A0EB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89" authorId="2" shapeId="0" xr:uid="{8DFD03BC-B7AD-438E-A890-E00C649557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0" authorId="2" shapeId="0" xr:uid="{31D1B610-7756-424C-9D60-E8B68931BE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1" authorId="2" shapeId="0" xr:uid="{286DEAAC-0B21-4F53-805C-7FBAA9AE1E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2" authorId="2" shapeId="0" xr:uid="{6AD7D1E7-AFBC-4D73-91F7-497C4588D1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3" authorId="2" shapeId="0" xr:uid="{88016036-8105-4B53-BB21-925E023EF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4" authorId="2" shapeId="0" xr:uid="{C55BA21A-962D-47F0-82AE-E43CBD76EA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5" authorId="2" shapeId="0" xr:uid="{6AA524A0-F6E2-4889-A977-737512203D7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6" authorId="2" shapeId="0" xr:uid="{911D54ED-AD17-48CB-AB36-920FFF84123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7" authorId="2" shapeId="0" xr:uid="{1C5A4F37-2A99-45A2-99B6-8948239866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8" authorId="2" shapeId="0" xr:uid="{70E5C028-CD3B-462B-A264-0AA3F3C5FC1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199" authorId="2" shapeId="0" xr:uid="{C124138D-81FD-4F59-BD8D-598C3AD818B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0" authorId="2" shapeId="0" xr:uid="{CAD97673-204B-49F0-BA7B-7F6E26B1C20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1" authorId="2" shapeId="0" xr:uid="{C8E1E674-34DE-4B90-9104-4AEC14F2AB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2" authorId="2" shapeId="0" xr:uid="{55E7007B-ABEC-4CFB-B54D-5031343AAF7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3" authorId="2" shapeId="0" xr:uid="{AD70B5A5-5E53-4233-B2E9-B0211D8741F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4" authorId="2" shapeId="0" xr:uid="{23FF4435-D9B7-4B42-B4DD-37DB8A9A23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5" authorId="2" shapeId="0" xr:uid="{D3B65C98-248D-435C-88DC-95C57EFBF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6" authorId="2" shapeId="0" xr:uid="{358B1C90-8CF4-4FFD-BF9E-BDF0E6AEE93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7" authorId="2" shapeId="0" xr:uid="{3147C486-6572-4275-8F04-41ECD14FEAC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09" authorId="2" shapeId="0" xr:uid="{A1BC4EF6-EB46-4DF5-8193-9E3BA56722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0" authorId="2" shapeId="0" xr:uid="{05E29F7B-C21F-44E4-B922-795A69FFEA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1" authorId="2" shapeId="0" xr:uid="{E42D2133-7969-4E47-977C-AC8FF2421DF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2" authorId="2" shapeId="0" xr:uid="{5FC1F8CC-B472-4992-AAA4-92A6CDB240F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3" authorId="2" shapeId="0" xr:uid="{7FC1BAFF-09FE-4C47-ACBF-E37CDF349D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4" authorId="2" shapeId="0" xr:uid="{090B5801-8CFB-4E00-B9C5-D590CAEE6B5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5" authorId="2" shapeId="0" xr:uid="{FEA75127-A687-4DD0-A214-C98481967F0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6" authorId="2" shapeId="0" xr:uid="{286DC8B5-4FEA-4464-891A-5E4B756F233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7" authorId="2" shapeId="0" xr:uid="{570E26FC-7665-4EDC-B05F-20A0F00623C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8" authorId="2" shapeId="0" xr:uid="{A862910E-4A19-4279-B533-C2449497981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19" authorId="2" shapeId="0" xr:uid="{1CFDBD14-4ED7-4102-A8C2-1156D4051A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0" authorId="2" shapeId="0" xr:uid="{296AD999-411F-46EC-A76B-D7FB3C0AEA4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1" authorId="2" shapeId="0" xr:uid="{BE63C9A9-E754-42CF-835F-45343AC2F9F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2" authorId="2" shapeId="0" xr:uid="{4B9921F3-3A0B-4A3E-A825-46BD8A2759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3" authorId="2" shapeId="0" xr:uid="{66D17C9C-D5EC-49A4-9D47-66CF9C3D334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4" authorId="2" shapeId="0" xr:uid="{357227B8-61C7-4EE6-BB03-1D1AC5E7477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5" authorId="2" shapeId="0" xr:uid="{0128BF30-6AA2-4387-9593-5A1C7942D7D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6" authorId="2" shapeId="0" xr:uid="{BDEB0F2D-71C0-4818-A8BD-403B8A02C06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7" authorId="2" shapeId="0" xr:uid="{23C92458-227F-4D2E-A0B7-8B44AB6E51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28" authorId="2" shapeId="0" xr:uid="{59644718-B062-4883-BFE0-B0B522123B0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0" authorId="2" shapeId="0" xr:uid="{6308DEF0-2ADC-4FC2-9E27-5685587EBAE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1" authorId="2" shapeId="0" xr:uid="{9229FAD4-8F1A-4FC8-9CFE-97192B4B104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2" authorId="2" shapeId="0" xr:uid="{6E38CB50-E8D9-454F-ADEA-B2FD93B666A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3" authorId="2" shapeId="0" xr:uid="{51D708B2-F449-4984-890D-F260E72F6A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4" authorId="2" shapeId="0" xr:uid="{9B6213DD-A96B-4496-BCFF-62EDF9BF08F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5" authorId="2" shapeId="0" xr:uid="{6F99CFA4-7A3B-42AA-A1FA-6DE4B35BF7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6" authorId="2" shapeId="0" xr:uid="{D32F1914-F8DC-4F56-B31D-215619C47CD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7" authorId="2" shapeId="0" xr:uid="{66005943-F0DA-4B7F-9ED5-3BD58722AAC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8" authorId="2" shapeId="0" xr:uid="{CE5130FF-A1D6-48A3-840C-C0CF56218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39" authorId="2" shapeId="0" xr:uid="{81A3FA7A-34E3-4570-8C1E-8BD4EA3EF43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U239" authorId="2" shapeId="0" xr:uid="{2D55DDC6-9222-48E9-A925-2088A0DA8B7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AB239" authorId="2" shapeId="0" xr:uid="{F289D147-E9D2-444C-AF51-58CC16B2A91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2" authorId="2" shapeId="0" xr:uid="{DE42F5D5-47B8-4DC0-8AE3-EA2A650F183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3" authorId="2" shapeId="0" xr:uid="{520101A3-E4CF-4A91-AA2A-74606CEA39B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4" authorId="2" shapeId="0" xr:uid="{F669A25F-98C3-46AA-9629-89E199F743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5" authorId="2" shapeId="0" xr:uid="{4139306B-D474-4E61-8265-CD2A91BC269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6" authorId="2" shapeId="0" xr:uid="{5E2C96A9-4DAE-4507-9049-9069B0BFAEE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7" authorId="2" shapeId="0" xr:uid="{8C09493F-3F89-498B-A8F4-DE8E379E101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8" authorId="2" shapeId="0" xr:uid="{96DC5692-02E7-46A9-935D-5DB0ECE969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49" authorId="2" shapeId="0" xr:uid="{59A0AB89-771A-44A4-9338-05C12FA0CC4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0" authorId="2" shapeId="0" xr:uid="{AD5DC766-7E6D-4079-AD71-DCE0640A4D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1" authorId="2" shapeId="0" xr:uid="{FFFF918C-F7C3-436D-86D7-A1C45F7C5C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2" authorId="2" shapeId="0" xr:uid="{14A29D6E-EFBC-48DC-A3A4-A1A19A2B755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3" authorId="2" shapeId="0" xr:uid="{E282C690-987B-4CDA-9537-C0AB1B4B7D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4" authorId="2" shapeId="0" xr:uid="{39B98BF1-095F-48B3-8C68-735D78BA404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5" authorId="2" shapeId="0" xr:uid="{1300908C-BB4A-439E-8A06-C749AFC1F33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6" authorId="2" shapeId="0" xr:uid="{C1FF640F-59AC-4A3C-B66E-A269C016304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7" authorId="2" shapeId="0" xr:uid="{A4E0CCE4-87B5-49A7-B29C-ABE4D9EC7ED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8" authorId="2" shapeId="0" xr:uid="{5E520470-D5C8-4F29-84DD-A834F883AE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59" authorId="2" shapeId="0" xr:uid="{982257F6-F920-4FC2-ABF9-E3B009D5A96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0" authorId="2" shapeId="0" xr:uid="{0DCCE56F-D832-4E52-B29F-D4B42699CB4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1" authorId="2" shapeId="0" xr:uid="{BF4B58DE-74CD-43D8-814A-D870603DAFE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2" authorId="2" shapeId="0" xr:uid="{5F21539C-47DA-4F25-8E0D-ACD36859EF9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3" authorId="2" shapeId="0" xr:uid="{C9E29C54-587B-4C7C-9494-7E785FED6CA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4" authorId="2" shapeId="0" xr:uid="{201C0EE2-0F58-40BE-933A-535ADDFA14A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5" authorId="2" shapeId="0" xr:uid="{A4CD00EC-80A4-4913-BB40-5515AEA706F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6" authorId="2" shapeId="0" xr:uid="{573A0566-2C8B-4F75-BB74-9C64C7DE3F5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7" authorId="2" shapeId="0" xr:uid="{BFEC1EE4-9D63-40A6-A6B4-4DD52CC856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8" authorId="2" shapeId="0" xr:uid="{2F57E6D4-6F4B-40C7-917E-EA654CEDAB3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69" authorId="2" shapeId="0" xr:uid="{DDB55110-37D5-4D7A-8174-53C3141D075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0" authorId="2" shapeId="0" xr:uid="{CA2CE37B-E002-4F80-A448-A8F27AB8734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1" authorId="2" shapeId="0" xr:uid="{5309CDD9-34DF-4AA3-89AA-34EE08DB203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2" authorId="2" shapeId="0" xr:uid="{46073BD8-D56A-4AB2-8121-46C2B9AD28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3" authorId="2" shapeId="0" xr:uid="{F71D7F18-AEB7-4663-858F-5436A5FFD77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4" authorId="2" shapeId="0" xr:uid="{CD103FC9-C049-4C60-8270-D0D0388E7F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5" authorId="2" shapeId="0" xr:uid="{6615A7B0-43F3-421B-9090-8EDA3C9B8A4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6" authorId="2" shapeId="0" xr:uid="{BC607CD9-9308-41BA-9F83-43BFE905B8D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7" authorId="2" shapeId="0" xr:uid="{E59A9D94-C46B-4F6C-A7BA-22CC651DB39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8" authorId="2" shapeId="0" xr:uid="{E7F9B433-C691-4BF0-9132-596B3ED718B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79" authorId="2" shapeId="0" xr:uid="{2F8BE1A4-6EBD-4D48-9C35-27759881905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0" authorId="2" shapeId="0" xr:uid="{16A4B9EB-35FD-4A3E-AECB-4A9AD59F112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1" authorId="2" shapeId="0" xr:uid="{8DE33578-9F03-43A9-9799-CFE31A6BE89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2" authorId="2" shapeId="0" xr:uid="{72888197-9112-4E84-B5BE-54E1529AD18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3" authorId="2" shapeId="0" xr:uid="{2E45646D-B6EA-4FC6-976A-672C88B3E8F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4" authorId="2" shapeId="0" xr:uid="{35526D24-260D-4F36-8011-3F714FF55F2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5" authorId="2" shapeId="0" xr:uid="{D9F5C6BF-CD71-4FB9-949C-680AEC43248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6" authorId="2" shapeId="0" xr:uid="{DCD618A4-D625-4648-BE7A-194B05533B2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7" authorId="2" shapeId="0" xr:uid="{AD8850F1-4BCA-4F0D-92B4-1780D28463B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8" authorId="2" shapeId="0" xr:uid="{27D4FD9B-DC83-416F-8211-C6E0502557D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89" authorId="2" shapeId="0" xr:uid="{E2736157-E809-49FA-8C2D-BB9C788F5EF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0" authorId="2" shapeId="0" xr:uid="{E1573737-A255-4CD8-A9E8-E89216DB3A4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1" authorId="2" shapeId="0" xr:uid="{348BC59B-A792-4777-9FD1-84D0F888D673}">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2" authorId="2" shapeId="0" xr:uid="{D6708E5E-DC32-4A13-B729-004AFA7ACDC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3" authorId="2" shapeId="0" xr:uid="{2721901A-0DCB-4A8E-95EC-4D53CDABF9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4" authorId="2" shapeId="0" xr:uid="{1D71356F-328A-494A-AB7A-04C91BA5D34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5" authorId="2" shapeId="0" xr:uid="{23B9DAAE-358B-417E-877C-C8E3FB2529B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6" authorId="2" shapeId="0" xr:uid="{66C45FD1-A9CB-48D6-9BFF-B2824D781D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7" authorId="2" shapeId="0" xr:uid="{9541987F-DAD4-41A7-9269-46CD1A332C0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8" authorId="2" shapeId="0" xr:uid="{7C28C60E-A55A-43DF-BB5E-3B5B118E9CA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299" authorId="2" shapeId="0" xr:uid="{44FC2707-7CB1-4B15-BF04-BA11BB91681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0" authorId="2" shapeId="0" xr:uid="{3D4404E2-C1F3-4CA0-880D-9A8A2EC3893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1" authorId="2" shapeId="0" xr:uid="{5BE3068D-CEF5-4DD0-A345-F381F942CF7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2" authorId="2" shapeId="0" xr:uid="{D67D3375-5412-46B9-933E-783C6AA7D78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3" authorId="2" shapeId="0" xr:uid="{64D91B70-30AD-4EC0-86AB-A2C35FAF071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4" authorId="2" shapeId="0" xr:uid="{EDD73E05-0C3D-4D7F-94C4-568043925A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5" authorId="2" shapeId="0" xr:uid="{8D0F3AF0-CFAD-447E-A5D7-67D9B920DD0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6" authorId="2" shapeId="0" xr:uid="{73425EA8-5F42-4F18-80E3-E46BD23959A2}">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7" authorId="2" shapeId="0" xr:uid="{A6A5DA78-045F-469C-8230-8FF727E784F1}">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08" authorId="2" shapeId="0" xr:uid="{D383C8B5-68FE-456E-B71C-9F823567196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0" authorId="2" shapeId="0" xr:uid="{CAF09EB7-5884-430C-83E4-FDE31090A33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1" authorId="2" shapeId="0" xr:uid="{307DD616-D808-4FF5-8DE6-C77D1533808F}">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2" authorId="2" shapeId="0" xr:uid="{9C5269F1-B512-4C6B-9C22-F3203F6A85B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3" authorId="2" shapeId="0" xr:uid="{D6C5306E-32E2-41F1-B344-1EA88FD0D0A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4" authorId="2" shapeId="0" xr:uid="{2E70716E-B3EE-40DF-826C-E9FC5C11C9C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5" authorId="2" shapeId="0" xr:uid="{F2EAB7EC-F6E4-4F68-B57E-41657AF845C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16" authorId="2" shapeId="0" xr:uid="{6D1DB726-AB13-49AF-AA45-22DC5CAA555C}">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2" authorId="2" shapeId="0" xr:uid="{C1444729-0572-4965-9748-9E3FFAF2F515}">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3" authorId="2" shapeId="0" xr:uid="{3EEB8DB1-51B2-4D08-BE4D-674A67FDA88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4" authorId="2" shapeId="0" xr:uid="{176B3A27-0825-4615-B319-23113086320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5" authorId="2" shapeId="0" xr:uid="{B916B8A1-3E97-46BF-92C7-9CBCAE40EAA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6" authorId="2" shapeId="0" xr:uid="{1A2FC342-4E04-4F76-BFCA-26299EFCCDD6}">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7" authorId="2" shapeId="0" xr:uid="{0CC3B27D-9D14-45D5-8841-DD6A4911FE3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8" authorId="2" shapeId="0" xr:uid="{6DD4A382-8C3C-4B83-A3FC-3A9AD785EF6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29" authorId="2" shapeId="0" xr:uid="{7404B2D1-902F-4F44-B623-A7FD2708928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0" authorId="2" shapeId="0" xr:uid="{D10A07F3-1410-4A24-B73A-E20479FFD53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1" authorId="2" shapeId="0" xr:uid="{98C1E2F7-4B6D-4D7D-8179-A3630935548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32" authorId="2" shapeId="0" xr:uid="{DF8CAD71-2FCB-44E4-9DE6-A21FBB0C8D1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1" authorId="2" shapeId="0" xr:uid="{5E4653B0-3106-4C26-A134-B02F7A1E6E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2" authorId="2" shapeId="0" xr:uid="{B1C555CC-9EE9-4444-88C5-F722092C25D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3" authorId="2" shapeId="0" xr:uid="{9882482B-86C0-4F4A-9048-0959E2B49129}">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4" authorId="2" shapeId="0" xr:uid="{DF9F9508-2791-408D-83D4-8B322B081CD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5" authorId="2" shapeId="0" xr:uid="{B00B97B7-365C-4B91-A6F5-B5FCC26E0F7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6" authorId="2" shapeId="0" xr:uid="{A2FD24DF-76D4-4B14-A0E1-2C5A51FACB0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7" authorId="2" shapeId="0" xr:uid="{FB4782A9-5CB7-44FA-91E3-54817EDC5ACB}">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8" authorId="2" shapeId="0" xr:uid="{E811D6AA-EDD7-4A6D-AD08-00F288175EE0}">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59" authorId="2" shapeId="0" xr:uid="{3046DD3E-FA06-4E3E-A939-E2CED8ED9E27}">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0" authorId="2" shapeId="0" xr:uid="{8E532399-4772-49D6-B18E-8EB3345C080E}">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1" authorId="2" shapeId="0" xr:uid="{5811F4E2-EE83-4676-8CA3-62EE23553128}">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2" authorId="2" shapeId="0" xr:uid="{BD271D85-574F-4303-A491-9A0B31DE3E04}">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3" authorId="2" shapeId="0" xr:uid="{F04042FE-7E3F-48E8-8CDB-3DFC2CD2B99D}">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 ref="N364" authorId="2" shapeId="0" xr:uid="{DA0F725C-7381-444F-B2DC-F507555B9D6A}">
      <text>
        <r>
          <rPr>
            <sz val="9"/>
            <color indexed="81"/>
            <rFont val="Tahoma"/>
            <family val="2"/>
          </rPr>
          <t>Datos con aproximación al 100% de las actividades sobre ejecutadas de la columna anterior.
En esta columna se encuentran los resultados  incluyendo todas las actividades programadas por las áreas para 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fogafin</author>
    <author>NORELA BRICEÑO BOHORQUEZ</author>
  </authors>
  <commentList>
    <comment ref="C5" authorId="0" shapeId="0" xr:uid="{42E03877-B708-4962-A647-9F662DA9496D}">
      <text>
        <r>
          <rPr>
            <b/>
            <sz val="10"/>
            <color indexed="81"/>
            <rFont val="Tahoma"/>
            <family val="2"/>
          </rPr>
          <t>Es la correspondencia entre el resultado del indicador en el periodo y la meta establecida.</t>
        </r>
      </text>
    </comment>
    <comment ref="I5" authorId="0" shapeId="0" xr:uid="{DE6AA335-100D-4145-ABBE-01B19D14BE64}">
      <text>
        <r>
          <rPr>
            <b/>
            <sz val="10"/>
            <color indexed="81"/>
            <rFont val="Tahoma"/>
            <family val="2"/>
          </rPr>
          <t>Corresponde al avance acumulado del indicador</t>
        </r>
      </text>
    </comment>
    <comment ref="Q5" authorId="0" shapeId="0" xr:uid="{E0F426B5-D91D-407D-AC2B-DC9BCE0C2E0D}">
      <text>
        <r>
          <rPr>
            <b/>
            <sz val="10"/>
            <color indexed="81"/>
            <rFont val="Tahoma"/>
            <family val="2"/>
          </rPr>
          <t>Es la correspondencia entre el resultado del indicador en el periodo y la meta establecida.</t>
        </r>
      </text>
    </comment>
    <comment ref="W5" authorId="0" shapeId="0" xr:uid="{0F9BEE29-5A5A-416E-A85C-A5E05660EADA}">
      <text>
        <r>
          <rPr>
            <b/>
            <sz val="10"/>
            <color indexed="81"/>
            <rFont val="Tahoma"/>
            <family val="2"/>
          </rPr>
          <t>Corresponde al avance acumulado del indicador</t>
        </r>
      </text>
    </comment>
    <comment ref="AE5" authorId="0" shapeId="0" xr:uid="{001902F3-1BC7-4B98-BB68-F51505331218}">
      <text>
        <r>
          <rPr>
            <b/>
            <sz val="10"/>
            <color indexed="81"/>
            <rFont val="Tahoma"/>
            <family val="2"/>
          </rPr>
          <t>Es la correspondencia entre el resultado del indicador en el periodo y la meta establecida.</t>
        </r>
      </text>
    </comment>
    <comment ref="AK5" authorId="0" shapeId="0" xr:uid="{C49F5B9C-C769-492A-BD45-636C317AA492}">
      <text>
        <r>
          <rPr>
            <b/>
            <sz val="10"/>
            <color indexed="81"/>
            <rFont val="Tahoma"/>
            <family val="2"/>
          </rPr>
          <t>Corresponde al avance acumulado del indicador</t>
        </r>
      </text>
    </comment>
    <comment ref="AS5" authorId="0" shapeId="0" xr:uid="{8C3D131D-A754-4F24-B58E-81CC59C5BFDE}">
      <text>
        <r>
          <rPr>
            <b/>
            <sz val="10"/>
            <color indexed="81"/>
            <rFont val="Tahoma"/>
            <family val="2"/>
          </rPr>
          <t>Es la correspondencia entre el resultado del indicador en el periodo y la meta establecida.</t>
        </r>
      </text>
    </comment>
    <comment ref="AY5" authorId="0" shapeId="0" xr:uid="{630C01D7-FC8C-42C4-A4F4-4E9DA75A9EC1}">
      <text>
        <r>
          <rPr>
            <b/>
            <sz val="10"/>
            <color indexed="81"/>
            <rFont val="Tahoma"/>
            <family val="2"/>
          </rPr>
          <t>Corresponde al avance acumulado del indicador</t>
        </r>
      </text>
    </comment>
    <comment ref="I6" authorId="1" shapeId="0" xr:uid="{337D9745-ABAE-40A7-8929-5522C07E44EA}">
      <text>
        <r>
          <rPr>
            <sz val="9"/>
            <color indexed="81"/>
            <rFont val="Tahoma"/>
            <family val="2"/>
          </rPr>
          <t>Datos incluyendo todas las actividades programadas por las áreas para el año.</t>
        </r>
      </text>
    </comment>
    <comment ref="W6" authorId="1" shapeId="0" xr:uid="{1310EF9F-F68D-49AC-B5D5-0E8AA90212A5}">
      <text>
        <r>
          <rPr>
            <sz val="9"/>
            <color indexed="81"/>
            <rFont val="Tahoma"/>
            <family val="2"/>
          </rPr>
          <t>Datos incluyendo todas las actividades programadas por las áreas para el año.</t>
        </r>
      </text>
    </comment>
    <comment ref="AK6" authorId="1" shapeId="0" xr:uid="{65EF8B79-5272-411E-B588-B96B7BD21D25}">
      <text>
        <r>
          <rPr>
            <sz val="9"/>
            <color indexed="81"/>
            <rFont val="Tahoma"/>
            <family val="2"/>
          </rPr>
          <t>Datos incluyendo todas las actividades programadas por las áreas para el año.</t>
        </r>
      </text>
    </comment>
    <comment ref="AY6" authorId="1" shapeId="0" xr:uid="{06311A75-4E11-4F47-8550-1BBDF2E43AA5}">
      <text>
        <r>
          <rPr>
            <sz val="9"/>
            <color indexed="81"/>
            <rFont val="Tahoma"/>
            <family val="2"/>
          </rPr>
          <t>Datos incluyendo todas las actividades programadas por las áreas para 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889E5147-7496-433F-886D-E124F166430B}">
      <text>
        <r>
          <rPr>
            <b/>
            <sz val="10"/>
            <color indexed="81"/>
            <rFont val="Tahoma"/>
            <family val="2"/>
          </rPr>
          <t>Es la correspondencia entre el resultado del indicador en el periodo y la meta establecida.</t>
        </r>
      </text>
    </comment>
    <comment ref="I5" authorId="0" shapeId="0" xr:uid="{9CE86E9A-143D-412B-AC30-6CF3413D82AA}">
      <text>
        <r>
          <rPr>
            <b/>
            <sz val="10"/>
            <color indexed="81"/>
            <rFont val="Tahoma"/>
            <family val="2"/>
          </rPr>
          <t>Correponde al cumplimiento acumuldo del indicador</t>
        </r>
      </text>
    </comment>
    <comment ref="P5" authorId="0" shapeId="0" xr:uid="{DC7F8ECB-9A60-47FC-93E2-FC08C0657C69}">
      <text>
        <r>
          <rPr>
            <b/>
            <sz val="10"/>
            <color indexed="81"/>
            <rFont val="Tahoma"/>
            <family val="2"/>
          </rPr>
          <t>Es la correspondencia entre el resultado del indicador en el periodo y la meta establecida.</t>
        </r>
      </text>
    </comment>
    <comment ref="V5" authorId="0" shapeId="0" xr:uid="{FD052C04-BF14-4D78-B4F7-E0757DF1591C}">
      <text>
        <r>
          <rPr>
            <b/>
            <sz val="10"/>
            <color indexed="81"/>
            <rFont val="Tahoma"/>
            <family val="2"/>
          </rPr>
          <t>Correponde al cumplimiento acumuldo del indicador</t>
        </r>
      </text>
    </comment>
    <comment ref="AC5" authorId="0" shapeId="0" xr:uid="{5341CF6F-2AAE-493E-9F6C-FD7FA8F24571}">
      <text>
        <r>
          <rPr>
            <b/>
            <sz val="10"/>
            <color indexed="81"/>
            <rFont val="Tahoma"/>
            <family val="2"/>
          </rPr>
          <t>Es la correspondencia entre el resultado del indicador en el periodo y la meta establecida.</t>
        </r>
      </text>
    </comment>
    <comment ref="AI5" authorId="0" shapeId="0" xr:uid="{F6132A43-C585-49D0-95DF-C039579FB347}">
      <text>
        <r>
          <rPr>
            <b/>
            <sz val="10"/>
            <color indexed="81"/>
            <rFont val="Tahoma"/>
            <family val="2"/>
          </rPr>
          <t>Correponde al cumplimiento acumuldo del indicador</t>
        </r>
      </text>
    </comment>
    <comment ref="AP5" authorId="0" shapeId="0" xr:uid="{E7733BA7-716B-4E49-9735-AAFB2D528969}">
      <text>
        <r>
          <rPr>
            <b/>
            <sz val="10"/>
            <color indexed="81"/>
            <rFont val="Tahoma"/>
            <family val="2"/>
          </rPr>
          <t>Es la correspondencia entre el resultado del indicador en el periodo y la meta establecida.</t>
        </r>
      </text>
    </comment>
    <comment ref="AV5" authorId="0" shapeId="0" xr:uid="{FC1AEEE3-4CA6-4296-8B85-6D2FC920662F}">
      <text>
        <r>
          <rPr>
            <b/>
            <sz val="10"/>
            <color indexed="81"/>
            <rFont val="Tahoma"/>
            <family val="2"/>
          </rPr>
          <t>Correponde al cumplimiento acumuldo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5863343E-515F-43D2-93DA-26A10006F64E}">
      <text>
        <r>
          <rPr>
            <b/>
            <sz val="10"/>
            <color indexed="81"/>
            <rFont val="Tahoma"/>
            <family val="2"/>
          </rPr>
          <t>Es la correspondencia entre el resultado del indicador en el periodo y la meta establecida.</t>
        </r>
      </text>
    </comment>
    <comment ref="I5" authorId="0" shapeId="0" xr:uid="{65A75F47-CA83-43B6-9376-C7D43D886687}">
      <text>
        <r>
          <rPr>
            <b/>
            <sz val="10"/>
            <color indexed="81"/>
            <rFont val="Tahoma"/>
            <family val="2"/>
          </rPr>
          <t>Corresponde al avance acumulado en el periodo</t>
        </r>
      </text>
    </comment>
    <comment ref="P5" authorId="0" shapeId="0" xr:uid="{27C936F0-360A-45C5-9670-F08312D6A219}">
      <text>
        <r>
          <rPr>
            <b/>
            <sz val="10"/>
            <color indexed="81"/>
            <rFont val="Tahoma"/>
            <family val="2"/>
          </rPr>
          <t>Es la correspondencia entre el resultado del indicador en el periodo y la meta establecida.</t>
        </r>
      </text>
    </comment>
    <comment ref="V5" authorId="0" shapeId="0" xr:uid="{0D88D062-206A-4110-9F6B-EB22B6ADD1E7}">
      <text>
        <r>
          <rPr>
            <b/>
            <sz val="10"/>
            <color indexed="81"/>
            <rFont val="Tahoma"/>
            <family val="2"/>
          </rPr>
          <t>Corresponde al avance acumulado en el periodo</t>
        </r>
      </text>
    </comment>
    <comment ref="AC5" authorId="0" shapeId="0" xr:uid="{1BE63937-1FEC-4A4B-8CA5-404F2345C9AE}">
      <text>
        <r>
          <rPr>
            <b/>
            <sz val="10"/>
            <color indexed="81"/>
            <rFont val="Tahoma"/>
            <family val="2"/>
          </rPr>
          <t>Es la correspondencia entre el resultado del indicador en el periodo y la meta establecida.</t>
        </r>
      </text>
    </comment>
    <comment ref="AI5" authorId="0" shapeId="0" xr:uid="{80912CE2-C270-428F-B01E-956D78CDDDFE}">
      <text>
        <r>
          <rPr>
            <b/>
            <sz val="10"/>
            <color indexed="81"/>
            <rFont val="Tahoma"/>
            <family val="2"/>
          </rPr>
          <t>Corresponde al avance acumulado en el periodo</t>
        </r>
      </text>
    </comment>
    <comment ref="AP5" authorId="0" shapeId="0" xr:uid="{98CE286F-8CD9-4245-9D06-38AB177328D9}">
      <text>
        <r>
          <rPr>
            <b/>
            <sz val="10"/>
            <color indexed="81"/>
            <rFont val="Tahoma"/>
            <family val="2"/>
          </rPr>
          <t>Es la correspondencia entre el resultado del indicador en el periodo y la meta establecida.</t>
        </r>
      </text>
    </comment>
    <comment ref="AV5" authorId="0" shapeId="0" xr:uid="{29B2E2C4-3309-41FE-A228-58C77F40CABC}">
      <text>
        <r>
          <rPr>
            <b/>
            <sz val="10"/>
            <color indexed="81"/>
            <rFont val="Tahoma"/>
            <family val="2"/>
          </rPr>
          <t>Corresponde al avance acumulado en el periodo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fogafin</author>
  </authors>
  <commentList>
    <comment ref="C5" authorId="0" shapeId="0" xr:uid="{9DAB1F16-81C3-42BA-BEDA-519C4C4D5CC4}">
      <text>
        <r>
          <rPr>
            <b/>
            <sz val="10"/>
            <color indexed="81"/>
            <rFont val="Tahoma"/>
            <family val="2"/>
          </rPr>
          <t>Es la correspondencia entre el resultado del indicador en el periodo y la meta establecida.</t>
        </r>
      </text>
    </comment>
    <comment ref="I5" authorId="0" shapeId="0" xr:uid="{F9FA5DCE-4C9C-4D91-9BE2-F35907A8D81A}">
      <text>
        <r>
          <rPr>
            <b/>
            <sz val="10"/>
            <color indexed="81"/>
            <rFont val="Tahoma"/>
            <family val="2"/>
          </rPr>
          <t>Corresponde al avance acumulado en el periodo</t>
        </r>
      </text>
    </comment>
    <comment ref="P5" authorId="0" shapeId="0" xr:uid="{B2AC81E9-A281-429C-8B58-7B04462ED34B}">
      <text>
        <r>
          <rPr>
            <b/>
            <sz val="10"/>
            <color indexed="81"/>
            <rFont val="Tahoma"/>
            <family val="2"/>
          </rPr>
          <t>Es la correspondencia entre el resultado del indicador en el periodo y la meta establecida.</t>
        </r>
      </text>
    </comment>
    <comment ref="V5" authorId="0" shapeId="0" xr:uid="{37B03869-DE16-4745-A859-6528477D720A}">
      <text>
        <r>
          <rPr>
            <b/>
            <sz val="10"/>
            <color indexed="81"/>
            <rFont val="Tahoma"/>
            <family val="2"/>
          </rPr>
          <t>Corresponde al avance acumulado en el periodo</t>
        </r>
      </text>
    </comment>
    <comment ref="AC5" authorId="0" shapeId="0" xr:uid="{761D9F70-43B3-4B02-8A88-9B9F79667447}">
      <text>
        <r>
          <rPr>
            <b/>
            <sz val="10"/>
            <color indexed="81"/>
            <rFont val="Tahoma"/>
            <family val="2"/>
          </rPr>
          <t>Es la correspondencia entre el resultado del indicador en el periodo y la meta establecida.</t>
        </r>
      </text>
    </comment>
    <comment ref="AI5" authorId="0" shapeId="0" xr:uid="{2023EC07-93C4-4EBB-971E-DFC403B64298}">
      <text>
        <r>
          <rPr>
            <b/>
            <sz val="10"/>
            <color indexed="81"/>
            <rFont val="Tahoma"/>
            <family val="2"/>
          </rPr>
          <t>Corresponde al avance acumulado en el periodo</t>
        </r>
      </text>
    </comment>
    <comment ref="AP5" authorId="0" shapeId="0" xr:uid="{EECB1F77-55F4-4248-9693-98DCE24CB793}">
      <text>
        <r>
          <rPr>
            <b/>
            <sz val="10"/>
            <color indexed="81"/>
            <rFont val="Tahoma"/>
            <family val="2"/>
          </rPr>
          <t>Es la correspondencia entre el resultado del indicador en el periodo y la meta establecida.</t>
        </r>
      </text>
    </comment>
    <comment ref="AV5" authorId="0" shapeId="0" xr:uid="{4F1B618A-2F82-4EA0-9AC9-D62A7AB028F2}">
      <text>
        <r>
          <rPr>
            <b/>
            <sz val="10"/>
            <color indexed="81"/>
            <rFont val="Tahoma"/>
            <family val="2"/>
          </rPr>
          <t>Corresponde al avance acumulado en el periodo</t>
        </r>
      </text>
    </comment>
  </commentList>
</comments>
</file>

<file path=xl/sharedStrings.xml><?xml version="1.0" encoding="utf-8"?>
<sst xmlns="http://schemas.openxmlformats.org/spreadsheetml/2006/main" count="8111" uniqueCount="1954">
  <si>
    <t>INDICADOR</t>
  </si>
  <si>
    <t>Dirección General</t>
  </si>
  <si>
    <t>Dirección de Gestión de Recursos Financieros de Salud</t>
  </si>
  <si>
    <t>Oficina de Control Interno</t>
  </si>
  <si>
    <t>Dirección de Gestión de Tecnología de la Información y la Comunicación</t>
  </si>
  <si>
    <t>%</t>
  </si>
  <si>
    <t>PROCESO ASOCIADO</t>
  </si>
  <si>
    <t>FISICO</t>
  </si>
  <si>
    <t>CANTIDAD</t>
  </si>
  <si>
    <t>FUENTE RECURSOS</t>
  </si>
  <si>
    <t>FINANCIERO</t>
  </si>
  <si>
    <t>Reportar el cumplimiento del Plan de Acción de la Dependencia</t>
  </si>
  <si>
    <t>Dirección de Liquidaciones y Garantías</t>
  </si>
  <si>
    <t xml:space="preserve">Dirección de Otras Prestaciones  </t>
  </si>
  <si>
    <t>Dirección Administrativa y Financiera</t>
  </si>
  <si>
    <t>Oficina Asesora de Planeación y Control de Riegos</t>
  </si>
  <si>
    <t>1. Talento Humano</t>
  </si>
  <si>
    <t>3. Gestión Resultado con valores</t>
  </si>
  <si>
    <t>5. Información y Comunicación</t>
  </si>
  <si>
    <t>7. Control Interno</t>
  </si>
  <si>
    <t>2. Direccionamiento Estratégico</t>
  </si>
  <si>
    <t>1.1. Talento Humano</t>
  </si>
  <si>
    <t>2.1. Planeación Institucional</t>
  </si>
  <si>
    <t>3.6. Servicio al Ciudadano</t>
  </si>
  <si>
    <t>5.2. Transparencia, acceso a la información pública y lucha contra la corrupción</t>
  </si>
  <si>
    <t>7.1. Control Interno</t>
  </si>
  <si>
    <t>3.1. Gestión presupuestal y eficiencia del gasto público</t>
  </si>
  <si>
    <t>3.3. Gobierno Digital: Para Gestión y Seguridad de la Información</t>
  </si>
  <si>
    <t>3.5. Defensa Jurídica</t>
  </si>
  <si>
    <t>1. Direccionamiento Estratégico</t>
  </si>
  <si>
    <t>CÓDIGO AREA</t>
  </si>
  <si>
    <t>NOMBRE AREA</t>
  </si>
  <si>
    <t>CÓDIGO
PRODUCTO</t>
  </si>
  <si>
    <t>Código ACTIVIDAD</t>
  </si>
  <si>
    <t>INDICADOR SINERGIA</t>
  </si>
  <si>
    <t>UNIDAD DE MEDICIÓN</t>
  </si>
  <si>
    <t>POLÍTICA DEL MIPG</t>
  </si>
  <si>
    <t>DIMENSIÓN MIPG</t>
  </si>
  <si>
    <t>OBJETIVO PND</t>
  </si>
  <si>
    <t>ESTRATEGIA ASOCIADO</t>
  </si>
  <si>
    <t>Cumplir con el componente Rendición de Cuentas (Democratización de la Administración Pública)</t>
  </si>
  <si>
    <t xml:space="preserve">Estructurar y poner en funcionamiento la Entidad Administradora de los Recursos </t>
  </si>
  <si>
    <t>Cumplir la Política de Servicio al Ciudadano</t>
  </si>
  <si>
    <t xml:space="preserve">Implementar gestión estratégica del talento humano </t>
  </si>
  <si>
    <t>Modelos de evaluación orientados al cumplimiento de objetivos y metas institucionales implementados</t>
  </si>
  <si>
    <t>Utilización del SECOP II</t>
  </si>
  <si>
    <t>Recursos Propios</t>
  </si>
  <si>
    <t>Administrados</t>
  </si>
  <si>
    <t>NA</t>
  </si>
  <si>
    <t>DESCRIPCIÓN PRODUCTO</t>
  </si>
  <si>
    <t>DESCRIPCIÓN ACTIVIDAD</t>
  </si>
  <si>
    <t>Porcentaje</t>
  </si>
  <si>
    <t>Numérico</t>
  </si>
  <si>
    <t>12000-1</t>
  </si>
  <si>
    <t>12000-1-1</t>
  </si>
  <si>
    <t># Informes Publicados / # Informes Proyectados a Publicar</t>
  </si>
  <si>
    <t>OBJETIVO ESTRATEGICO</t>
  </si>
  <si>
    <t>CÓDIGO
OBJETIVO ESTRATEGICO</t>
  </si>
  <si>
    <t>12000-1-1-1</t>
  </si>
  <si>
    <t>Optimizar los procesos de recaudo, administración y pago de los recursos que se canalizan a través de la Entidad.</t>
  </si>
  <si>
    <t>Proteger, gestionar y defender los recursos del SGSSS.</t>
  </si>
  <si>
    <t>Desarrollar e implementar herramientas de tecnología y financieras para el manejo y control de los recursos.</t>
  </si>
  <si>
    <t>11300-1</t>
  </si>
  <si>
    <t>11300-2</t>
  </si>
  <si>
    <t>Ejecución del Trimestre / Presupuesto Proyectado del Trimestre</t>
  </si>
  <si>
    <t>11400-1</t>
  </si>
  <si>
    <t>11400-1-1</t>
  </si>
  <si>
    <t>11400-2-1</t>
  </si>
  <si>
    <t>11400-3</t>
  </si>
  <si>
    <t>11400-3-1</t>
  </si>
  <si>
    <t>Prestaciones económicas REX</t>
  </si>
  <si>
    <t>3. Gestión de Recobros y Reclamaciones</t>
  </si>
  <si>
    <t>4. Gestión Presupuestal</t>
  </si>
  <si>
    <t>5. Gestión de Recaudo y Fuentes de Financiación</t>
  </si>
  <si>
    <t xml:space="preserve">7. Gestión de Pagos y Portafolio
</t>
  </si>
  <si>
    <t>8. Gestión Integral Régimen Contributivo</t>
  </si>
  <si>
    <t>9. Gestión de Contratación</t>
  </si>
  <si>
    <t>10. Gestión del Talento Humano</t>
  </si>
  <si>
    <t>12. Gestión Servicio al Ciudadano</t>
  </si>
  <si>
    <t>15. Gestión Integral Régimen Subsidiado</t>
  </si>
  <si>
    <t>17. Fortalecimiento Financiero  a EPSs e IPSs</t>
  </si>
  <si>
    <t xml:space="preserve">19. Gestión de Proyectos de Información </t>
  </si>
  <si>
    <t>20. Gestión Soporte a las Tecnologías</t>
  </si>
  <si>
    <t>22. Control y Evaluación de las Gestión</t>
  </si>
  <si>
    <t># Solicitudes de Prestaciones Económicas Tramitadas / # Solicitudes de Prestaciones Económicas Presentadas</t>
  </si>
  <si>
    <t># Solicitudes Devolución Aportes REX Tramitadas / # Solicitudes Devolución Aportes Presentadas</t>
  </si>
  <si>
    <t>11400-3-1-1</t>
  </si>
  <si>
    <t># Solicitudes de Aclaración Enviadas a las EPS / EPS con Saldos a Favor de ADRES en el Proceso de LMA</t>
  </si>
  <si>
    <t>Realizar Informes de Ejecución Presupuestal</t>
  </si>
  <si>
    <t>Gestión de Recaudo</t>
  </si>
  <si>
    <t>Seguimiento e identificación del Recaudo</t>
  </si>
  <si>
    <t># Partidas Identificadas que no fueron identificadas en el mes anterior / # Partidas No identificadas en el mes anterior</t>
  </si>
  <si>
    <t>Ordenes de Giros tramitadas</t>
  </si>
  <si>
    <t>Estados Financieros</t>
  </si>
  <si>
    <t>Garantizar la adecuación institucional mediante actividades transversales que complementen y sustenten el desempeño de los procesos misionales y estratégicos, así como el seguimiento continuo al cumplimiento de los objetivos de la Entidad.</t>
  </si>
  <si>
    <t>11500-1</t>
  </si>
  <si>
    <t>11500-2</t>
  </si>
  <si>
    <t>11500-2-1</t>
  </si>
  <si>
    <t>11500-2-2</t>
  </si>
  <si>
    <t>11600-1</t>
  </si>
  <si>
    <t>11600-2</t>
  </si>
  <si>
    <t>11600-1-1</t>
  </si>
  <si>
    <t>11600-2-1</t>
  </si>
  <si>
    <t>11600-2-2</t>
  </si>
  <si>
    <t>11600-1-1-1</t>
  </si>
  <si>
    <t>11600-2-1-1</t>
  </si>
  <si>
    <t>11600-2-2-1</t>
  </si>
  <si>
    <t>11500-2-1-1</t>
  </si>
  <si>
    <t>11500-2-2-1</t>
  </si>
  <si>
    <t>11500-1-1-1</t>
  </si>
  <si>
    <t>11500-1-1</t>
  </si>
  <si>
    <t>11200-1</t>
  </si>
  <si>
    <t>11200-1-1-1</t>
  </si>
  <si>
    <t>11300-1-1-1</t>
  </si>
  <si>
    <t>11400-1-1-1</t>
  </si>
  <si>
    <t>11400-2-1-1</t>
  </si>
  <si>
    <t>11800-1</t>
  </si>
  <si>
    <t>11800-1-1</t>
  </si>
  <si>
    <t>11800-1-1-1</t>
  </si>
  <si>
    <t>Medir el grado de cumplimiento de las acciones que hacen parte del Plan de mejoramiento institucional derivadas de la Auditoría de la CGR.</t>
  </si>
  <si>
    <t xml:space="preserve">(Número de actividades cumplidas / Número de actividades suscritas con la CGR)*100 </t>
  </si>
  <si>
    <t>(Cantidad de Mensajes de autocontrol del mes/12) *100</t>
  </si>
  <si>
    <t>(Número de auditorías internas realizadas / Número de auditorías internas programadas)*100</t>
  </si>
  <si>
    <t>(Número de informes presentados  / Número de informes programados en el marco de la normatividad vigente)*100</t>
  </si>
  <si>
    <t>(Número de informes presentados oportunamente a entes externos / Número de informes requeridos por entes externos en el marco de la normatividad vigente)*100</t>
  </si>
  <si>
    <t>Oficina Asesora Jurídica</t>
  </si>
  <si>
    <t>11900-1</t>
  </si>
  <si>
    <t>11900-2</t>
  </si>
  <si>
    <t>11900-1-1</t>
  </si>
  <si>
    <t>11900-2-1</t>
  </si>
  <si>
    <t># Tutela Tramitadas Oportunamente / # Tutelas Radicadas que Requieren Trámite</t>
  </si>
  <si>
    <t>Recurrir los Actos Administrativos interpuestos por COLPENSIONES</t>
  </si>
  <si>
    <t># Procesos contenciosos administrativos contestados oportunamente / # Procesos contenciosos administrativos notificados a la Entidad</t>
  </si>
  <si>
    <t># Cuentas de Cobro con Soportes Documentales radicadas en el mes / # Pagos de las Cuentas de Cobro radicadas en el mes</t>
  </si>
  <si>
    <t># Procesos Contractuales Tramitados / # Procesos Incluidos en el Plan de Adquisiciones</t>
  </si>
  <si>
    <t># Procedimientos Aprobados / # Procedimientos Proyectados</t>
  </si>
  <si>
    <t># Encuestas Efectivas al Cumplimiento del Objetivo / # Encuestas de Satisfacciones Realizadas</t>
  </si>
  <si>
    <t># Demandas Laborales Contestadas Oportunamente / # Demandas Laborales Notificadas a la Entidad</t>
  </si>
  <si>
    <t># Solicitudes de pruebas atendidas / # Solicitudes de pruebas radicadas en la Entidad</t>
  </si>
  <si>
    <t># Fichas técnicas de conciliación prejudicial presentadas a consideración del Comité de Conciliación / # Solicitudes de conciliación prejudicial radicadas en la Entidad</t>
  </si>
  <si>
    <t xml:space="preserve"># Reclamaciones Vendidas con mora mayor a 180 días / Reclamaciones contenidas actos administrativos ejecutoriados con mora mayor a 180 días </t>
  </si>
  <si>
    <t># solicitudes de aclaración elaboradas/# EPS con hallazgos de apropiación sin justa causa</t>
  </si>
  <si>
    <t># Informes de Auditoría de Reintegro Elaborados / # EPS con Procedimiento de Reintegro de Recursos Iniciado</t>
  </si>
  <si>
    <t>11400-3-2</t>
  </si>
  <si>
    <t>11400-3-2-1</t>
  </si>
  <si>
    <t xml:space="preserve"># Comunicaciones con las conclusiones del procedimiento de la auditoría de reintegro de recursos elaborados/ # EPS con hallazgos de apropiación sin justa causa </t>
  </si>
  <si>
    <t># Compras de cartera realizadas/# Compras de carteras proyectadas</t>
  </si>
  <si>
    <t># Certificaciones remitidas/# Certificaciones proyectadas de acuerdo con el # de procesos en los que sea necesario aplicar</t>
  </si>
  <si>
    <t># Estudios realizados/# Estudios proyectados</t>
  </si>
  <si>
    <t>11900-1-1-1</t>
  </si>
  <si>
    <t>11900-2-1-1</t>
  </si>
  <si>
    <t>VALOR ASIGNADO PARA EL DESARROLLO DE LA ACTIVIDAD</t>
  </si>
  <si>
    <t># Indicadores Medidos / # Indicadores Sujetos de Medición</t>
  </si>
  <si>
    <t>Publicación  Ejecución Presupuestal</t>
  </si>
  <si>
    <t>11300-2-1</t>
  </si>
  <si>
    <t>11300-2-1-1</t>
  </si>
  <si>
    <t># Recaudos Identificados / # Total de Recaudo Recibido en el Trimestre</t>
  </si>
  <si>
    <t># Ordenes Giradas / # Giradas Tramitadas</t>
  </si>
  <si>
    <t># Boletines Realizados / # Boletines Proyectados del Periodo</t>
  </si>
  <si>
    <t># Informes de supervisión realizados en el período / # Informes de supervisión proyectados</t>
  </si>
  <si>
    <t># Boletines realizados</t>
  </si>
  <si>
    <t># Apoyos Técnicos Entregados a la OAJ / # Apoyos Técnicos resueltos por la Direccion de Tecnología</t>
  </si>
  <si>
    <t>Dirección de Otras Prestaciones</t>
  </si>
  <si>
    <t># Ejecuciones Presupuestales Publicadas</t>
  </si>
  <si>
    <t># Estados Financieros Presentados</t>
  </si>
  <si>
    <t xml:space="preserve"># Informes Publicados </t>
  </si>
  <si>
    <t># Informes reportados</t>
  </si>
  <si>
    <t>Valor pagado/Valor proyectado</t>
  </si>
  <si>
    <t># de nóminas generadas</t>
  </si>
  <si>
    <t>Porcentual</t>
  </si>
  <si>
    <t># Capacitaciones Ejecutadas</t>
  </si>
  <si>
    <t># procedimientos Aprobados / # Procedimientos identificados</t>
  </si>
  <si>
    <t xml:space="preserve"># Procesos de Ordenación de gasto del Giro previo </t>
  </si>
  <si>
    <t># De ordenaciones realizadas de paquetes de recobros MYT0102 con resultado de auditoría culminado/ # Paquetes MYT0102 cuyo tramite de auditoria haya culminado</t>
  </si>
  <si>
    <t># publicaciones de Giros Directos efectuados</t>
  </si>
  <si>
    <t># De ordenaciones de paquetes de reclamaciones con resultado de auditoría culminado / # Paquetes cuyo tramite de auditoría haya culminado</t>
  </si>
  <si>
    <t># Recursos interpuestos oportunamente contra actos administrativos expedidos por Colpensiones / # Actos administrativos expedidos por Colpensiones notificados por aviso a la Entidad</t>
  </si>
  <si>
    <t>Vigilancia judicial</t>
  </si>
  <si>
    <t># procesos penales en los que el apoderado adelantó actuación judicial / # procesos penales en los que es parte, tercero interviniente o víctima la ADRES</t>
  </si>
  <si>
    <t>SEMÁFORO EFICACIA EN LA EJECUCIÓN DE ACTIVIDADES</t>
  </si>
  <si>
    <t>No Prog ni Ejec</t>
  </si>
  <si>
    <t>No programado ni Ejecutado</t>
  </si>
  <si>
    <t xml:space="preserve">Cumplió Parcialmente    </t>
  </si>
  <si>
    <t xml:space="preserve">Avanzo Sustancialmente </t>
  </si>
  <si>
    <t xml:space="preserve">Cumplió  </t>
  </si>
  <si>
    <t>&gt;100%</t>
  </si>
  <si>
    <t xml:space="preserve">Sobre ejecutado </t>
  </si>
  <si>
    <t># conceptos emitidos / # conceptos requeridos</t>
  </si>
  <si>
    <t xml:space="preserve">DESCRIPCIÓN ACTIVIDAD </t>
  </si>
  <si>
    <t>OBSERVACIONES</t>
  </si>
  <si>
    <t>AVANCES PRIMER TRIMESTRE</t>
  </si>
  <si>
    <t>AVANCES TERCER TRIMESTRE</t>
  </si>
  <si>
    <t>AVANCES SEGUNDO TRIMESTRE</t>
  </si>
  <si>
    <t>AVANCES CUARTO TRIMESTRE</t>
  </si>
  <si>
    <t xml:space="preserve">76% &lt;=95% </t>
  </si>
  <si>
    <t>95 &lt;=100%</t>
  </si>
  <si>
    <t xml:space="preserve">0% &lt;= 50% </t>
  </si>
  <si>
    <t>51% &lt;=75%</t>
  </si>
  <si>
    <t xml:space="preserve">Avance deficiente    </t>
  </si>
  <si>
    <t>RESULTADOS TRIMESTRALES CONSOLIDADOS (2018)</t>
  </si>
  <si>
    <t>RESULTADOS TRIMESTRALES CONSOLIDADOS (2019)</t>
  </si>
  <si>
    <t>RESULTADOS TRIMESTRALES CONSOLIDADOS (2020)</t>
  </si>
  <si>
    <t>RESULTADOS TRIMESTRALES CONSOLIDADOS (2021)</t>
  </si>
  <si>
    <t>PERSPECTIVA</t>
  </si>
  <si>
    <t>N.A</t>
  </si>
  <si>
    <t>OBJETIVO/LINEAMIENTO ESTRATÉGICO</t>
  </si>
  <si>
    <t>RESPONSABLE</t>
  </si>
  <si>
    <t>PRODUCTO</t>
  </si>
  <si>
    <t>CUMPLIMIENTO PERSPECTIVA FINANCIERA (Promedio porcentual)</t>
  </si>
  <si>
    <t>CUADRO DE MANDO INTEGRAL</t>
  </si>
  <si>
    <t>% 
Cumplimiento Acumulado</t>
  </si>
  <si>
    <t>Resultado Marzo</t>
  </si>
  <si>
    <t>Resultado Junio</t>
  </si>
  <si>
    <t>Resultado Septiembre</t>
  </si>
  <si>
    <t>Resultado Diciembre</t>
  </si>
  <si>
    <t xml:space="preserve">DETALLES </t>
  </si>
  <si>
    <t>CUMPLIMIENTO PERSPECTIVA DE ENFOQUE AL CLIENTE Y OTRAS PARTES INTERESADAS (Promedio porcentual)</t>
  </si>
  <si>
    <t>CUMPLIMIENTO PERSPECTIVA DE PROCESOS INTERNOS (Promedio porcentual)</t>
  </si>
  <si>
    <t>CUMPLIMIENTO PERSPECTIVA DE APRENDIZAJE Y DESARROLLO (Promedio porcentual)</t>
  </si>
  <si>
    <t>Ejecución presupuestal</t>
  </si>
  <si>
    <t>11200-1-1</t>
  </si>
  <si>
    <t># Obligaciones cumplidas en el período /# Obligaciones establecidas en el CPS 0014 de 2018</t>
  </si>
  <si>
    <t># Expedientes de hojas de vida consolidados, organizados y actualizados / # Funcionarios activos en el periodo</t>
  </si>
  <si>
    <t>CUMPLIMIENTO POR DEPENDENCIAS</t>
  </si>
  <si>
    <t>CUMPLIMIENTO CONSOLIDADO POR PERSPECTIVA</t>
  </si>
  <si>
    <t>Financiera</t>
  </si>
  <si>
    <t>Enforque al Cliente y/o Partes Interesadas</t>
  </si>
  <si>
    <t>Procesos Internos</t>
  </si>
  <si>
    <t xml:space="preserve">Aprendizaje y Desarrollo </t>
  </si>
  <si>
    <t>Dirección de Gestión de Recursos Financieros de la Salud</t>
  </si>
  <si>
    <t>Dirección de Tecnologías de la Información y las Comunicaciones</t>
  </si>
  <si>
    <t>Oficina Asesora de Planeación y Control de Riesgos</t>
  </si>
  <si>
    <t>DEPENDENCIAS</t>
  </si>
  <si>
    <t>Monto de venta de cartera a CISA / Monto de cartera por reclamaciones mayor a 180 días vendida</t>
  </si>
  <si>
    <t># de actos administrativos proferidos / # fallecidos, incobrables, cancelados y revocados resultado del proceso de depuración</t>
  </si>
  <si>
    <t>Monto de reclamaciones pagadas por terceros en la fase de cobro coactivo, por concepto de accidentes de tránsito sin SOAT  / Monto de reclamaciones pagadas por la ADRES antes FOSYGA, por concepto de accidentes de tránsito sin SOAT, objeto de cobro coactivo</t>
  </si>
  <si>
    <t>Monto de reclamaciones pagadas por terceros al inicio del proceso de cobro, por concepto de accidentes de tránsito sin SOAT  / Monto de reclamaciones pagadas por la ADRES antes FOSYGA, por concepto de accidentes de tránsito sin SOAT</t>
  </si>
  <si>
    <t>((# de seguidores en Twitter periodo actual - # de seguidores en Twitter periodo anterior)/ # de seguidores en Twitter periodo anterior)</t>
  </si>
  <si>
    <t>11700-1</t>
  </si>
  <si>
    <t>11700-1-1</t>
  </si>
  <si>
    <t>11700-1-1-1</t>
  </si>
  <si>
    <t>96 &lt;=100%</t>
  </si>
  <si>
    <t>CÓDIGO</t>
  </si>
  <si>
    <t>SEGUIMIENTO AL CUMPLIMIENTO POR PERSPECTIVA DEL CMI</t>
  </si>
  <si>
    <t>SEGUIMIENTO AL CUMPLIMIENTO POR DEPENDENCIAS</t>
  </si>
  <si>
    <t>Detalles</t>
  </si>
  <si>
    <t>PROCESO</t>
  </si>
  <si>
    <t>DIRECCIONAMIENTO ESTRATÉGICO</t>
  </si>
  <si>
    <t>FORMATO</t>
  </si>
  <si>
    <t>VERSIÓN</t>
  </si>
  <si>
    <t>PLAN DE ACCIÓN ANUAL ADRES</t>
  </si>
  <si>
    <t>DIES-F08</t>
  </si>
  <si>
    <t>EJECUCIÓN DEL PLAN DE ACCION</t>
  </si>
  <si>
    <t>CUMPLIMIENTO DE OBJETIVOS ESTRATÉGICOS</t>
  </si>
  <si>
    <t>DIES-F07</t>
  </si>
  <si>
    <t>TIPO DE PLAN</t>
  </si>
  <si>
    <t>CÓDIGO
PROYECTO ESTRATÉGICO</t>
  </si>
  <si>
    <t>OBJETIVO ESTRATÉGICO</t>
  </si>
  <si>
    <t>PROYECTO ESTRATÉGICO</t>
  </si>
  <si>
    <t>A</t>
  </si>
  <si>
    <t>B</t>
  </si>
  <si>
    <t>C</t>
  </si>
  <si>
    <t>D</t>
  </si>
  <si>
    <t>E</t>
  </si>
  <si>
    <t>F</t>
  </si>
  <si>
    <t>G</t>
  </si>
  <si>
    <t>H</t>
  </si>
  <si>
    <t>I</t>
  </si>
  <si>
    <t>Central de Costos</t>
  </si>
  <si>
    <t>Áreas Técnicas</t>
  </si>
  <si>
    <t>Dimensión MIPG</t>
  </si>
  <si>
    <t>Política MIPG</t>
  </si>
  <si>
    <t>Objetivo Especifico PND</t>
  </si>
  <si>
    <t xml:space="preserve">Estrategia Sectorial </t>
  </si>
  <si>
    <t>Proceso</t>
  </si>
  <si>
    <t>Procedimiento</t>
  </si>
  <si>
    <t>Indicador</t>
  </si>
  <si>
    <t>Indicador SINERGIA</t>
  </si>
  <si>
    <t>Fuente de Recursos</t>
  </si>
  <si>
    <t>PGN</t>
  </si>
  <si>
    <t>Porcentaje de ESE sin riesgo financiero o riesgo bajo</t>
  </si>
  <si>
    <t>1.2. Integralidad</t>
  </si>
  <si>
    <t>Deudas a más de 180 días como porcentaje de facturación anual de los hospitales públicos</t>
  </si>
  <si>
    <t># Procesos de Compensación Ejecutados</t>
  </si>
  <si>
    <t>Gasto por eventos no incluidos en el plan de beneficios ($ billones)</t>
  </si>
  <si>
    <t xml:space="preserve">Inversión </t>
  </si>
  <si>
    <t xml:space="preserve">Subdirección  Liquidaciones </t>
  </si>
  <si>
    <t>4. Evaluación de Resultados</t>
  </si>
  <si>
    <t>2.2. Gestión Presupuestal y eficiencia del gasto público</t>
  </si>
  <si>
    <t xml:space="preserve"># Procesos de LMA Ejecutados </t>
  </si>
  <si>
    <t>Portales web de consulta en salud y protección social operando</t>
  </si>
  <si>
    <t xml:space="preserve">Subdirección de Garantías </t>
  </si>
  <si>
    <t># Giros Directos Ejecutados y Publicados</t>
  </si>
  <si>
    <t>Reportar el plan Anticorrupción</t>
  </si>
  <si>
    <t>6. Gestión del Conocimiento y la Innovación</t>
  </si>
  <si>
    <t xml:space="preserve">3.2. Fortalecimiento organizacional y simplificación de procesos
</t>
  </si>
  <si>
    <t>Cumplir con las directrices de la Ley 1712 de 2014</t>
  </si>
  <si>
    <t>3.4 Seguridad Digital</t>
  </si>
  <si>
    <t>Mantener actualizado el reporte al SUIT</t>
  </si>
  <si>
    <t xml:space="preserve">3.7. Racionalización de Tramites </t>
  </si>
  <si>
    <t>Porcentaje de implementación de las recomendaciones de la OCDE en materia de control interno</t>
  </si>
  <si>
    <t>3.8. Participación Ciudadana en la gestión publica</t>
  </si>
  <si>
    <t>Porcentaje de implementación de las estrategias GEL</t>
  </si>
  <si>
    <t>3.9. Gobierno Digital: Para servicio y Gobierno Abierto</t>
  </si>
  <si>
    <t>4.1. Seguimiento y Evaluación del Desempeño Institucional</t>
  </si>
  <si>
    <t>5.1. Gestión Documental</t>
  </si>
  <si>
    <t>Porcentaje de implementación del Plan Estratégico de Empleo Público, que incluya las recomendaciones de la OCDE</t>
  </si>
  <si>
    <t>Tablas de retención documental implementadas</t>
  </si>
  <si>
    <t>6.1. Gestión del Conocimiento y la Innovación</t>
  </si>
  <si>
    <t>Reportar información al SISPRO</t>
  </si>
  <si>
    <t>Reportes a SPI, con indicadores actualizados</t>
  </si>
  <si>
    <t>Índice de actualización de los indicadores del PND Sinergia</t>
  </si>
  <si>
    <t>Sistema de Información del Sistema de Compra público Implementado</t>
  </si>
  <si>
    <t># Funcionarios Asistentes / # Funcionarios Convocados</t>
  </si>
  <si>
    <t># Examenes Realizados / # Examenes Programados</t>
  </si>
  <si>
    <t># llamadas atendidas / # llamadas entrantes</t>
  </si>
  <si>
    <t>Valor pagado por viáticos del periodo mas el valor pagado de tiquetes/ Valor  determinado por cada resolución de desplazamineto y pago de tiquete del periodo. </t>
  </si>
  <si>
    <t># Certificaciones realizadas  / # certificaciones solicitadas</t>
  </si>
  <si>
    <t># Procesos contractuales tramitados / # Procesos contractuales incluidos en el Plan Anual de Adquisiciones y requeridos por las dependencias de la ADRES</t>
  </si>
  <si>
    <t># comités de conciliación llevados a cabo / # comités de conciliación requeridos en el trimestre</t>
  </si>
  <si>
    <t># Autos de cierre o actas de liquidación elaboradas / # contratos con ejecución finalizada</t>
  </si>
  <si>
    <t>Ejecución / presupuesto proyectado según rubro</t>
  </si>
  <si>
    <t># Reclamaciones administrativas atendidas oportunamente / # Reclamaciones administrativas radicadas en la Entidad</t>
  </si>
  <si>
    <t xml:space="preserve"># Recursos interpuestos oportunamente contra actos administrativos expedidos por Colpensiones / # Actos administrativos expedidos por Colpensiones notificados por aviso a </t>
  </si>
  <si>
    <t># Fichas técnicas de demandas ordinarias laborales presentadas a consideración del Comité de Conciliación / # Demandas ordinarias laborales notificadas a la Entidad</t>
  </si>
  <si>
    <t># Solicitudes de embargo tramitadas oportunamente / # Solicitudes de embargo radicadas en la Entidad</t>
  </si>
  <si>
    <t>#Noticias Positivas en el periodo/#Noticias Negativas en el mismo periodo.</t>
  </si>
  <si>
    <t>((#Visitas Página WEB periodo actual - # Visitas Página WEB periodo anterior) / # Visitas Página WEB periodo anterior)</t>
  </si>
  <si>
    <t>(Número de auditorías internas al Control Interno y otros informes realizadas / Número de auditorías internas, al Control Interno y otros informes programadas)*100</t>
  </si>
  <si>
    <t>Tipo de plan</t>
  </si>
  <si>
    <t>Plan de Acción</t>
  </si>
  <si>
    <t>Plan Estratégico de Tecnologías de la Información y las Comunicaciones PETI</t>
  </si>
  <si>
    <t>Plan de Seguridad y Privacidad de la Información</t>
  </si>
  <si>
    <t xml:space="preserve">Plan de Tratamiento de Riesgos de Seguridad y Privacidad de la Información </t>
  </si>
  <si>
    <t xml:space="preserve">Plan Institucional de Capacitación </t>
  </si>
  <si>
    <t xml:space="preserve">Plan de Bienestar e Incentivos Institucionales </t>
  </si>
  <si>
    <t>Plan Anticorrupción y de Atención al Ciudadano</t>
  </si>
  <si>
    <t>Plan Institucional de Archivos</t>
  </si>
  <si>
    <t>Proyecto Estratégico</t>
  </si>
  <si>
    <t xml:space="preserve">Optimización de la ejecución del proceso de liquidación, reconocimiento, giro y reintegro de los recobros y reclamaciones 
</t>
  </si>
  <si>
    <t>Optimización de la liquidación, reconocimiento, giro y reintegro de la UPC, de las prestaciones económicas (PE), de la devolución de aportes y de la conciliación bancaria de cotizaciones.</t>
  </si>
  <si>
    <t xml:space="preserve">Mejoramiento de la infraestructura tecnológica para garantizar la operación de los procesos misionales
</t>
  </si>
  <si>
    <t xml:space="preserve">Gestión del riesgo legal
</t>
  </si>
  <si>
    <t xml:space="preserve">Gestión, análisis de información y consolidación de la transparencia.
</t>
  </si>
  <si>
    <t>Lograr calidad y oportunidad en los procesos de reconocimiento del aseguramiento</t>
  </si>
  <si>
    <t xml:space="preserve">Lograr calidad y oportunidad en los procesos de reconocimiento de prestaciones excepcionales </t>
  </si>
  <si>
    <t>VIGENCIA 2019</t>
  </si>
  <si>
    <t>Adelantar las actuaciones administrativas y operativas del proceso de Cobro Coactivo, encaminadas a lograr el cobro efectivo de las acreencias por todo concepto a favor de la Administradora de los Recursos del Sistema General de Seguridad Social en Salud – ADRES.</t>
  </si>
  <si>
    <t xml:space="preserve">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
</t>
  </si>
  <si>
    <t>Contratar el servicio de documentación de los servicios TI y Sistemas de Información</t>
  </si>
  <si>
    <t>Servicio BPO-Mesa de ayuda</t>
  </si>
  <si>
    <t>Contratar una consultoría para la planeación, diagnóstico, alistamiento, implementación y monitoreo para la adopción del protocolo IPV6.</t>
  </si>
  <si>
    <t>Contratar la prestación de servicios técnicos para realizar análisis de vulnerabilidades, Ethical Hacking y pruebas de Ingeniería Social</t>
  </si>
  <si>
    <t>Implementación de los diferentes flujos de correspondencia, que incluya impresión de stickers, firma digital de documentos, estampado cronológico, reconocimiento OCR e integración con los flujos de PQRSD y Tutelas</t>
  </si>
  <si>
    <t>Apoyar a la Oficina Asesora Jurídica en la administración de la plataforma Ekogui, y demás actuaciones necesarias para gestionar y lograr el pago de las sentencias condenatorias y conciliaciones.</t>
  </si>
  <si>
    <t>Estructuración y elaboración del Plan Estratégico de TI</t>
  </si>
  <si>
    <t xml:space="preserve">Realizar el proceso de saneamiento de aportes patronales y el consecuente cierre de las cuentas bancarias de SGP, conforme al cronograma adoptado. </t>
  </si>
  <si>
    <t>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t>
  </si>
  <si>
    <t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t>
  </si>
  <si>
    <t xml:space="preserve">Verificar los actuales controles de los procesos de liquidación y reconocimiento de UPC y de prestaciones económicas, considerando las características de los afiliados (edad, género, ubicación geográfica, capacidad de pago, novedades). </t>
  </si>
  <si>
    <t>Ejecutar los procesos de compensación conforme al cronograma adoptado</t>
  </si>
  <si>
    <t xml:space="preserve">Tramitar oportunamente las solicitudes de prestaciones económicas radicadas por afiliados a los regímenes exceptuados y especiales con ingresos adicionales. </t>
  </si>
  <si>
    <t xml:space="preserve">Tramitar oportunamente las solicitudes de devoluciones de aportes radicadas por afiliados a los regímenes exceptuados y especiales con ingresos adicionales. </t>
  </si>
  <si>
    <t>Gestión de Servicio al ciudadano de la entidad  por los diferentes canales  de atención.</t>
  </si>
  <si>
    <t>Cooperación Interinstitucional con el Ministerio de Salud para la implementación del CENTRO ESPECIALIZADO DE SERVICIO AL CIUDADANO para las Entidades del Sector Salud</t>
  </si>
  <si>
    <t>Evaluar la satisfacción y percepción de los usuarios por el canal de atención presencial y virtual  en cuanto a los servicios brindados por la ADRES y socializar los resultados a las áreas involucradas para la generación de planes de mejoramiento.</t>
  </si>
  <si>
    <t>Implementar las recomendaciones generadas por CIDCCA bajo ajustes razonables al punto de Atención al Ciudadano y Correspondencia</t>
  </si>
  <si>
    <t xml:space="preserve">Informe semestral de acceso a información pública PQRS como lo establece la Ley 1474 de 2011. </t>
  </si>
  <si>
    <t>Consolidar la información de la atención de Quejas, Peticiones, Reclamos y Sugerencias y elaborar informes trimestrales.</t>
  </si>
  <si>
    <t>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t>
  </si>
  <si>
    <t>Evaluar bimensualmente un promedio de 30 respuestas a PQRSD y presentar recomendaciones a las dependencias competentes</t>
  </si>
  <si>
    <t>Participar en la Ferias del Servicio al Ciudadano del PNSC en las que la entidad decida asistir</t>
  </si>
  <si>
    <t>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t>
  </si>
  <si>
    <t>Informes trimestrales de PQRS presentado a la OCI de la Entidad</t>
  </si>
  <si>
    <t># Informes semestrales de acceso a información pública PQRS elaborados</t>
  </si>
  <si>
    <t xml:space="preserve">Cambio de jurisdicción de laboral a administrativa para resolver conflictos judiciales con la ADRES.
</t>
  </si>
  <si>
    <t xml:space="preserve">Ajustes normativos en cuanto a la no aplicación de intereses de mora en los pagos derivados de sentencias judiciales por recobros y reclamaciones .
</t>
  </si>
  <si>
    <t>Reporte Trimestral del Avance del Plan de Acción</t>
  </si>
  <si>
    <t>Realizar las auditorías internas y otros informes, de acuerdo a lo programado para la vigencia en el Plan Anual Auditorias</t>
  </si>
  <si>
    <t>Entrega de Informes de Evaluación y Seguimiento de los Requerimientos Legales Internos en el marco de la normatividad vigente</t>
  </si>
  <si>
    <t>Dar respuesta a los Requerimientos Legales Internos en el marco de la normatividad vigente</t>
  </si>
  <si>
    <t>Entrega de Informes de Evaluación y Seguimiento de los Requerimientos Legales Externos en el marco de la normatividad vigente</t>
  </si>
  <si>
    <t>Seguimientos al Plan de Mejoramiento suscrito con la CGR</t>
  </si>
  <si>
    <t>Boletines de Autocontrol con mensajes o actividades de promoción del  autocontrol para los funcionarios de ADRES.</t>
  </si>
  <si>
    <t>Dar respuesta a los Requerimientos Legales Externos en el marco de la normatividad vigente</t>
  </si>
  <si>
    <t>Comunicar a través de Boletines informativos temas de autocontrol y fomentar la cultura del autocontrol en la ADRES.</t>
  </si>
  <si>
    <t>Apoyo técnico para respuestas a PQRSD relacionadas con BDUA</t>
  </si>
  <si>
    <t xml:space="preserve">Servicios de Mesa de Ayuda </t>
  </si>
  <si>
    <t>Proceso de Compensación ejecutado</t>
  </si>
  <si>
    <t>Ejecutar los procesos de liquidación y reconocimiento de la UPC de los afiliados al régimen subsidiado.</t>
  </si>
  <si>
    <t>Liquidación y reconocimiento de la UPC de los Afiliados del Régimen Subsidiado</t>
  </si>
  <si>
    <t>Unidad</t>
  </si>
  <si>
    <t xml:space="preserve">Ejecutar los procesos de liquidación y reconocimiento de licencias de maternidad y paternidad. </t>
  </si>
  <si>
    <t xml:space="preserve">Liquidación y reconocimiento de licencias de maternidad y paternidad </t>
  </si>
  <si>
    <t xml:space="preserve"># Procesos de LMA ejecutados </t>
  </si>
  <si>
    <t xml:space="preserve">Desarrollar auditorías a los procesos de liquidación y reconocimiento de UPC de los afiliados al régimen contributivo y subsidiado. </t>
  </si>
  <si>
    <t>Informes de auditoría de los procesos de liquidación y reconocimiento de UPC de los afiliados al régimen contributivo y subsidiado</t>
  </si>
  <si>
    <t># Informes de auditoría elaborados</t>
  </si>
  <si>
    <t>Devoluciones económicas REX</t>
  </si>
  <si>
    <t># Solicitudes de devolución de aportes tramitadas / # Solicitudes de devolución de aportes radicadas</t>
  </si>
  <si>
    <t># Procesos optimizados</t>
  </si>
  <si>
    <t>Proceso de saneamiento de aportes ejecutado</t>
  </si>
  <si>
    <t>Controles de los procesos de liquidación y reconocimiento de UPC y de prestaciones económicas verificados y ajustados</t>
  </si>
  <si>
    <t>Propiciar la gestión y el análisis de la información de la prescripción, suministro, de recobros, reclamaciones y del aseguramiento en salud, para contribuir con la adopción de mecanismos de control y la formulación de políticas públicas.</t>
  </si>
  <si>
    <t>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t>
  </si>
  <si>
    <t>Flujos de correspondencia, que incluya impresión de stickers, firma digital de documentos, estampado cronológico, reconocimiento OCR e integración con los flujos de PQRSD y Tutelas</t>
  </si>
  <si>
    <t>Servicio de documentación de los servicios TI y Sistemas de Información</t>
  </si>
  <si>
    <t>Flujos de correspondencia implementados con el cumplimiento de requisitos / Flujos de correspondencia requeridos</t>
  </si>
  <si>
    <t xml:space="preserve">Unidad  </t>
  </si>
  <si>
    <t>Comunicaciones de ordenación del gasto resultantes del proceso de giro previo</t>
  </si>
  <si>
    <t>Comunicaciones de ordenación del gasto resultantes del proceso de pagos de los paquetes de recobros cuyo trámite de auditoria haya culminado</t>
  </si>
  <si>
    <t>Correos electrónicos de solicitud de publicación del giro por recobros</t>
  </si>
  <si>
    <t>Comunicaciones de ordenación del gasto resultantes del proceso de pagos de los paquetes de reclamaciones cuyo trámite de auditoria haya culminado</t>
  </si>
  <si>
    <t>Correos electrónicos de solicitud de publicación del giro por reclamaciones</t>
  </si>
  <si>
    <t>Ordenar el giro previo a favor de las entidades recobrantes y proveedores de servicios y tecnologías no incluidas en el PB con cargo a la UPC</t>
  </si>
  <si>
    <t xml:space="preserve">Solicitar la publicación del los giros ordenados por recobros </t>
  </si>
  <si>
    <t>Solicitar la publicación del los giros ordenados por reclamaciones</t>
  </si>
  <si>
    <t xml:space="preserve"># Procesos de liquidación y reconocimiento de licencias de maternidad y paternidad ejecutados </t>
  </si>
  <si>
    <t xml:space="preserve"># Comunicaciones de ordenación de gasto del giro previo </t>
  </si>
  <si>
    <t># Solicitudes de publicación de giros por recobros / # ordenaciones de giros por recobros</t>
  </si>
  <si>
    <t># Procesos de saneamiento de aportes ejecutados / # procesos de saneamiento de aportes programados en el cronograma</t>
  </si>
  <si>
    <t># Controles verificados y ajustados / # controles con ajuste requerido</t>
  </si>
  <si>
    <t># Procesos de compensación ejecutados / # procesos de compensación programados en el cronograma</t>
  </si>
  <si>
    <t># Solicitudes de prestaciones económicas tramitadas / # solicitudes de prestaciones económicas radicadas</t>
  </si>
  <si>
    <t># Informes trimestrales reportados</t>
  </si>
  <si>
    <t># Recomendaciones realizadas / # PQRSD evaluadas</t>
  </si>
  <si>
    <t># Encuestas evaluadas como excelente / # encuestas realizadas</t>
  </si>
  <si>
    <t># Informes trimestrales elaborados y socializado</t>
  </si>
  <si>
    <t># Informes sobre servicios técnicos para realizar análisis de vulnerabilidades, Ethical Hacking y pruebas de Ingeniería Social adquiridos</t>
  </si>
  <si>
    <t># Manuales documentados/ # manuales requeridos</t>
  </si>
  <si>
    <t>Realizar los informes trimestrales de satisfacción a los servicios prestados por la entidad por el canal presencial y presentar las recomendaciones a las áreas de la entidad.</t>
  </si>
  <si>
    <t>Servicios, infraestructura, Sistemas de información migrados (Transición) a IPV6 y compatibilidad con IPV4</t>
  </si>
  <si>
    <t>(Servicios, infraestructura, Sistemas de información) migrados a IPV6 / (Servicios, infraestructura, Sistemas de información) compatibles a migración IPV6</t>
  </si>
  <si>
    <t>Informe sobre servicios técnicos para realizar análisis de vulnerabilidades, ethical Hacking y pruebas de Ingeniería Social adquiridos</t>
  </si>
  <si>
    <t>Procesos optimizados mediante desarrollos o ajustes tecnológicos</t>
  </si>
  <si>
    <t>Cobro efectivo de las acreencias por todo concepto a favor de la Administradora de los Recursos del Sistema General de Seguridad Social en Salud – ADRES.</t>
  </si>
  <si>
    <t xml:space="preserve">Unidad    </t>
  </si>
  <si>
    <t>Correos electrónicos con el monitoreo de noticias</t>
  </si>
  <si>
    <t xml:space="preserve">Ejercer la representación judicial del recurso extraordinario de casación  y procesos cuya relevancia y asuntos que requieran de su intervención para la adecuada defensa de los intereses de la Entidad, entre las que se encuentran las acciones de repetición. </t>
  </si>
  <si>
    <t>Recursos de casación y representación judicial</t>
  </si>
  <si>
    <t>Revisión, análisis y liquidación de sentencias condenatorias</t>
  </si>
  <si>
    <t>Entrega de la provisión de contingencias judiciales al Grupo de Gestión Contable y Control de Recursos ET en la fecha pactada</t>
  </si>
  <si>
    <t>Tiempo (días)</t>
  </si>
  <si>
    <t>Procesos radicados en Ekogui</t>
  </si>
  <si>
    <t>Intervención en los procesos e investigaciones penales</t>
  </si>
  <si>
    <t xml:space="preserve">Ejercer la representación prejudicial y  judicial en los procesos en que sea parte la  – ADRES </t>
  </si>
  <si>
    <t># Fichas técnicas demandas próximas a audiencia inicial / # audiencias iniciales</t>
  </si>
  <si>
    <t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t>
  </si>
  <si>
    <t>Respuestas a reclamaciones</t>
  </si>
  <si>
    <t xml:space="preserve">Apoyar a la Oficina Asesora Jurídica en las actividades relacionadas con el ejercicio de las funciones de la Secretaría Técnica  del Comité de Conciliación;  y en las actividades propias de dicho organismo en el Ekogui. </t>
  </si>
  <si>
    <t>Apoyo a las actividades administrativas y operativas  requeridas por el Grupo de Representación Judicial</t>
  </si>
  <si>
    <t xml:space="preserve">Reparto </t>
  </si>
  <si>
    <t># asignaciones realizadas / # de radicados de correspondencia</t>
  </si>
  <si>
    <t>Poderes</t>
  </si>
  <si>
    <t># Poderes elaborados / # demandas asignadas a los apoderados</t>
  </si>
  <si>
    <t># Ordenes Giradas / # Ordenes solicitadas</t>
  </si>
  <si>
    <t># Estados Financieros reportados a entes de control  / # Estados Financieros solicitados por entes de control</t>
  </si>
  <si>
    <t>Reportar Estados Financieros</t>
  </si>
  <si>
    <t>Informes de Portafolio</t>
  </si>
  <si>
    <t>Realizar informes de portafolio</t>
  </si>
  <si>
    <t>Tramitar Ordenes de Giro</t>
  </si>
  <si>
    <t>Tablas de Retención Documental - TRD actualizadas y aprobadas</t>
  </si>
  <si>
    <t># TRD actualizadas y aprobadas / # de TRD generadas y aprobadas en la vigencia 2018</t>
  </si>
  <si>
    <t xml:space="preserve">Tramitar las acciones constitucionales y demás asuntos derivados de éstas, que se instauren contra la Administradora de los Recursos del Sistema General de Seguridad Social en Salud - ADRES o contra el entonces FOSYGA. </t>
  </si>
  <si>
    <t># Acciones constitucionales tramitadas Oportunamente / # Acciones constitucionales  radicadas que requieren Trámite</t>
  </si>
  <si>
    <t xml:space="preserve">Atender las solicitudes de informes derivadas de acciones constitucionales </t>
  </si>
  <si>
    <t>Adelantar acercamientos con altos organismos de rama judicial con el objeto de reducir el volumen de tutelas que recibe la entidad</t>
  </si>
  <si>
    <t>Documentos de acercamiento con la rama judicial (Comunicaciones o actas de reuniones o actos administrativos)</t>
  </si>
  <si>
    <t># Documentos de acercamiento con la rama judicial</t>
  </si>
  <si>
    <t>EXCEPCIONES PRESUPUESTALES</t>
  </si>
  <si>
    <t>ÍTEM/RUBRO</t>
  </si>
  <si>
    <t>VALOR</t>
  </si>
  <si>
    <t>Nómina</t>
  </si>
  <si>
    <t>Servicios públicos</t>
  </si>
  <si>
    <t>Gastos judiciales</t>
  </si>
  <si>
    <t>Subtotal</t>
  </si>
  <si>
    <t>TOTAL</t>
  </si>
  <si>
    <t>Cuentas por pagar</t>
  </si>
  <si>
    <t>VALIDACIONES</t>
  </si>
  <si>
    <t>Plan de Acción Proyectos estratégicos</t>
  </si>
  <si>
    <t>Plan de Acción Misional</t>
  </si>
  <si>
    <t>Plan de Acción apoyo transversal</t>
  </si>
  <si>
    <t>TOTAL PRESUPUESTO</t>
  </si>
  <si>
    <t>PLANES DE ACCIÓN + EXCEPCIONES</t>
  </si>
  <si>
    <t>DIFERENCIAS</t>
  </si>
  <si>
    <t>Actas de las audiencias, memoriales y
providencias judiciales que se generen en la ejecución de las actividades de defensa de los intereses de la entidad</t>
  </si>
  <si>
    <t>Participación de la ADRES en ferias de Servicio al Ciudadano programadas por el DNP-PNSC  y promocionar los servicios y realizar trámites de la Entidad</t>
  </si>
  <si>
    <t># Ferias de servicio al ciudadano en las que ADRES participó / # Ferias de servicio al ciudadano programadas por el DNP-PNSC de interés para la ADRES</t>
  </si>
  <si>
    <t>Recomendaciones implementadas</t>
  </si>
  <si>
    <t># Recomendaciones implementadas  / # recomendaciones aprobadas</t>
  </si>
  <si>
    <t>Conceptos jurídicos</t>
  </si>
  <si>
    <t>Remitir comunicaciones a los terceros deudores informándoles lo adeudado a la ADRES</t>
  </si>
  <si>
    <t>Comunicaciones enviadas</t>
  </si>
  <si>
    <t xml:space="preserve">Unidad   </t>
  </si>
  <si>
    <t xml:space="preserve"># Resoluciones que ordenan el cobro </t>
  </si>
  <si>
    <t># Comunicaciones enviadas</t>
  </si>
  <si>
    <t>Conciliar con el Grupo de Tesorería de la DGRFS los pagos realizados por los terceros deudores con ocasión de los acuerdos de pago</t>
  </si>
  <si>
    <t>Pagos registrados en el SII PRE Procesos de repetición</t>
  </si>
  <si>
    <t>Pago de la cartera vendida a CISA S.A de resoluciones ejecutoriadas con mas de 180 días</t>
  </si>
  <si>
    <t>Otro sí al convenio especificando las necesidades y acceso a la información</t>
  </si>
  <si>
    <t>Estudiar el convenio 370 del 2015 suscrito con el Ministerio de Transporte  y adelantar las gestiones que correspondan para que se amplíen los criterios de acceso a la información a la plataforma del RUNT</t>
  </si>
  <si>
    <t>Convenios o contratos interadministrativos</t>
  </si>
  <si>
    <t>Plan Institucional de Capacitación</t>
  </si>
  <si>
    <t>Profesiograma elaborado</t>
  </si>
  <si>
    <t># Profesiogramas elaborados</t>
  </si>
  <si>
    <t>Elementos ergonómicos adquiridos</t>
  </si>
  <si>
    <t># Elementos ergonómicos adquiridos/ # elementos ergonómicos requeridos</t>
  </si>
  <si>
    <t xml:space="preserve">Plan de Trabajo Anual del Sistema de Seguridad y Salud en el Trabajo </t>
  </si>
  <si>
    <t># Estudios ambientales y ergonómicos realizados</t>
  </si>
  <si>
    <t>Plan Anticorrupción y de Atención al Ciudadano
Plan de Tratamiento de Riesgos de Seguridad y Privacidad de la Información
Plan de Seguridad y Privacidad de la Información</t>
  </si>
  <si>
    <t>Implementación de un módulo tecnológico en el CRM como herramienta de medición de oportunidad de respuestas a PQRSD.</t>
  </si>
  <si>
    <t>Política aprobada y publicada en la página Web</t>
  </si>
  <si>
    <t>Actualizar de manera colaborativa la Política del Sistema Integrado de Administración de Riesgos de la ADRES.</t>
  </si>
  <si>
    <t># Módulos tecnológicos en el CRM como herramienta de medición de oportunidad de respuestas a PQRSD implementados.</t>
  </si>
  <si>
    <t># Políticas aprobadas y publicadas en la página Web</t>
  </si>
  <si>
    <t>Autodiagnóstico del Modelo de Seguridad y Privacidad Revisado</t>
  </si>
  <si>
    <t>Políticas General y Específicas de Seguridad y Privacidad de la Información</t>
  </si>
  <si>
    <t>Procedimientos relacionados con Seguridad de la Información</t>
  </si>
  <si>
    <t>Realizar evaluación del autodiagnóstico del Modelos de Seguridad y Privacidad de la Información - MSPI 1 vez por semestre</t>
  </si>
  <si>
    <t>Definir y aprobar las políticas de Seguridad que soportan el MSPI</t>
  </si>
  <si>
    <t>Elaborar y aprobar de los procedimientos relacionados con Seguridad de la Información que corresponden por competencias  directamente a la DGTIC.</t>
  </si>
  <si>
    <t># Políticas aprobadas mediante acto administrativo o equivalente</t>
  </si>
  <si>
    <t xml:space="preserve"># Procedimientos aprobados </t>
  </si>
  <si>
    <t>Campaña de sensibilización en Seguridad y Privacidad de la Información</t>
  </si>
  <si>
    <t>Jornadas de capacitación frente a temas de Seguridad y Privacidad de la Información</t>
  </si>
  <si>
    <t>Realizar campaña de sensibilización en Seguridad y Privacidad de la Información para Servidores Públicos y Contratistas</t>
  </si>
  <si>
    <t>Realizar jornadas de Capacitación en Seguridad y Privacidad de la Información para Servidores Públicos y Contratistas</t>
  </si>
  <si>
    <t xml:space="preserve"># Campañas de sensibilización en Seguridad y Privacidad de la Información </t>
  </si>
  <si>
    <t xml:space="preserve"># Jornadas de Capacitación en Seguridad y Privacidad de la Información para Servidores Públicos y Contratistas </t>
  </si>
  <si>
    <t>Plan de Seguridad y Privacidad de la Información
Plan de Acción</t>
  </si>
  <si>
    <t>Acto Administrativo que formaliza para ADRES la actualización de la Política de Administración de Riesgos</t>
  </si>
  <si>
    <t>Actualiza y formalizar la Política del Sistema Integrado de Administración de Riesgos de la ADRES.</t>
  </si>
  <si>
    <t># Actos administrativos de formalización de la política</t>
  </si>
  <si>
    <t>Publicación y Socialización de la versión actualizada de la Política del Sistema Integrado de Administración de Riesgos de la ADRES.</t>
  </si>
  <si>
    <t>Política publicada en página web.</t>
  </si>
  <si>
    <t># Políticas publicadas en página web.</t>
  </si>
  <si>
    <t>Jornadas de socialización de la Política actualizada a funcionarios y contratistas</t>
  </si>
  <si>
    <t># Mapas de riesgos publicados en página web en el periodo / # Mapas de riesgos actualizados en el periodo</t>
  </si>
  <si>
    <t>Disposición de instrumento en página web, con el fin de que la ciudadanía y partes interesadas realicen observaciones, recomendaciones y comentarios al Mapa de Riesgos Operativos, de Corrupción y de Seguridad Digital actualizado y al Plan de Acción</t>
  </si>
  <si>
    <t>Informe consolidado de observaciones, recomendaciones y comentarios al Mapa de Riesgos y al Plan de Acción</t>
  </si>
  <si>
    <t>Informes de seguimiento a los Mapas de Riesgos con corte 30 de abril, 31 de agosto y 31 de diciembre</t>
  </si>
  <si>
    <t>Realizar seguimiento al Mapa de Riesgos Operativos, de Corrupción y de Seguridad Digital y a la efectividad de los controles</t>
  </si>
  <si>
    <t># Informes de seguimiento a los Mapas de Riesgos</t>
  </si>
  <si>
    <t>Organizar la publicación de la información sobre la gestión de la entidad para proporcionar información relevante a los grupos de interés</t>
  </si>
  <si>
    <t># Secciones de publicación de información habilitadas</t>
  </si>
  <si>
    <t>Sección de publicación de información habilitada en el sitio de transparencia de la página Web</t>
  </si>
  <si>
    <t>Elaborar y publicar el informe de gestión de la entidad vigencia 2018</t>
  </si>
  <si>
    <t>Informe de gestión de la entidad vigencia 2018 publicado</t>
  </si>
  <si>
    <t># Informes de gestión publicados</t>
  </si>
  <si>
    <t>Autoevaluar el cumplimiento de la estrategia de rendición de cuentas implementada por la entidad.</t>
  </si>
  <si>
    <t>Informe de resultados de la estrategia de rendición de cuentas publicado en página web de la entidad.</t>
  </si>
  <si>
    <t># Informes de resultados de la estrategia de rendición de cuentas publicados</t>
  </si>
  <si>
    <t xml:space="preserve">Articular la publicación de información mínima requerida por la Ley 1712 de 2014 en página web </t>
  </si>
  <si>
    <t>Solicitudes de publicación de información a las dependencias</t>
  </si>
  <si>
    <t># Solicitudes realizadas a las dependencias / # solicitudes requeridas</t>
  </si>
  <si>
    <t>Plan estratégico cuatrienal aprobado</t>
  </si>
  <si>
    <t># Planes estratégicos cuatrienales aprobados</t>
  </si>
  <si>
    <t>Formular un plan estratégico cuatrienal de acuerdo con el Plan Nacional de Desarrollo vigente</t>
  </si>
  <si>
    <t>Implementar el SARLAFT</t>
  </si>
  <si>
    <t>SARLAFT implementado</t>
  </si>
  <si>
    <t># Actividades ejecutadas / # actividades programadas</t>
  </si>
  <si>
    <t>SARL, SARC y SARM implementados</t>
  </si>
  <si>
    <t>Apoyar la definición e implementación del Plan de Continuidad del Negocio</t>
  </si>
  <si>
    <t>Plan de Continuidad del negocio implementado</t>
  </si>
  <si>
    <t>11500-1-1-1-1</t>
  </si>
  <si>
    <t>11500-1-1-2</t>
  </si>
  <si>
    <t>11500-1-1-2-1</t>
  </si>
  <si>
    <t>11500-1-1-3</t>
  </si>
  <si>
    <t>11500-1-1-3-1</t>
  </si>
  <si>
    <t>11500-1-1-4</t>
  </si>
  <si>
    <t>11500-1-1-4-1</t>
  </si>
  <si>
    <t>11600-1-1-1-1</t>
  </si>
  <si>
    <t>11600-1-1-2</t>
  </si>
  <si>
    <t>11600-1-1-2-1</t>
  </si>
  <si>
    <t>11600-2-6</t>
  </si>
  <si>
    <t>11600-2-6-1</t>
  </si>
  <si>
    <t>11600-2-11</t>
  </si>
  <si>
    <t>11600-2-11-1</t>
  </si>
  <si>
    <t>11600-2-13</t>
  </si>
  <si>
    <t>11600-2-13-1</t>
  </si>
  <si>
    <t>11600-2-15</t>
  </si>
  <si>
    <t>11600-2-15-1</t>
  </si>
  <si>
    <t>11600-2-16</t>
  </si>
  <si>
    <t>11600-2-16-1</t>
  </si>
  <si>
    <t>11500-1-1-8</t>
  </si>
  <si>
    <t>11500-1-1-5</t>
  </si>
  <si>
    <t>11500-1-1-6</t>
  </si>
  <si>
    <t>11500-1-1-6-1</t>
  </si>
  <si>
    <t>11500-1-1-5-1</t>
  </si>
  <si>
    <t>11500-1-1-7</t>
  </si>
  <si>
    <t>11500-1-1-8-1</t>
  </si>
  <si>
    <t>11500-1-1-7-1</t>
  </si>
  <si>
    <t>11900-1-2</t>
  </si>
  <si>
    <t>11900-1-2-1</t>
  </si>
  <si>
    <t>11900-1-3</t>
  </si>
  <si>
    <t>11900-1-4</t>
  </si>
  <si>
    <t>11900-1-5</t>
  </si>
  <si>
    <t>11900-1-5-1</t>
  </si>
  <si>
    <t>11900-1-4-1</t>
  </si>
  <si>
    <t>11900-1-4-2</t>
  </si>
  <si>
    <t>11900-1-6</t>
  </si>
  <si>
    <t>11900-1-6-1</t>
  </si>
  <si>
    <t>Informe de alternativas para optimizar y sistematizar el proceso de auditoria integral</t>
  </si>
  <si>
    <t>Organizar, digitalizar y transferir el archivo documental de gestión correspondiente al periodo comprendido entre agosto de 2017 y agosto de 2018, ubicado en las instalaciones de la ADRES</t>
  </si>
  <si>
    <t xml:space="preserve">Archivo documental transferido al custodio final </t>
  </si>
  <si>
    <t>Actualizar las TRD y someterlas a aprobación del Comité Institucional de Gestión y Desempeño</t>
  </si>
  <si>
    <t>Realizar los estudios técnicos, de mercado y económicos para la valoración documental</t>
  </si>
  <si>
    <t>Estudios técnicos, de mercado y económicos para la valoración documental</t>
  </si>
  <si>
    <t>Definir la política de cero papel y someterla a aprobación del Comité Institucional de Gestión y Desempeño</t>
  </si>
  <si>
    <t>Definir la política y los indicadores de gestión ambiental y someterlos a aprobación del Comité Institucional de Desarrollo Administrativo</t>
  </si>
  <si>
    <t>Revisar los formatos de los procesos a cargo de la Dirección Administrativa y Financiera para determinar su conveniencia</t>
  </si>
  <si>
    <t>Brindar atención, respuesta inmediata, seguimiento a solicitudes de los ciudadanos, empresas y servidores públicos sobre los tramites y servicios de la ADRES y para la ejecución de Campañas informativas</t>
  </si>
  <si>
    <t>Plan Anticorrupción y de Atención al Ciudadano
Plan Institucional de Capacitación</t>
  </si>
  <si>
    <t># Mesas de trabajo en las que ADRES participó / # mesas de trabajo convocadas</t>
  </si>
  <si>
    <t>Seguimiento a la calidad y lenguaje claro de las respuestas dadas por los funcionarios a las PQRSD radicadas en la Entidad y presentar recomendaciones a las áreas competentes.</t>
  </si>
  <si>
    <t>11900-1-9</t>
  </si>
  <si>
    <t>11900-1-10</t>
  </si>
  <si>
    <t>11900-1-10-1</t>
  </si>
  <si>
    <t>11900-1-10-2</t>
  </si>
  <si>
    <t>11900-1-10-3</t>
  </si>
  <si>
    <t>11900-1-9-1</t>
  </si>
  <si>
    <t>11900-1-11</t>
  </si>
  <si>
    <t>11900-1-11-1</t>
  </si>
  <si>
    <t>11900-1-12</t>
  </si>
  <si>
    <t>11900-1-13</t>
  </si>
  <si>
    <t>11900-1-13-1</t>
  </si>
  <si>
    <t>11900-1-13-2</t>
  </si>
  <si>
    <t>11900-1-14</t>
  </si>
  <si>
    <t>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t>
  </si>
  <si>
    <t>11900-1-3-1</t>
  </si>
  <si>
    <t>2. Salud pública para la transformación de la calidad de vida con deberes y derechos</t>
  </si>
  <si>
    <t>1.  Alcanzar la eficiencia del sector, optimizando los recursos disponibles y generando nuevos con el aporte de todos</t>
  </si>
  <si>
    <t xml:space="preserve">2.1 Liderar las acciones intersectoriales para la promoción de políticas saludables.
</t>
  </si>
  <si>
    <t xml:space="preserve">1.1  Establecer un acuerdo de punto final para determinar el valor de la cartera y las alternativas de reconocimiento.
</t>
  </si>
  <si>
    <t xml:space="preserve">1.2 Hacer más eficiente el gasto en salud a través de la actualización del plan de beneficios (PBS) y otras medidas que hagan más eficiente el gasto no PBS. </t>
  </si>
  <si>
    <t xml:space="preserve">N.A
</t>
  </si>
  <si>
    <t>Actualizar el manual de la Política de Servicio al Ciudadano con el propósito de orientar la gestión al interior de la entidad y socializarlo en los programas de Inducción y Reinducción de la ADRES</t>
  </si>
  <si>
    <t># Manuales de Política de Servicio al Ciudadano actualizados</t>
  </si>
  <si>
    <t>Manual  de la Política de Servicio al Ciudadano actualizado para mejorar los estándares de servicio al interior de la Entidad</t>
  </si>
  <si>
    <t>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t>
  </si>
  <si>
    <t>Información difundida a los funcionarios sobre servicio al ciudadano, tramites, servicios y OPAS de la entidad.</t>
  </si>
  <si>
    <t># Cajas Transferidas por trimestre</t>
  </si>
  <si>
    <t># Estudios técnicos, de mercado y económicos para la valoración documental realizados</t>
  </si>
  <si>
    <t>Actualizar las bases de información sobre la gestión del cobro coactivo</t>
  </si>
  <si>
    <t>Bases de información actualizadas</t>
  </si>
  <si>
    <t>11900-1-1-1-1</t>
  </si>
  <si>
    <t>11900-1-1-2</t>
  </si>
  <si>
    <t>11900-1-1-2-1</t>
  </si>
  <si>
    <t>11900-1-1-3</t>
  </si>
  <si>
    <t>11900-1-1-3-1</t>
  </si>
  <si>
    <t>11900-1-15</t>
  </si>
  <si>
    <t>11900-1-15-1</t>
  </si>
  <si>
    <t>11900-1-16</t>
  </si>
  <si>
    <t>11900-1-17-1</t>
  </si>
  <si>
    <t>11900-1-18</t>
  </si>
  <si>
    <t>11900-1-18-1</t>
  </si>
  <si>
    <t>11200-1-2</t>
  </si>
  <si>
    <t>11200-1-5</t>
  </si>
  <si>
    <t>11200-1-2-1</t>
  </si>
  <si>
    <t>11200-1-3</t>
  </si>
  <si>
    <t>11200-1-3-1</t>
  </si>
  <si>
    <t>Realizar piezas audiovisuales para la audiencia pública de rendición de cuentas de la ADRES, así como su cubrimiento y transmisión de video en línea</t>
  </si>
  <si>
    <t>Plan de Acción
Plan Anticorrupción y de Atención al Ciudadano</t>
  </si>
  <si>
    <t>Informe de audiencia pública de rendición de cuentas</t>
  </si>
  <si>
    <t>11200-1-4</t>
  </si>
  <si>
    <t>11200-1-4-1</t>
  </si>
  <si>
    <t>11200-1-5-1</t>
  </si>
  <si>
    <t>Matriz de requisitos legales actualizada</t>
  </si>
  <si>
    <t xml:space="preserve"> Documentos del SG-SST actualizados</t>
  </si>
  <si>
    <t>Reuniones - Inspecciones - Acompañamiento y seguimiento en el desarrollo del Comité paritario de seguridad y Salud en el trabajo</t>
  </si>
  <si>
    <t>Informe de la evaluación de cumplimiento del SG-SST de proveedores y contratistas "de personería jurídica"</t>
  </si>
  <si>
    <t>Informe de la auditoria interna del SG-SST</t>
  </si>
  <si>
    <t>Plan de Trabajo Anual del Sistema de Seguridad y Salud en el Trabajo 
Plan Institucional de Capacitación</t>
  </si>
  <si>
    <t>Actualizar la matriz de requisitos legales</t>
  </si>
  <si>
    <t>Realizar verificación y actualización de los documentos del SG-SST según requerimientos del decreto 1072 de 2015 y Resolución 1111 de 2017.</t>
  </si>
  <si>
    <t>Realizar Reuniones - Inspecciones - Acompañamiento y seguimiento en el desarrollo del Comité paritario de seguridad y Salud en el trabajo</t>
  </si>
  <si>
    <t>Realizar evaluación de cumplimiento del SG-SST de proveedores y contratistas "de personería jurídica"</t>
  </si>
  <si>
    <t>Realizar auditoria interna del SG-SST</t>
  </si>
  <si>
    <t>Realizar plan de acción de los hallazgos generados por auditoria interna o entes de control.</t>
  </si>
  <si>
    <t xml:space="preserve">Socializar y divulgar las Políticas de SST y Prevención de alcohol y drogas a todos los servidores públicos y partes interesadas. </t>
  </si>
  <si>
    <t>Elaborar  programa de medicina preventiva y definir las actividades de intervención de la ATEL.</t>
  </si>
  <si>
    <t xml:space="preserve">Elaborar programa de orden y aseso  y definir las actividades de intervención </t>
  </si>
  <si>
    <t>Programa de medicina preventiva elaborado</t>
  </si>
  <si>
    <t>Programa de orden y aseso elaborado</t>
  </si>
  <si>
    <t>Elaborar el programa de vigilancia epidemiológicos  de riesgo Psicosocial y Biomecánico y definir las actividades de  intervención.</t>
  </si>
  <si>
    <t>Elaborar el programa de manejo de sustancias químicas (Sistema Globalmente armonizado)</t>
  </si>
  <si>
    <t>Socializar y divulgar los roles y responsabilidades a todos los servidores públicos y partes interesadas</t>
  </si>
  <si>
    <t>Divulgar el Plan de Emergencias</t>
  </si>
  <si>
    <t>Divulgar el programa de mantenimiento</t>
  </si>
  <si>
    <t>Divulgar el programa de inspecciones</t>
  </si>
  <si>
    <t>Programa de vigilancia epidemiológicos  de riesgo Psicosocial y Biomecánico elaborado</t>
  </si>
  <si>
    <t>Programa de manejo de sustancias químicas (Sistema Globalmente armonizado) elaborado</t>
  </si>
  <si>
    <t xml:space="preserve">Realizar Rendición de Cuentas  del Sistema de Seguridad y Salud en el Trabajo a todos los niveles de la Entidad </t>
  </si>
  <si>
    <t>Rendición de Cuentas del Sistema de Seguridad y Salud en el Trabajo a todos los niveles de la Entidad  realizada</t>
  </si>
  <si>
    <t>Jornada de divulgación del Plan de Emergencias realizada</t>
  </si>
  <si>
    <t>Jornada de socialización y divulgación de las Políticas de SST y Prevención de alcohol y drogas a todos los servidores públicos y partes interesadas realizada</t>
  </si>
  <si>
    <t>Jornada de socialización y divulgación de los roles y responsabilidades a todos los servidores públicos y partes interesadas realizada</t>
  </si>
  <si>
    <t>Jornada de divulgación  del programa de inspecciones  realizada</t>
  </si>
  <si>
    <t>Jornada de divulgación del programa de mantenimiento realizada</t>
  </si>
  <si>
    <t>Informes de resultado de la investigación</t>
  </si>
  <si>
    <t>Investigar los eventos de incidentes, accidentes de trabajo  y/o enfermedades laborales que se presenten</t>
  </si>
  <si>
    <t># Informes de resultado de la investigación / # eventos de incidentes, accidentes de trabajo y/o enfermedades reportados</t>
  </si>
  <si>
    <t>Plan de acción de los hallazgos generados por auditoria interna o entes de control.</t>
  </si>
  <si>
    <t># de actividades realizadas</t>
  </si>
  <si>
    <t>Informe de evaluación de los formatos de los procesos a cargo de la Dirección Administrativa y Financiera para determinar su conveniencia</t>
  </si>
  <si>
    <t># Informe de evaluación de los formatos de los procesos a cargo  de la Dirección Administrativa y Financiera de la Dirección Administrativa y Financiera para determinar su conveniencia</t>
  </si>
  <si>
    <t>11700-1-2</t>
  </si>
  <si>
    <t>11700-1-3</t>
  </si>
  <si>
    <t>11700-1-4</t>
  </si>
  <si>
    <t>11700-1-5</t>
  </si>
  <si>
    <t>11700-1-6</t>
  </si>
  <si>
    <t>11700-1-7</t>
  </si>
  <si>
    <t>11700-1-8</t>
  </si>
  <si>
    <t>11700-1-9</t>
  </si>
  <si>
    <t>11700-1-10</t>
  </si>
  <si>
    <t>11700-1-11</t>
  </si>
  <si>
    <t>11700-1-12</t>
  </si>
  <si>
    <t>11700-1-13</t>
  </si>
  <si>
    <t>11700-1-14</t>
  </si>
  <si>
    <t>11700-1-15</t>
  </si>
  <si>
    <t>11700-1-16</t>
  </si>
  <si>
    <t>11700-1-17</t>
  </si>
  <si>
    <t>11700-1-18</t>
  </si>
  <si>
    <t>11700-1-19</t>
  </si>
  <si>
    <t>11700-1-20</t>
  </si>
  <si>
    <t>11700-1-21</t>
  </si>
  <si>
    <t>11700-1-22</t>
  </si>
  <si>
    <t>11700-1-23</t>
  </si>
  <si>
    <t>11700-1-2-1</t>
  </si>
  <si>
    <t>11700-1-3-1</t>
  </si>
  <si>
    <t>11700-1-4-1</t>
  </si>
  <si>
    <t>11700-1-5-1</t>
  </si>
  <si>
    <t>11700-1-6-1</t>
  </si>
  <si>
    <t>11700-1-7-1</t>
  </si>
  <si>
    <t>11700-1-8-1</t>
  </si>
  <si>
    <t>11700-1-9-1</t>
  </si>
  <si>
    <t>11700-1-10-1</t>
  </si>
  <si>
    <t>11700-1-11-1</t>
  </si>
  <si>
    <t>11700-1-12-1</t>
  </si>
  <si>
    <t>11700-1-13-1</t>
  </si>
  <si>
    <t>11700-1-14-1</t>
  </si>
  <si>
    <t>11700-1-15-1</t>
  </si>
  <si>
    <t>11700-1-16-1</t>
  </si>
  <si>
    <t>11700-1-17-1</t>
  </si>
  <si>
    <t>11700-1-18-1</t>
  </si>
  <si>
    <t>11700-1-19-1</t>
  </si>
  <si>
    <t>11700-1-20-1</t>
  </si>
  <si>
    <t>11700-1-21-1</t>
  </si>
  <si>
    <t>11700-1-22-1</t>
  </si>
  <si>
    <t>11700-1-23-1</t>
  </si>
  <si>
    <t>Elaborar el profesiograma de los servidores públicos de ADRES</t>
  </si>
  <si>
    <t>Documento de estudios ambientales elaborado
Documento de estudios ergonómicos en salud ocupacional elaborado</t>
  </si>
  <si>
    <t>Poner a disposición de los funcionarios de la ADRES, elementos ergonómicos</t>
  </si>
  <si>
    <t>Capacitación de Sistema de Seguridad Social realizada</t>
  </si>
  <si>
    <t>Capacitación de Administración de personal sector publico y legislación laboral realizada</t>
  </si>
  <si>
    <t>Capacitación de Big Data realizada</t>
  </si>
  <si>
    <t>Capacitación de Finanzas, contabilidad básicas, Presupuesto Público, Gestión Presupuestal EICE realizada</t>
  </si>
  <si>
    <t>Capacitación de Estadística realizada</t>
  </si>
  <si>
    <t>Capacitación de Contratación estatal realizada</t>
  </si>
  <si>
    <t>Capacitación de Salud publica realizada</t>
  </si>
  <si>
    <t>Capacitación de Trabajo en equipo, comunicación asertiva realizada.</t>
  </si>
  <si>
    <t>Capacitación de Redacción realizada</t>
  </si>
  <si>
    <t>Capacitación de Código de Integridad realizada</t>
  </si>
  <si>
    <t>Capacitación de Sostenibilidad ambiental realizada.</t>
  </si>
  <si>
    <t>Capacitación Buen gobierno realizada</t>
  </si>
  <si>
    <t>Capacitación de Gestión documental realizada.</t>
  </si>
  <si>
    <t>Capacitación de Bilingüismo realizada</t>
  </si>
  <si>
    <t>Capacitación de Acceso a la información realizada</t>
  </si>
  <si>
    <t>Capacitación de Desarrollo territorial y nacional realizada</t>
  </si>
  <si>
    <t>Inducción realizada</t>
  </si>
  <si>
    <t>Reinducción realizada</t>
  </si>
  <si>
    <t>11700-1-24</t>
  </si>
  <si>
    <t>11700-1-25</t>
  </si>
  <si>
    <t>11700-1-26</t>
  </si>
  <si>
    <t>11700-1-24-1</t>
  </si>
  <si>
    <t>11700-1-25-1</t>
  </si>
  <si>
    <t>11700-1-26-1</t>
  </si>
  <si>
    <t>Actualizar a los funcionarios en la normatividad vigente, referente a las reglas de cada subsistema y sus interrelaciones en el sistema de seguridad social, para dar cumplimiento a la misión de la entidad</t>
  </si>
  <si>
    <t>Fortalecer los conocimientos de los funcionarios referente a los beneficios  económicos y legales al ser servidores públicos.</t>
  </si>
  <si>
    <t>Lograr que los funcionarios identifiquen los lineamientos esenciales, para construir una oferta favorable, que conlleve a los resultados esperados  en cada contratación y les facilite el desarrollo de  cada proceso de la entidad</t>
  </si>
  <si>
    <t>Dar cumplimiento al Decreto 1072 de 2015, relacionado con el programa de seguridad y salud en el trabajo.</t>
  </si>
  <si>
    <t>Dar cumplimiento al modelo integrado de planeación y gestión</t>
  </si>
  <si>
    <t>Dar cumplimiento al Decreto 1083 de 2015 "Por medio del cual se expide el Decreto único reglamentario del Sector de Función Publica</t>
  </si>
  <si>
    <t xml:space="preserve"># Capacitaciones realizadas </t>
  </si>
  <si>
    <t xml:space="preserve"># Inducciones  realizadas </t>
  </si>
  <si>
    <t xml:space="preserve"># Reinducciones realizadas </t>
  </si>
  <si>
    <t>11700-1-27</t>
  </si>
  <si>
    <t>11700-1-28</t>
  </si>
  <si>
    <t>11700-1-29</t>
  </si>
  <si>
    <t>11700-1-30</t>
  </si>
  <si>
    <t>11700-1-31</t>
  </si>
  <si>
    <t>11700-1-36</t>
  </si>
  <si>
    <t>11700-1-37</t>
  </si>
  <si>
    <t>11700-1-38</t>
  </si>
  <si>
    <t>11700-1-42</t>
  </si>
  <si>
    <t>11700-1-43</t>
  </si>
  <si>
    <t>11700-1-27-1</t>
  </si>
  <si>
    <t>11700-1-28-1</t>
  </si>
  <si>
    <t>11700-1-29-1</t>
  </si>
  <si>
    <t>11700-1-30-1</t>
  </si>
  <si>
    <t>11700-1-31-1</t>
  </si>
  <si>
    <t>11700-1-36-1</t>
  </si>
  <si>
    <t>11700-1-37-1</t>
  </si>
  <si>
    <t>11700-1-38-1</t>
  </si>
  <si>
    <t>11700-1-42-1</t>
  </si>
  <si>
    <t>11700-1-43-1</t>
  </si>
  <si>
    <t>Caminata ecológica realizada</t>
  </si>
  <si>
    <t>Actividad día del niño realizada</t>
  </si>
  <si>
    <t>Actividad cultural y artística de Cine realizada</t>
  </si>
  <si>
    <t>Actividad cultural y artística de Taller de cocina realizada</t>
  </si>
  <si>
    <t>Actividades de navidad (novenas del 16 al 20 de diciembre de 2019) realizadas</t>
  </si>
  <si>
    <t>Plan prepensionados realizado</t>
  </si>
  <si>
    <t>Medición del clima laboral realizada</t>
  </si>
  <si>
    <t>Jornada de salud sobre: Salud visual realizada</t>
  </si>
  <si>
    <t>Jornada de salud sobre: Salud Oral realizada</t>
  </si>
  <si>
    <t>Jornada de salud sobre: Prevención cardiovascular realizada</t>
  </si>
  <si>
    <t>Jornada de salud sobre: Prevención del cáncer realizada</t>
  </si>
  <si>
    <t>Determinar y analizar el estado de la satisfacción laboral de los funcionarios, para identificar aspectos que puedan entorpecer la obtención de resultados de acuerdo a la misión de la entidad</t>
  </si>
  <si>
    <t>Contribuir al bienestar integral de los funcionarios, mediante la promoción de hábitos saludables, acciones de prevención de la salud, diagnostico temprano, tratamiento oportuno de los factores de riesgo</t>
  </si>
  <si>
    <t>Olimpiada deportiva de Microfútbol</t>
  </si>
  <si>
    <t>Olimpiada deportiva de Voleibol</t>
  </si>
  <si>
    <t>Olimpiada deportiva de Tenis de mesa</t>
  </si>
  <si>
    <t>Olimpiada deportiva de Bolos</t>
  </si>
  <si>
    <t>Olimpiada deportiva de Billar</t>
  </si>
  <si>
    <t>Vacaciones recreativas realizadas</t>
  </si>
  <si>
    <t>Jornada de salud sobre: Pausas activas realizadas</t>
  </si>
  <si>
    <t>Actividad de Incentivos realizada</t>
  </si>
  <si>
    <t>Actividad de Cierre de gestión realizada</t>
  </si>
  <si>
    <t># Actividades de bienestar realizadas</t>
  </si>
  <si>
    <t>11700-1-46</t>
  </si>
  <si>
    <t>11700-1-47</t>
  </si>
  <si>
    <t>11700-1-48</t>
  </si>
  <si>
    <t>11700-1-49</t>
  </si>
  <si>
    <t>11700-1-50</t>
  </si>
  <si>
    <t>11700-1-51</t>
  </si>
  <si>
    <t>11700-1-52</t>
  </si>
  <si>
    <t>11700-1-53</t>
  </si>
  <si>
    <t>11700-1-46-1</t>
  </si>
  <si>
    <t>11700-1-47-1</t>
  </si>
  <si>
    <t>11700-1-48-1</t>
  </si>
  <si>
    <t>11700-1-49-1</t>
  </si>
  <si>
    <t>11700-1-50-1</t>
  </si>
  <si>
    <t>11700-1-51-1</t>
  </si>
  <si>
    <t>11700-1-52-1</t>
  </si>
  <si>
    <t>11700-1-53-1</t>
  </si>
  <si>
    <t>Plan Anual de Vacantes</t>
  </si>
  <si>
    <t>11700-1-54</t>
  </si>
  <si>
    <t>11700-1-55</t>
  </si>
  <si>
    <t>11700-1-56</t>
  </si>
  <si>
    <t>Manual de funciones actualizado</t>
  </si>
  <si>
    <t xml:space="preserve">Solicitud a la CNSC sobre la apertura de la OPEC </t>
  </si>
  <si>
    <t>Informe de la OPEC actualizada</t>
  </si>
  <si>
    <t>Actualizar el Manual de funciones de la ADRES</t>
  </si>
  <si>
    <t xml:space="preserve">Solicitar a la CNSC, la apertura de la OPEC </t>
  </si>
  <si>
    <t>Actualizar la OPEC en el aplicativo SIMO</t>
  </si>
  <si>
    <t># Manual de funciones actualizados</t>
  </si>
  <si>
    <t># Solicitud a la CNSC</t>
  </si>
  <si>
    <t># Informe de Actualización</t>
  </si>
  <si>
    <t>11700-1-54-1</t>
  </si>
  <si>
    <t>11700-1-55-1</t>
  </si>
  <si>
    <t>11700-1-56-1</t>
  </si>
  <si>
    <t>11700-1-57</t>
  </si>
  <si>
    <t>11700-1-58</t>
  </si>
  <si>
    <t>11700-1-59</t>
  </si>
  <si>
    <t>11700-1-60</t>
  </si>
  <si>
    <t>11700-1-61</t>
  </si>
  <si>
    <t>11700-1-62</t>
  </si>
  <si>
    <t>11700-1-63</t>
  </si>
  <si>
    <t>11700-1-64</t>
  </si>
  <si>
    <t>11700-1-65</t>
  </si>
  <si>
    <t>11700-1-57-1</t>
  </si>
  <si>
    <t>11700-1-58-1</t>
  </si>
  <si>
    <t>11700-1-59-1</t>
  </si>
  <si>
    <t>11700-1-60-1</t>
  </si>
  <si>
    <t>11700-1-61-1</t>
  </si>
  <si>
    <t>11700-1-62-1</t>
  </si>
  <si>
    <t>11700-1-63-1</t>
  </si>
  <si>
    <t>11700-1-64-1</t>
  </si>
  <si>
    <t>11700-1-65-1</t>
  </si>
  <si>
    <t>Actividad social de Dia de la familia realizada</t>
  </si>
  <si>
    <t>Actividad social de Dia Internacional de la Mujer realizada</t>
  </si>
  <si>
    <t>Actividad social de Dia del servidor público realizada</t>
  </si>
  <si>
    <t>12000-1-2</t>
  </si>
  <si>
    <t>12000-1-3</t>
  </si>
  <si>
    <t>12000-1-4</t>
  </si>
  <si>
    <t>12000-1-3-1</t>
  </si>
  <si>
    <t>12000-1-4-1</t>
  </si>
  <si>
    <t>11900-1-12-1</t>
  </si>
  <si>
    <t>Evaluar cumplimiento a los seguimientos y  evaluaciones al control interno, contemplados en el Plan Anual de Auditorías</t>
  </si>
  <si>
    <t>Realizar vigilancia judicial y radicación de documentos en cada uno de los procesos que cursan en los despachos judiciales en contra de ADRES</t>
  </si>
  <si>
    <t># sentencias condenatorias en firme contra ADRES cuyo sentido de las mismas nos requiere el reconocimiento y pago de intereses moratorios, corrientes bancarios y/o indexaciones efectivamente entregadas para liquidación / # liquidaciones de intereses y/o indexaciones proyectadas</t>
  </si>
  <si>
    <t>Tramitar consultas y peticiones de carácter jurídico,  judicial y contractual que adelanta la entidad, y frente al contenido de actos administrativos y mantener actualizada la información de normas constitucionales y legales y demás asuntos de competencia de la ADRES.</t>
  </si>
  <si>
    <t>Ejercer la representación judicial en los procesos penales y denuncias en que sea parte la ADRES.</t>
  </si>
  <si>
    <t>Demandas Contestadas Oportunamente</t>
  </si>
  <si>
    <t># Demandas Contestadas Oportunamente / # Demandas en término de contestación en el trimestre</t>
  </si>
  <si>
    <t>Respuestas a solicitudes de pruebas</t>
  </si>
  <si>
    <t># Respuestas a solicitudes de pruebas en términos / # peticiones realizadas en término de contestación en el trimestre</t>
  </si>
  <si>
    <t xml:space="preserve">Fichas técnicas  </t>
  </si>
  <si>
    <t># Fichas técnicas  / # Audiencias a la conciliación notificadas a la entidad</t>
  </si>
  <si>
    <t xml:space="preserve">Fichas técnicas demandas </t>
  </si>
  <si>
    <t># Respuestas a reclamaciones / # solicitudes de reclamación radicadas por las EPS en el mes anterior</t>
  </si>
  <si>
    <t>Propuesta de articulado para inclusión en el proyecto del Plan Nacional de Desarrollo aprobada por Min Salud</t>
  </si>
  <si>
    <t># Convenios o contratos interadministrativos suscritos</t>
  </si>
  <si>
    <t>Resoluciones de Apertura</t>
  </si>
  <si>
    <t xml:space="preserve">Convocar a las veedurías ciudadanas para que participen el proceso de licitación pública </t>
  </si>
  <si>
    <t># Actos administrativos  / # procesos licitatorios previstos para la vigencia 2019</t>
  </si>
  <si>
    <t># Informes presentados en el periodo</t>
  </si>
  <si>
    <t>11300-1-2-1</t>
  </si>
  <si>
    <t>11300-1-3-1</t>
  </si>
  <si>
    <t>11300-1-4-1</t>
  </si>
  <si>
    <t>11300-1-5-1</t>
  </si>
  <si>
    <t>Desarrollo, soporte, mantenimiento, actualización e integración de los aplicativos que soportan las operaciones misionales de la Entidad</t>
  </si>
  <si>
    <t>Apoyo en soporte, desarrollo y mantenimiento e integración de aplicativos misionales</t>
  </si>
  <si>
    <t>Sensibilizar e incentivar a servidores y contratistas sobre la rendición de cuentas, la normativa aplicable, las responsabilidades frente a misma, su importancia y la forma en que la entidad rinde cuentas.</t>
  </si>
  <si>
    <t>Sensibilizar a la ciudadanía y partes interesadas sobre la rendición de cuentas y la importancia de su participación en los procesos, a través de medios electrónicos, con el fin de incentivarlos a participar en este proceso.</t>
  </si>
  <si>
    <t>Realizar la audiencia pública de rendición de cuentas y comunicar los resultados a la ciudadanía y partes interesadas.</t>
  </si>
  <si>
    <t>Realizar la rendición de cuentas interna</t>
  </si>
  <si>
    <t>Realizar actividades de relacionamiento y rendición de cuentas con actores del sector salud y partes interesadas</t>
  </si>
  <si>
    <t>Actividades de relacionamiento y rendición de cuentas realizadas</t>
  </si>
  <si>
    <t># Actividades de relacionamiento y rendición de cuentas realizadas</t>
  </si>
  <si>
    <t>11200-1-2-2</t>
  </si>
  <si>
    <t>11200-1-2-3</t>
  </si>
  <si>
    <t>11200-1-2-4</t>
  </si>
  <si>
    <t>11200-1-6</t>
  </si>
  <si>
    <t>11200-1-7</t>
  </si>
  <si>
    <t>11200-1-8</t>
  </si>
  <si>
    <t>11200-1-6-1</t>
  </si>
  <si>
    <t>11200-1-7-1</t>
  </si>
  <si>
    <t>11200-1-8-1</t>
  </si>
  <si>
    <t>11900-1-2-2</t>
  </si>
  <si>
    <t>11900-1-2-3</t>
  </si>
  <si>
    <t>11900-1-12-2</t>
  </si>
  <si>
    <t>11900-1-12-3</t>
  </si>
  <si>
    <t>11900-1-12-4</t>
  </si>
  <si>
    <t>11900-1-14-1</t>
  </si>
  <si>
    <t>11900-1-15-2</t>
  </si>
  <si>
    <t>11800-1-2</t>
  </si>
  <si>
    <t>11800-1-3</t>
  </si>
  <si>
    <t>11800-1-4</t>
  </si>
  <si>
    <t>11800-1-5</t>
  </si>
  <si>
    <t>11800-1-6</t>
  </si>
  <si>
    <t>11800-1-2-1</t>
  </si>
  <si>
    <t>11800-1-3-1</t>
  </si>
  <si>
    <t>11800-1-4-1</t>
  </si>
  <si>
    <t>11800-1-5-1</t>
  </si>
  <si>
    <t>11800-1-6-1</t>
  </si>
  <si>
    <t>12000-1-5</t>
  </si>
  <si>
    <t>12000-1-6</t>
  </si>
  <si>
    <t>12000-1-7</t>
  </si>
  <si>
    <t>12000-1-8</t>
  </si>
  <si>
    <t>12000-1-9</t>
  </si>
  <si>
    <t>12000-1-10</t>
  </si>
  <si>
    <t>12000-1-11</t>
  </si>
  <si>
    <t>12000-1-5-1</t>
  </si>
  <si>
    <t>12000-1-5-2</t>
  </si>
  <si>
    <t>12000-1-6-1</t>
  </si>
  <si>
    <t>12000-1-6-2</t>
  </si>
  <si>
    <t>12000-1-7-1</t>
  </si>
  <si>
    <t>12000-1-8-1</t>
  </si>
  <si>
    <t>12000-1-9-1</t>
  </si>
  <si>
    <t>12000-1-10-1</t>
  </si>
  <si>
    <t>12000-1-11-1</t>
  </si>
  <si>
    <t>11800-1-7</t>
  </si>
  <si>
    <t>11800-1-7-1</t>
  </si>
  <si>
    <t>11400-2-1-1-1</t>
  </si>
  <si>
    <t>11400-1-1-2-1</t>
  </si>
  <si>
    <t>11400-1-1-3-1</t>
  </si>
  <si>
    <t>11400-1-1-4-1</t>
  </si>
  <si>
    <t>11400-1-1-5-1</t>
  </si>
  <si>
    <t>11400-1-1-6-1</t>
  </si>
  <si>
    <t>11400-1-1-7-1</t>
  </si>
  <si>
    <t>11400-1-1-8-1</t>
  </si>
  <si>
    <t>11400-1-1-9-1</t>
  </si>
  <si>
    <t>11400-1-1-2</t>
  </si>
  <si>
    <t>11400-1-1-3</t>
  </si>
  <si>
    <t>11400-1-1-4</t>
  </si>
  <si>
    <t>11400-1-1-5</t>
  </si>
  <si>
    <t>11400-1-1-6</t>
  </si>
  <si>
    <t>11400-1-1-7</t>
  </si>
  <si>
    <t>11400-1-1-8</t>
  </si>
  <si>
    <t>11400-1-1-9</t>
  </si>
  <si>
    <t>Tipo de Plan</t>
  </si>
  <si>
    <t>DAF</t>
  </si>
  <si>
    <t>DGRFS</t>
  </si>
  <si>
    <t>DG</t>
  </si>
  <si>
    <t>DLG</t>
  </si>
  <si>
    <t>DOP</t>
  </si>
  <si>
    <t>OAPCR</t>
  </si>
  <si>
    <t>OAJ</t>
  </si>
  <si>
    <t>OCI</t>
  </si>
  <si>
    <t>DGTIC</t>
  </si>
  <si>
    <t>Plan Institucional de Archivos de la Entidad –PINAR</t>
  </si>
  <si>
    <t>Plan Anual de Adquisiciones</t>
  </si>
  <si>
    <t>Plan de Previsión de Recursos Humanos</t>
  </si>
  <si>
    <t>Plan Estratégico de Talento Humano</t>
  </si>
  <si>
    <t>Plan de Incentivos Institucionales</t>
  </si>
  <si>
    <t>Plan de Trabajo Anual en Seguridad y Salud en el Trabajo</t>
  </si>
  <si>
    <t>Plan de Tratamiento de Riesgos de Seguridad y Privacidad de la Información</t>
  </si>
  <si>
    <t xml:space="preserve">Plan de Seguridad y Privacidad de la Información </t>
  </si>
  <si>
    <t xml:space="preserve">Plan de Acción </t>
  </si>
  <si>
    <t>Totales</t>
  </si>
  <si>
    <t>Total de actividades</t>
  </si>
  <si>
    <t>Valor total</t>
  </si>
  <si>
    <t>Viáticos y gastos de viaje</t>
  </si>
  <si>
    <t>Plan de Adquisiciones DG</t>
  </si>
  <si>
    <t>Plan de Adquisiciones DOP</t>
  </si>
  <si>
    <t>Plan de Adquisiciones DLG</t>
  </si>
  <si>
    <t>Plan de Adquisiciones DGRFS</t>
  </si>
  <si>
    <t>Plan de Adquisiciones DGTIC</t>
  </si>
  <si>
    <t>Plan de Adquisiciones DAF</t>
  </si>
  <si>
    <t>Plan Adquisiciones OAJ</t>
  </si>
  <si>
    <t>Vigencias futuras DAF</t>
  </si>
  <si>
    <t>Vigencias futuras DGTIC</t>
  </si>
  <si>
    <t>Vigencias futuras DOP</t>
  </si>
  <si>
    <t>Plan de Acción ajustes normativos</t>
  </si>
  <si>
    <t>Disponibilidad final</t>
  </si>
  <si>
    <t>Plan Anticorrupción y de Atención al Ciudadano - Plan de Tratamiento de Riesgos de Seguridad y Privacidad de la Información</t>
  </si>
  <si>
    <t xml:space="preserve">Plan Anticorrupción y de Atención al Ciudadano - Plan de Seguridad y Privacidad de la Información </t>
  </si>
  <si>
    <t>Plan Anticorrupción y de Atención al Ciudadano - Plan Institucional de Capacitación</t>
  </si>
  <si>
    <t>Plan de bienestar e Incentivos Institucionales</t>
  </si>
  <si>
    <t>X</t>
  </si>
  <si>
    <t>Enviar solicitud escrita mensualmente a cada Director, Subdirector y Jefe de Oficina, desde Talento Humano, con el fin de que indiquen los cargos vacantes a proveer</t>
  </si>
  <si>
    <t>Realizar nombramientos de acuerdo con los requerimientos de cada dependencia donde haya vacantes</t>
  </si>
  <si>
    <t>Realizar posesiones de acuerdo con los nombramientos realizados</t>
  </si>
  <si>
    <t># Solicitudes escritas desde Talento Humano</t>
  </si>
  <si>
    <t># de nombramientos realizados / # Solicitudes de nombramientos</t>
  </si>
  <si>
    <t xml:space="preserve"># de posesionados / # de nombramientos comunicados y aceptados </t>
  </si>
  <si>
    <t>Solicitud escrita desde Talento Humano</t>
  </si>
  <si>
    <t>Actos administrativos</t>
  </si>
  <si>
    <t>Actas de Posesión</t>
  </si>
  <si>
    <t>Plan de previsión de vacantes</t>
  </si>
  <si>
    <t>Plan de Adquisiciones</t>
  </si>
  <si>
    <t>Contratos suscritos</t>
  </si>
  <si>
    <t>Realizar el seguimiento a la ejecución del Plan de Adquisiciones</t>
  </si>
  <si>
    <t># Contratos del Plan de Adquisiciones suscritos / # contrataciones del Plan de Adquisiciones</t>
  </si>
  <si>
    <t>Implementar el SARL, SARC y SARM con los lineamientos establecidos en la Circular 006 de 2018</t>
  </si>
  <si>
    <t>21. Gestión Jurídica Representación Judicial</t>
  </si>
  <si>
    <t xml:space="preserve">13. Gestión Administrativa y Documental
</t>
  </si>
  <si>
    <t>6. Gestión Contable y Control Recursos</t>
  </si>
  <si>
    <t xml:space="preserve">11. Gestión Contable Interna </t>
  </si>
  <si>
    <t>14. Gestión Presupuestal Interna</t>
  </si>
  <si>
    <t>16. Reintegro de Recursos apropiados o reconocidos sin justa causa</t>
  </si>
  <si>
    <t>2. Administración de Riesgos</t>
  </si>
  <si>
    <t>18. Administración Base de Datos Unica de Afiliados - BDUA</t>
  </si>
  <si>
    <t>22. Gestión Jurídica Acciones Constitucionales y de Tutela</t>
  </si>
  <si>
    <t>23. Gestión Jurídica Cobro Coactivo</t>
  </si>
  <si>
    <t xml:space="preserve">24. Gestión de Tesorería Interna </t>
  </si>
  <si>
    <t>25. Control y Evaluación de las Gestión</t>
  </si>
  <si>
    <t>26. Planeación y Gestión Institucional</t>
  </si>
  <si>
    <t xml:space="preserve">27. Gestión y Prevención de Asuntos Disciplinarios </t>
  </si>
  <si>
    <t>28. Gestión Integral régimen especial o de excepción</t>
  </si>
  <si>
    <t>29. Comisión de servicios de desplazamiento nacional</t>
  </si>
  <si>
    <t>30. N.A</t>
  </si>
  <si>
    <t>Dirección de Gestión de Recursos Financieros de Salud
Oficina Asesora de Planeación y Control de Riesgos</t>
  </si>
  <si>
    <t>11300/12000-2</t>
  </si>
  <si>
    <t>11300/12000-2-1-1</t>
  </si>
  <si>
    <t>11300/12000-2-1</t>
  </si>
  <si>
    <t>Realizar reuniones de autocontrol y seguimiento a los procesos que evidencien el monitoreo a los riesgos, indicadores, planes de mejoramiento, manuales y documentos asociados</t>
  </si>
  <si>
    <t>Reuniones de autocontrol y seguimiento a  los procesos que evidencien monitoreo a los riesgos, indicadores, planes de mejoramiento, manuales y documentos asociados</t>
  </si>
  <si>
    <t># reuniones realizadas</t>
  </si>
  <si>
    <t>12000-1-2-1</t>
  </si>
  <si>
    <t>ESTRATEGIA ASOCIADA</t>
  </si>
  <si>
    <t>Informe de análisis sobre procesos o tecnologías reconocidas por la ADRES</t>
  </si>
  <si>
    <t>#  Informes de análisis sobre procesos o tecnologías reconocidas por la ADRES</t>
  </si>
  <si>
    <t xml:space="preserve">Racionalizar el trámite de Solicitud compra de cartera a través del cambio en la Resolución 4373 de 2017 del ministerio de salud </t>
  </si>
  <si>
    <t>Proyecto de resolución entregado al Ministerio de Salud para aprobación</t>
  </si>
  <si>
    <t># Proyectos de Resolución entregados</t>
  </si>
  <si>
    <t># Formularios FURPEN mejorados</t>
  </si>
  <si>
    <t>Racionalizar el trámite “Reconocimiento y pago de prestaciones por concepto de atenciones médico-quirúrgicas a víctimas de eventos catastróficos, terroristas y de accidentes de tránsito” a través de la revisión y mejoramiento del formato FURPEN.</t>
  </si>
  <si>
    <t>Formulario FURPEN mejorado</t>
  </si>
  <si>
    <t xml:space="preserve">Estadísticas de registros de las auditorias preventivas por entidad con errores </t>
  </si>
  <si>
    <t>Informes de auditorias correctivas según resolución 2199 de 2013 y 4894 de 2015</t>
  </si>
  <si>
    <t>Depuración de registros de BDUA de acuerdo con solicitudes del MSPS, según resolución 2199 de 2013 y 4894 de 2015</t>
  </si>
  <si>
    <t xml:space="preserve"># Registros corregidos en la BDUA / # Registros notificados en auditorias preventivas </t>
  </si>
  <si>
    <t># PQRSD BDUA atendidas en términos de ley en el trimestre  / #PQRSD BDUA recibidas con fecha máxima de respuesta en el trimestre</t>
  </si>
  <si>
    <t># de registro depurados por ADRES + # Registros correctos / # Número total de registros notificados en auditorias correctivas</t>
  </si>
  <si>
    <t xml:space="preserve">Porcentaje </t>
  </si>
  <si>
    <t>Por definir</t>
  </si>
  <si>
    <t>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t>
  </si>
  <si>
    <t>11600-1-1-1-2</t>
  </si>
  <si>
    <t>11600-1-1-1-3</t>
  </si>
  <si>
    <t>11600-1-1-1-4</t>
  </si>
  <si>
    <t>Hacer seguimiento a la implementación de MIPG</t>
  </si>
  <si>
    <t>Matriz de avance en la implementación del MIPG</t>
  </si>
  <si>
    <t>11400-1-1-1-1</t>
  </si>
  <si>
    <t># Matrices de avance en la implementación del MIPG elaboradas</t>
  </si>
  <si>
    <t>11700-1-36-2</t>
  </si>
  <si>
    <t>11700-1-36-3</t>
  </si>
  <si>
    <t>11700-1-36-4</t>
  </si>
  <si>
    <t>11700-1-36-5</t>
  </si>
  <si>
    <t>11700-1-36-6</t>
  </si>
  <si>
    <t>11700-1-37-2</t>
  </si>
  <si>
    <t>11700-1-38-2</t>
  </si>
  <si>
    <t>11700-1-38-3</t>
  </si>
  <si>
    <t>11700-1-38-4</t>
  </si>
  <si>
    <t>11700-1-38-5</t>
  </si>
  <si>
    <t>11700-1-38-6</t>
  </si>
  <si>
    <t>11700-1-43-2</t>
  </si>
  <si>
    <t>11700-1-43-4</t>
  </si>
  <si>
    <t>11600-2-3</t>
  </si>
  <si>
    <t>11600-2-4</t>
  </si>
  <si>
    <t>11600-2-5</t>
  </si>
  <si>
    <t>Plan Estratégico de TI  estructurado, elaborado y aprobado</t>
  </si>
  <si>
    <t>11600-2-7</t>
  </si>
  <si>
    <t>11600-2-8</t>
  </si>
  <si>
    <t>11600-2-9</t>
  </si>
  <si>
    <t>11600-2-10</t>
  </si>
  <si>
    <t>11600-2-12</t>
  </si>
  <si>
    <t>11600-2-14</t>
  </si>
  <si>
    <t>11600-2-17</t>
  </si>
  <si>
    <t>11600-2-3-1</t>
  </si>
  <si>
    <t>11600-2-4-1</t>
  </si>
  <si>
    <t>11600-2-5-1</t>
  </si>
  <si>
    <t>11600-2-7-1</t>
  </si>
  <si>
    <t>11600-2-8-1</t>
  </si>
  <si>
    <t>11600-2-9-1</t>
  </si>
  <si>
    <t>11600-2-10-1</t>
  </si>
  <si>
    <t>11600-2-12-1</t>
  </si>
  <si>
    <t>11600-2-14-1</t>
  </si>
  <si>
    <t>11600-2-17-1</t>
  </si>
  <si>
    <t>12000-1-12</t>
  </si>
  <si>
    <t>12000-1-12-1</t>
  </si>
  <si>
    <t>11800-1-8</t>
  </si>
  <si>
    <t>11800-1-8-1</t>
  </si>
  <si>
    <t>COMPONENTE PAAC</t>
  </si>
  <si>
    <t>SUBCOMPONENTE PAAC</t>
  </si>
  <si>
    <t>Gestión de riesgo de corrupción- mapa de riesgos de corrupción</t>
  </si>
  <si>
    <t>Racionalización de Tramites</t>
  </si>
  <si>
    <t xml:space="preserve">Rendición de Cuentas </t>
  </si>
  <si>
    <t>Mecanismos para mejorar la atención al ciudadano</t>
  </si>
  <si>
    <t>Información de calidad y en formato comprensible</t>
  </si>
  <si>
    <t>Incentivos para motivar la cultura de la rendición y petición de cuentas</t>
  </si>
  <si>
    <t xml:space="preserve">Monitoreo y revisión </t>
  </si>
  <si>
    <t>Normativo y procedimental</t>
  </si>
  <si>
    <t>Fortalecimiento de canales de atención</t>
  </si>
  <si>
    <t>Relacionamiento con el ciudadano</t>
  </si>
  <si>
    <t>Lineamientos de transparencia activa</t>
  </si>
  <si>
    <t>Seguimiento</t>
  </si>
  <si>
    <t>Construcción Mapa de Riesgos</t>
  </si>
  <si>
    <t>Consulta y Divulgación</t>
  </si>
  <si>
    <t>Diálogo de doble vía con la Ciudadanía y las Organizaciones</t>
  </si>
  <si>
    <t>11600-2-3-2</t>
  </si>
  <si>
    <t># Vulnerabilidades resueltas / # vulnerabilidades identificadas</t>
  </si>
  <si>
    <t>Vulnerabilidades resueltas del ejercicio de ethical hacking del año anterior</t>
  </si>
  <si>
    <t># Planes Estratégicos de TI elaborados.</t>
  </si>
  <si>
    <t xml:space="preserve"># Autodiagnósticos realizados </t>
  </si>
  <si>
    <t>Inventario y registro de activos de información actualizados</t>
  </si>
  <si>
    <t>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t>
  </si>
  <si>
    <t xml:space="preserve"> # Matrices de inventario y registro de activos de información actualizados </t>
  </si>
  <si>
    <t>Plan de Seguridad y Privacidad de la Información
Plan Institucional de Capacitación</t>
  </si>
  <si>
    <t>AVANCE ACUMULADO</t>
  </si>
  <si>
    <t>FINANCIERA</t>
  </si>
  <si>
    <t xml:space="preserve">Optimización de la ejecución del proceso de liquidación, reconocimiento, giro y reintegro de los recobros y reclamaciones </t>
  </si>
  <si>
    <r>
      <rPr>
        <b/>
        <sz val="14"/>
        <color indexed="8"/>
        <rFont val="Verdana"/>
        <family val="2"/>
      </rPr>
      <t>Nota:</t>
    </r>
    <r>
      <rPr>
        <sz val="14"/>
        <color indexed="8"/>
        <rFont val="Verdana"/>
        <family val="2"/>
      </rPr>
      <t xml:space="preserve"> El cumplimiento general de perspectivas corresponde al promedio de los resultados de cada perspectiva, tanto en el periodo como acumulado. El cumplimiento total corresponde al promedio de los resultados de todas y cada una de las actividades del Plan de Acción, tanto en el periodo como de forma acumulada. El cumplimiento físico excluye la perspectiva financiera.</t>
    </r>
  </si>
  <si>
    <t>CUMPLIMIENTO FÍSICO (Promedio porcentual)</t>
  </si>
  <si>
    <t>CUMPLIMIENTO TOTAL (Promedio porcentual)</t>
  </si>
  <si>
    <t>CUMPLIMIENTO GENERAL PERSPECTIVAS (Promedio porcentual)</t>
  </si>
  <si>
    <t>APRENDIZAJE Y DESARROLLO</t>
  </si>
  <si>
    <t>PROCESOS INTERNOS</t>
  </si>
  <si>
    <t>ENFOQUE DEL CLIENTE Y OTRAS PARTES INTERESADAS</t>
  </si>
  <si>
    <r>
      <t xml:space="preserve">% 
</t>
    </r>
    <r>
      <rPr>
        <b/>
        <sz val="10"/>
        <color indexed="9"/>
        <rFont val="Verdana"/>
        <family val="2"/>
      </rPr>
      <t>Cumplimiento periodo</t>
    </r>
  </si>
  <si>
    <t>&gt; 100% de la meta del periodo</t>
  </si>
  <si>
    <t>95 &lt;=100% de la meta del periodo</t>
  </si>
  <si>
    <t>75% &lt;=95% de la meta del periodo</t>
  </si>
  <si>
    <t xml:space="preserve">75% &lt;=95% </t>
  </si>
  <si>
    <t>50% &lt;=75% de la meta del periodo</t>
  </si>
  <si>
    <t>50% &lt;=75%</t>
  </si>
  <si>
    <t>0% &lt;= 50% de la meta del periodo</t>
  </si>
  <si>
    <t>SEMÁFORO EFICACIA EN LA EJECUCIÓN ACUMULADA</t>
  </si>
  <si>
    <t>SEMÁFORO EFICACIA EN LA EJECUCIÓN DEL PERIODO</t>
  </si>
  <si>
    <t>Lograr calidad y oportunidad en los procesos de reconocimiento de prestaciones excepcionales</t>
  </si>
  <si>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</si>
  <si>
    <t>Direccion de Tecnologías de la Información y las Comunicaciones</t>
  </si>
  <si>
    <t>Mejoramiento de la infraestructura tecnológica para garantizar la operación de los procesos misionales</t>
  </si>
  <si>
    <t>Gestión, análisis de información y consolidación de la transparencia.</t>
  </si>
  <si>
    <t>Gestión del riesgo legal</t>
  </si>
  <si>
    <t>N</t>
  </si>
  <si>
    <t>Dirección de Gestión de Recursos Financieros para la Salud</t>
  </si>
  <si>
    <t>Dirección de Gestión de Recursos Financieros para la Salud
Oficina Asesora de Planeación y Control de Riesgos</t>
  </si>
  <si>
    <t xml:space="preserve">
Oficina Asesora de Planeación y Control de Riesgos</t>
  </si>
  <si>
    <t>Plan de Trabajo Anual de  Seguridad y Salud  en el Trabajo</t>
  </si>
  <si>
    <t>Plan de Bienestar e Incentivos Institucionales</t>
  </si>
  <si>
    <t>Plan Anual de Trabajo de Seguridad y Salud en el Trabajo</t>
  </si>
  <si>
    <t>Plan de Seguridad y Privacidad de la información</t>
  </si>
  <si>
    <t>Plan Estratégico de Tecnologías de la Información y las Comunicaciones - PETI</t>
  </si>
  <si>
    <t xml:space="preserve">Plan Anticorrupción y de Atención al Ciudadano
Plan de Seguridad y Privacidad de la Información
Plan de Tratamiento de Riesgos de Seguridad y Privacidad de la Información </t>
  </si>
  <si>
    <t>Plan Institucional de Capacitación
Plan Anticorrupción y de Atención al Ciudadano</t>
  </si>
  <si>
    <t>Plan Institucional de Capacitación
Plan de Seguridad y Privacidad de la Información</t>
  </si>
  <si>
    <t xml:space="preserve">Oficina Asesora de Planeación y Control de Riesgos  </t>
  </si>
  <si>
    <t>Plan Institicional de Capacitación
Plan Anticorrupción y de Atención al Ciudadano</t>
  </si>
  <si>
    <t>Dirección de  Liquidaciones y Garantías</t>
  </si>
  <si>
    <t>% Cumplimiento Marzo</t>
  </si>
  <si>
    <t>% Cumplimiento Acumulado Marzo</t>
  </si>
  <si>
    <t>% Actividades sobre ejecutadas</t>
  </si>
  <si>
    <t>% Cumplimiento Junio</t>
  </si>
  <si>
    <t>% Cumplimiento Acumulado Junio</t>
  </si>
  <si>
    <t>% Cumplimiento Septiembre</t>
  </si>
  <si>
    <t>% Cumplimiento Acumulado Septiembre</t>
  </si>
  <si>
    <t>% Cumplimiento Diciembre</t>
  </si>
  <si>
    <t>% Cumplimiento Acumulado Diciembre</t>
  </si>
  <si>
    <t>PROMEDIO PERSPECTIVAS</t>
  </si>
  <si>
    <t xml:space="preserve">Adecuación institucional </t>
  </si>
  <si>
    <t xml:space="preserve">Optimización de procesos de recaudo, administración y pago de recursos </t>
  </si>
  <si>
    <t>51% &lt;=75% de la meta del periodo</t>
  </si>
  <si>
    <t>76% &lt;=95% de la meta del periodo</t>
  </si>
  <si>
    <t>I TRIMESTRE</t>
  </si>
  <si>
    <t>II TRIMESTRE</t>
  </si>
  <si>
    <t>IIITRIMESTRE</t>
  </si>
  <si>
    <t>IV TRIMESTRE</t>
  </si>
  <si>
    <t>EJECUCIÓN PRESUPUESTAL ACUMULADA UGG</t>
  </si>
  <si>
    <t>Valor ejecutado</t>
  </si>
  <si>
    <t>Valor programado</t>
  </si>
  <si>
    <t>EJECUCION PRESUPUESTAL ACUMULADA URA</t>
  </si>
  <si>
    <t>EJECUCION PRESUPUESTAL ACUMULADA TOTAL</t>
  </si>
  <si>
    <t>Calidad y oportunidad en los procesos de reconocimiento del aseguramiento</t>
  </si>
  <si>
    <t xml:space="preserve">Calidad y oportunidad en los procesos de reconocimiento de prestaciones excepcionales </t>
  </si>
  <si>
    <t>Infraestructura tecnológica para soportar los procesos misionales, y garantizar la calidad de la BDUA</t>
  </si>
  <si>
    <t>Gestión y el análisis de la información de la prescripción, suministro, de recobros, reclamaciones y del aseguramiento en salud</t>
  </si>
  <si>
    <t>Proteger, gestionar y defender los recursos del SGSSS (proyecto estratégico)</t>
  </si>
  <si>
    <t>Proteger, gestionar y defender los recursos del SGSSS (apoyo)</t>
  </si>
  <si>
    <t>Proteger, gestionar y defender los recursos del SGSSS (misional)</t>
  </si>
  <si>
    <t>Proteger, gestionar y defender los recursos del SGSSS (consolidado)</t>
  </si>
  <si>
    <t xml:space="preserve">Dirección de Gestión de Recursos Financieros para la Salud </t>
  </si>
  <si>
    <t>Plan Estratégico de Tecnologías de la Información y las Comunicaciones</t>
  </si>
  <si>
    <t>Plan Estratégico de Gestión del Talento Humano</t>
  </si>
  <si>
    <t>Dirección de Gestión de Tecnología de la Información y la Comunicación
Dirección Administrativa y Financiera</t>
  </si>
  <si>
    <t>11600/11700</t>
  </si>
  <si>
    <t>11600/11700-1</t>
  </si>
  <si>
    <t>Registro de las bases de datos con datos personales ante la Superintendencia de Industria y Comercio - SIC</t>
  </si>
  <si>
    <t>Solicitudes de autorización para el tratamiento de datos personales</t>
  </si>
  <si>
    <t>11600/11700-1-1-1</t>
  </si>
  <si>
    <t>11600/11700-1-1</t>
  </si>
  <si>
    <t>11600/11700-1-2</t>
  </si>
  <si>
    <t>11600/11700-1-2-1</t>
  </si>
  <si>
    <t>Realizar autodiagnóstico frente al cumplimiento del Régimen de protección de datos personales</t>
  </si>
  <si>
    <t>Realizar registro de las bases de datos con datos personales ante la Superintendencia de Industria y Comercio - SIC</t>
  </si>
  <si>
    <t>Desarrollar e implementar solicitudes de autorización para el tratamiento de datos personales</t>
  </si>
  <si>
    <t>Autodiagnóstico frente al cumplimiento del Régimen de protección de datos personales</t>
  </si>
  <si>
    <t># Autodiagnósticos de Ley de Protección de Datos - LPD realizados</t>
  </si>
  <si>
    <t># Registros realizados ante la SIC</t>
  </si>
  <si>
    <t>CONTROL DE CAMBIOS</t>
  </si>
  <si>
    <t>Versión</t>
  </si>
  <si>
    <t>Fecha</t>
  </si>
  <si>
    <t>Descripción del cambio</t>
  </si>
  <si>
    <t>Solicitado por</t>
  </si>
  <si>
    <t>Elaborado por</t>
  </si>
  <si>
    <t xml:space="preserve">Revisado Por </t>
  </si>
  <si>
    <t>Aprobado por</t>
  </si>
  <si>
    <t>Emisión y publicación inicial</t>
  </si>
  <si>
    <t>Mandamiento de ley</t>
  </si>
  <si>
    <t>Director de Gestión de Tecnologías de la Información y las Comunicaciones</t>
  </si>
  <si>
    <t>Junta Directiva
Comité Institucional de Gestión y Desempeño</t>
  </si>
  <si>
    <t>Director de Gestión de Tecnologías de la Información y las Comunicaciones
Juan Carlos Escobar
Gestor de Operaciones Dirección de Tecnologías de la Información y las Comunicaciones</t>
  </si>
  <si>
    <t>Modificación injustificada</t>
  </si>
  <si>
    <t>SI</t>
  </si>
  <si>
    <t xml:space="preserve">En Comité de Gestión y Desempeño identificaron que faltó la definición de las actividades a desarrollar frente a  la Ley de Protección de Datos Personales. </t>
  </si>
  <si>
    <t>RIESGO(S) ASOCIADO(S)</t>
  </si>
  <si>
    <t>*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</si>
  <si>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xml:space="preserve">Incumplimiento de compromisos  por Liquidación errada de UPC del Régimen subsidiado
* Reconocimiento Indebido de Unidad de Pago por Capitaciones (UPC), PyP e Incapacidades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
</t>
  </si>
  <si>
    <t>* Reconocimiento Indebido de Unidad de Pago por Capitaciones (UPC), PyP e Incapacidades</t>
  </si>
  <si>
    <t>* Incumplimiento en los términos otorgados por la autoridad judicial para la presentación de informes en acciones de tutela.</t>
  </si>
  <si>
    <t>* Inexactitud durante el cálculo de la información a generar para orden de gasto por concepto de recobros  
* Generar de manera extemporánea el cálculo de la información para orden de gasto por concepto de recobros</t>
  </si>
  <si>
    <t xml:space="preserve">* Inexactitud durante el cálculo de la información a generar para orden de gasto por concepto de recobros  
* Generar de manera extemporánea el cálculo de la información para orden de gasto por concepto de recobros
</t>
  </si>
  <si>
    <t>*  Riesgos identificados y asignados en el contrato de auditoria a los recobros y las reclamaciones, en el contrato de  interventoría</t>
  </si>
  <si>
    <t>* Inexactitud durante la consolidación y cálculo de la información a generar para orden de pago por concepto de reclamaciones
* Generar de manera extemporánea el cálculo de la información para orden de gasto por concepto de reclamaciones</t>
  </si>
  <si>
    <t>* Inoportunidad en la disposición de canales y medios para la entrega de la información por parte de las entidades del Régimen Contributivo, Subsidiado, Especial o de Excepción, planes voluntarios de salud, MSPS y DNP.</t>
  </si>
  <si>
    <t>* Inexactitud en la definición del alcance del proyecto de tecnología de información
* Incumplimiento en el tiempo de ejecución del proyecto de acuerdo al cronograma definido en la fase de planeación.</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</si>
  <si>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t>
    </r>
  </si>
  <si>
    <t>RIESGO(S) ASOCIADOS</t>
  </si>
  <si>
    <t>N.I</t>
  </si>
  <si>
    <t>* Pérdida de recursos apropiados o reconocidos sin justa causa, al no lograr la totalidad del reintegro.
* Inexactitud en la validación de documentos soportes para el pago de prestaciones económicas y montos por concepto de devolución de aportes
* Inexactitud en la generación de acto administrativo para el pago de devolución de aporte y/o prestaciones económicas del Régimen especial o de excepción.</t>
  </si>
  <si>
    <t>* Incumplimiento de compromisos  por Liquidación errada de UPC del Régimen subsidiado
* Incumplimiento de compromisos por cálculo errado o inoportuno de descuentos y giros a IPS y/o Proveedores</t>
  </si>
  <si>
    <t>* Reconocimiento Indebido de Unidad de Pago por Capitaciones (UPC), PyP e Incapacidades
* Reconocimiento  extemporáneo de las obligaciones con las EPS</t>
  </si>
  <si>
    <t>* Apropiación y ejecución de recursos recaudados en las cuentas de ADRES, los cuales no hacen parte de los recursos administrados conforme lo establece el artículo 66 y 67 de la Ley 1753 de 2015</t>
  </si>
  <si>
    <t>* Inexactitud en la generación de pagos
* Generación de pagos inoportunamente o no pagar</t>
  </si>
  <si>
    <t>Inexactitud y/o Inoportunidad en la generación de Estados Financieros</t>
  </si>
  <si>
    <t xml:space="preserve">* Incumplimiento en la atención a los requerimientos recibidos frente a los tiempos definidos en el Catalogo de Servicios </t>
  </si>
  <si>
    <t>* Inexactitud en la realidad de los procesos reflejada en los Manuales Operativos de la Entidad
* Inoportunidad y/o inconsistencia en la entrega de reportes de monitoreo a la gestión de riesgos</t>
  </si>
  <si>
    <t>* Incumplimiento por el  vencimiento de tiempos establecidos para suministrar respuesta a las PQRSD.</t>
  </si>
  <si>
    <t>* Pérdida de conocimiento Organizacional.</t>
  </si>
  <si>
    <t>* Inexactitud en la realidad de los procesos reflejada en los Manuales Operativos de la Entidad</t>
  </si>
  <si>
    <t>* Incumplimiento en el tiempo de ejecución del proyecto de acuerdo al cronograma definido en la fase de planeación.
* Inexactitud en la definición del alcance del proyecto de tecnología de información
* Incumplimiento en la atención a los requerimientos recibidos frente a los tiempos definidos en el Catalogo de Servicio</t>
  </si>
  <si>
    <t>* Incumplimiento de compromisos para la ejecución de las actividades relacionadas con la implementación y mantenimiento de la gestión institucional de la Entidad</t>
  </si>
  <si>
    <t xml:space="preserve">* Inadecuada formulación del Plan Estratégico e Institucional y/o el Plan de Acción </t>
  </si>
  <si>
    <t>* Inoportunidad en las distintas actuaciones que deben surtirse en los procesos judiciales, tramites extrajudiciales y administrativos a cargo
* Incumplimiento de las decisiones judiciales en las que se impongan obligaciones económicas o de hacer</t>
  </si>
  <si>
    <t>* Incumplimiento en los términos otorgados por la autoridad judicial para la presentación de informes en acciones de tutela.
* Inexactitud normativa o conceptual en la respuesta de la acción de una tutela.</t>
  </si>
  <si>
    <t>* Inoportunidad y/o inconsistencia en la entrega de reportes de monitoreo a la gestión de riesgos</t>
  </si>
  <si>
    <t>Inoportunidad en la entrega de información interna y externa</t>
  </si>
  <si>
    <t>Inoportunidad en el seguimiento a Planes de Mejoramiento Interno</t>
  </si>
  <si>
    <t xml:space="preserve">* Incumplimiento en Plan  Estratégico de Gestión Humana. </t>
  </si>
  <si>
    <t>* Incumplimiento en Plan  Estratégico de Gestión Humana. 
* Pérdida de conocimiento Organizacional.</t>
  </si>
  <si>
    <t>* Incumplimiento, inoportunidad y/o inexactitud en la información estratégica objeto de publicación en la página Web de la ADRES y/o de reporte a otras entidades, con respecto a la normatividad aplicable y/o los requisitos internos.</t>
  </si>
  <si>
    <t>* Pérdida de conocimiento Organizacional.
* Incumplimiento, inoportunidad y/o inexactitud en la información estratégica objeto de publicación en la página Web de la ADRES y/o de reporte a otras entidades, con respecto a la normatividad aplicable y/o los requisitos internos.</t>
  </si>
  <si>
    <t>* Vincular en la entidad candidatos que no cumplan con el perfil requerido en el Manual de Funciones de la ADRES</t>
  </si>
  <si>
    <t>* No contratar uno o varios de los bienes, servicios y/u obras proyectados en el Plan Anual de Adquisiciones de la entidad, o contratarlos extemporáneamente.
* Aprobar la adquisición de bienes, obras y servicios que no se ajustan a las necesidades, al servicio prestado o al cumplimiento de los objetivos de la entidad.
* Selección de contratistas que no cuenten con la capacidad financiera y/o técnica y/o jurídica necesarias para la ejecución del contrato.
* Posibilidad de adjudicación de contratos por vicio de consentimiento</t>
  </si>
  <si>
    <t>* Incumplimiento legal al perder documentación desde la radicación hasta su disposición final</t>
  </si>
  <si>
    <t># Solicitudes desarrolladas e implementadas/ #solicitudes definidas</t>
  </si>
  <si>
    <t>11900-1-16-1</t>
  </si>
  <si>
    <t>11900-1-19-1</t>
  </si>
  <si>
    <t>11900-1-19</t>
  </si>
  <si>
    <t xml:space="preserve">Inclusión de las actividades: 11600/11700-1-1-1 a la 11600/11700-1-1-3, relacionadas con la Ley de Protección de Datos Personales, en el Plan de Acción de Apoyo Transversal, de acuerdo con la solicitud del Director de Tecnologías de la Información y las Comunicaciones, mediante correo electrónico del 20/02/2019. </t>
  </si>
  <si>
    <t># Casos de primer nivel atendidos en términos de ANS para el trimestre/ # Casos de primer nivel recibidos con vencimiento de ANS durante el trimestre.</t>
  </si>
  <si>
    <t xml:space="preserve"># Requerimientos de aplicaciones misionales atendidos en términos de ANS para el trimestre/ # Requerimientos de aplicaciones misionales programados para el trimestre conforme al ANS 
</t>
  </si>
  <si>
    <t xml:space="preserve">
* Inoportunidad y/o inconsistencia en la entrega de reportes de monitoreo a la gestión de riesgos</t>
  </si>
  <si>
    <t>Comité Institucional de Gestión y Desempeño</t>
  </si>
  <si>
    <t xml:space="preserve">Se modifican los indicadores de las actividades 11600-1-1-2, 11600-2-1 toda vez que la mesa de servicios funciona bajo la definición de Acuerdos de Nivel de Servicios ANS, lo cual  considerara tiempos para cada una de las actividades a desarrollar dentro de la DGTIC conforme al catálogo de Servicios que se ha venido construyendo. Por tal razón, pueden ser solicitadas actividades con ANS que superen la fecha de corte de medición del indicador y por tal razón no deben ser considerados dentro del reporte del corte, siendo objeto de medición en el próximo reporte donde su ANS sea inferior al corte del reporte o informe. 
Lo anterior, según solicitud del Director de Tecnologías de la Información y las Comunicaciones, mediante correo electrónico del 14/03/2019. </t>
  </si>
  <si>
    <t>11300-1-1</t>
  </si>
  <si>
    <t>11300-1-2</t>
  </si>
  <si>
    <t>11300-1-3</t>
  </si>
  <si>
    <t>11300-1-4</t>
  </si>
  <si>
    <t>11300-1-5</t>
  </si>
  <si>
    <t>Valor Plan de Adquisiciones excluido</t>
  </si>
  <si>
    <t xml:space="preserve">20190331.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44.760 
# Registros correctos igual a 36.947 
# Número total de registros notificados en auditorias correctivas igual a 81.707
Auditoria de 2199 producto dentro del plan de acción: 11600-1-1-1-3
# de registro depurados por ADRES igual a 1.745 
# Registros correctos igual a 4.284 
# Número total de registros notificados en auditorias correctivas igual a 6.029
Teniendo en cuenta que la meta anual se definió como 100% y por lo tanto la meta trimestral quedo en 25%, el comportamiento del indicador para este periodo de medición fue 25%.
El soporte de medición de la evidencia para la actual actividad se encuentra en Evidencia\I trimestre\Estratégico\11600-1-1-1-2. </t>
  </si>
  <si>
    <t xml:space="preserve">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99.22%, el cual corresponde a: 
SGD
# PQRSD BDUA atendidas en términos de ley en el trimestre igual a 632 
#PQRSD BDUA recibidas con fecha máxima de respuesta en el trimestre igual a 642 
CRM
# PQRSD BDUA atendidas en términos de ley en el trimestre igual a 55 
#PQRSD BDUA recibidas con fecha máxima de respuesta en el trimestre igual a 55 
Teniendo en cuenta que la meta anual se definió como 100% y por lo tanto la meta trimestral quedo en 25%, el comportamiento del indicador para este periodo de medición fue 24.81%.
Como se ve el indicador no alcanzó el valor definido para la meta, faltando así 0.19%; por tal razón, se relaciona que al momento de la generación del presente reporte 5 de ellos (0000220726, 0000215242, 0000215932, 0000216243 y 0000213509) ya se habían cerrado y 5 aún permanecían abiertos; para lo cual, como alternativas de mejora se ha propuesto al interior del grupo interno llevar a cabo una verificación oportuna para evitar contestar fuera de los términos teniendo en cuenta que los que se vencieron tenían una complejidad alta de respuesta.
El soporte de medición de la evidencia para la actual actividad se encuentra en Evidencia\I trimestre\Estratégico\11600-1-1-1-4 y corresponde al archivo 11600-1-1-1-4.xlsx. </t>
  </si>
  <si>
    <t>20190331. Para este trimestre, esta actividad no tenía alcance definido.</t>
  </si>
  <si>
    <t>20190331. El 28 de marzo de 2019 mediante reunión extraordinaria del comité de Gestión y Desempeño, se llevó a cabo la presentación de las políticas de Seguridad de la Información, las cuales fueron aprobadas en común acuerdo por los integrantes de este, cabe resaltar que las Política General de Seguridad y Privacidad de la información ya se encontraba aprobada desde el año pasado bajo resolución 498 de 2018. 
Adjunto se relaciona como evidencia: 
•	Solicitud por parte de la DGTIC para el desarrollo del del comité a manera extraordinaria (Ver: Citación a sesión extraordinaria comité de desempeño.msg).
•	Memorias de la reunión (Ver: Comité Institucional de Gestión y Desempeño 28-03-19.pptx)
•	Listado de asistencia y acta de reunión borrador de la reunión (Ver: Acta de MIPG Ultimo Comité mes de Marzo 2019.msg).</t>
  </si>
  <si>
    <t>20190331. Dentro del procedimientos definidos para la DGTIC, relacionados con temas de Seguridad de la información se definió un total de 19 procedimientos que debían ser actualizados o elaborados, los cuales son los siguientes: 
1.	MANUAL OPERATIVO DE OPERACIONES
•	PROCEDIMIENTO ADQUISICIÓN, DESARROLLO Y MANTENIMIENTO DE SOFTWARE
•	PROCEDIMIENTO DE SEPARACIÓN DE AMBIENTES
•	PROCEDIMIENTO DE TRANSFERENCIA DE INFORMACIÓN
•	PROCEDIMIENTO DE CONTROLES CRIPTOGRÁFICOS
2.	MANUAL OPERATIVO DE SOPORTE A LAS TECNOLOGÍAS
•	PROCEDIMIENTO DE GESTIÓN DE USUARIOS Y CONTRASEÑAS (INGRESO SEGURO A LOS SISTEMAS DE INFORMACIÓN)
•	PROCEDIMIENTO GESTIÓN DE INCIDENTES DE SEGURIDAD
•	PROCEDIMIENTO DE MANTENIMIENTO DE EQUIPOS
•	PROCEDIMIENTO DE GESTION DE CAPACIDAD
•	PROCEDIMIENTO DE GESTIÓN DE LA CONTINUIDAD DE NEGOCIO
•	PROCEDIMIENTO GESTIÓN DE MEDIOS REMOVIBLES
•	PROCEDIMIENTO BORRADO SEGURO DE INFORMACIÓN
•	PROCEDIMIENTO DE CONTROL SOFTWARE
•	PROCEDIMIENTO DE ASEGURAMIENTO DE SERVICIOS EN LA RED
•	PROCEDIMIENTO DE PROTECCIÓN CONTRA CÓDIGOS MALICIOSOS
•	PROCEDIMIENTO DE GESTIÓN DE LLAVES CRIPTOGRÁFICAS
3.	MANUAL OPERATIVO PROYECTOS DE TECNOLOGÍA DE LA INFORMACIÓN
•	Actualización del Procedimiento Iniciación de Proyectos frente al cumplimiento de Seguridad de la Información
•	Actualización del Procedimiento Planificación de Proyectos frente al cumplimiento de Seguridad de la Información
•	Actualización del Procedimiento Implementación de Productos y Servicios frente al cumplimiento de Seguridad de la Información
•	Actualización del Procedimiento Revisión entregables frente al cumplimiento de Seguridad de la Información
Ahora bien, para el actual seguimiento la DGTIC, trabajó en la elaboración de los procedimientos del manual operativo de proyectos de tecnología de la información, los cuales fueron revisados y aprobados por el director de la dirección, tal como se puede evidenciar en Evidencia\I trimestre\Transversal\11600-2-15\Manual Operativo Gestión de Proyectos de TI.msg 
Para este trimestre se tenía definido el desarrollo de 4 de ellos, y se actualizaron los 4 relacionados al Manual Operativo de Gestión de proyectos de Tecnología de Información, el cual incluye un 5 procedimiento adicional que no era objeto de este indicador; sin embargo, con el propósito de contar con una versión unificada del manual se actualizó en su totalidad. Por lo tanto, el indicador de este trimestre ha sido sobre ejecutado en 100%</t>
  </si>
  <si>
    <t>20190331. Dentro del plan de capacitación y sensibilización se definió el modelo de sensibilización frente a Seguridad de la información que se llevará a cabo para 2019 ver Evidencia\I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 trimestre\Transversal\11600-2-16\ _MSPI_ - Material para sensibilización.msg).
La campaña se realizó entre 18 de marzo de 2019 y 29 de marzo de 2019; en la ubicación Evidencia\I trimestre\Transversal\11600-2-16\, se encuentran algunas evidencias de la sensibilización realizada.
Esta actividad no tiene relacionado recurso financiero.</t>
  </si>
  <si>
    <t>20190331.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 trimestre\Transversal\11600-2-17 se copia del acta del comité (Acta_Comite_Institucional_Gestión_Desempeño.PDF), así como documento guía para el plan de capacitación y sensibilización ([PROYECTO] PL01 Plan Capacitación SPI.docx). Esta actividad no tiene relacionado recurso financiero.
Es importante aclarar que está actividad, dentro de la planeación del “Plan de acción” tiene como meta de ejecución inicial el segundo trimestre; por tal razón, hasta el momento el valor ejecutado del indicador es 0.</t>
  </si>
  <si>
    <t>Para el primer trimestre no fueron certificados por parte de la Firma Auditora y Firma Interventora paquetes de recobros del rezago del año 2018.
En cuanto a los paquetes de reclamaciones, se cerraron y certificaron 9 paquetes de reclamaciones radicadas por Personas Naturales en cumplimiento a Sentencias Judiciales.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Se informa que la Firma Auditora con corte al 31 de marzo de 2019, no ha cobrado el valor de la comisión de los paquetes certificados, motivo por el cual no se relaciona el "VALOR ASIGNADO PARA EL DESARROLLO DE LA ACTIVIDAD".</t>
  </si>
  <si>
    <t>Para el primer trimestre no fueron certificados por parte de la Firma Auditora y Firma Interventora paquetes de recobros del rezago del año 2019.
En cuanto a los paquetes de reclamaciones, se cerró y certificó un paquete de reclamaciones radicadas por Personas Naturales en cumplimiento a Sentencias Judiciales.
Se informa que la Firma Auditora con corte al 31 de marzo de 2019, no ha cobrado el valor de la comisión de los paquetes certificados, motivo por el cual no se relaciona el "VALOR ASIGNADO PARA EL DESARROLLO DE LA ACTIVIDAD".
Debido a la coyuntura del proceso de auditoría que adelanta la UT AudiSalud, se informa que el indicador se calcula teniendo en cuenta el número de recobros y reclamaciones y no el número de paquetes.
Toda vez que las certificaciones se efectúan respecto de un resultado de auditoría, se tienen en cuenta la totalidad de reclamaciones certificadas por la firma interventora.
A 31 de marzo de 2019 no se definió la meta para el avance del primer trimestre de 2019, motivo por el cual no se cuenta con un porcentaje para calcular el avance en este indicador.</t>
  </si>
  <si>
    <t>Se solicitaron y se resolvieron 236 apoyos técnicos en enero, febrero y marzo de 2019.
Se informa que el valor asignado para el desarrollo de la actividad en el primer trimestre corresponde al valor pagado a los contratistas (del 29 de enero de 2019 al 31 de marzo de 2019)</t>
  </si>
  <si>
    <t>Los avances realizados en el marco de la optimación y sistematización del proceso de auditoría integral de recobros y reclamaciones, se adelantaron las siguientes actividades: se constituyeron los grupos de trabajo que se encuentras descritos en el archivo PPT que fueron conformados con el propósito de trabajar aspectos puntales sobre la optimización y sistematización.
Adicionalmente se adelantó la elaboración de un cronograma piloto con diferentes fases y actividades.
Se informa que el valor asignado para el desarrollo de la actividad en el primer trimestre corresponde al valor pagado al contratista en el mes de marzo de 2019 (del 13 al 31 de marzo)</t>
  </si>
  <si>
    <t>Mediante los memorandos identificados en el SGD con los números 22745, 23748 y 25016 se efectuaron las Ordenaciones del Gasto para el Giro Previo de Recobros de los meses de enero, febrero y marzo de 2019 respectivamente.</t>
  </si>
  <si>
    <t>Para efectuar ordenaciones de gasto de paquetes de recobros por MYT 01-02, es necesario contar con los resultados de auditoría de la Firma Auditora y las certificaciones de la Firma Interventora.
Para el primer trimestre de 2019, tanto la Firma Auditoria como la Firma Interventora no certificaron paquetes con resultado de auditoría de recobros por radicación MYT01 y MYT02</t>
  </si>
  <si>
    <t>Se efectuaron las publicaciones de los giros previos de recobros de los meses de enero, febrero y marzo de 2019</t>
  </si>
  <si>
    <t>Se ordenaron diez (10) paquetes de reclamaciones en el primer trimestre del año 2019 correspondientes a los números 23035, 23036, 24002, 24003, 24004, 24005, 24006, 24007, 24009 y 24012.</t>
  </si>
  <si>
    <t>Se efectuaron las publicaciones de los paquetes de reclamaciones 23035, 23036, 24002, 24003, 24004, 24005, 24006, 24007, 24009 y 24012.</t>
  </si>
  <si>
    <t>En el primer trimestre del año 2019 no se han realizado avances a la modificación del formulario FURPEN. 
El formulario se modificará en los siguientes trimestres del año.</t>
  </si>
  <si>
    <t>La DOP no adelantó reuniones internas durante el primer trimestre del año 2019, toda vez que el funcionario que lideraba el proceso se desvinculó de la ADRES.
Adicionalmente y debido a la coyuntura de la supervisión del contrato 080, los líderes de los grupos de Análisis de la Información y de Supervisión estuvieron en reuniones de seguimiento y acompañamiento en las instalaciones de la Firma Auditora y por tanto no se dispuso del tiempo necesario para efectuar las reuniones de autocontrol.</t>
  </si>
  <si>
    <t>Entre el trimestre de enero a marzo de 2019, se registraron 110.415 partidas recaudadas, de las cuales se identificaron 110.346 durante el trimestre. La gestión en la identificación de las partidas recaudadas se efectúa aplicando las actividades contenidas en el Manual de Gestión de Recaudo y Fuentes de Financiación; lo cual ha permitido tener la identificación en el 99,94% en el trimestre. En este Contexto, se anexa a la carpeta compartida por la OAPCR, la relación de registros de recaudos identificados Vs. Total de Registros recaudos en el I Trimestre.
El mes de enero se pagó a los contratistas asignados a esta línea el 47%, toda vez que la fecha de inicio de los contratos fue el 17 de enero. Se anexa a la carpeta compartida por la OAPCR, las cuentas de cobros radicados del trimestre, las cuales evidencian la ejecución de los recursos asignados y programados entre Enero a Marzo de 2019.</t>
  </si>
  <si>
    <t xml:space="preserve">En el periodo se da cumplimiento al avance del 25%, se generaron 61 Boletines Diarios; 21 en enero, 20 en febrero y 20 en marzo, donde se registran los recursos por transacciones bancarias, se anexa a la carpeta compartida por la OAPCR, la relación de boletines diarios realizados en el I Trimestre de 2019.
El mes de enero se pagó a la contratista asignada a esta línea el 47% del valor mensual del contrato porque la fecha de inicio fue  el  17 de enero, se anexa a la carpeta compartida por la OAPCR, las cuentas de cobros radicados del trimestre, las cuales evidencian la ejecución de los recursos asignados y programados entre Enero a Marzo de 2019. </t>
  </si>
  <si>
    <t>Para este trimestre no se realizan reuniones de Autocontrol, se ejecutan a partir del segundo trimestre de 2019. </t>
  </si>
  <si>
    <t>No existe compromiso en el trimestre</t>
  </si>
  <si>
    <t>No hay meta establecida para este trimestre</t>
  </si>
  <si>
    <t> Solo se incluyen los informes de supervisión de enero y febrero, toda vez que el del mes de marzo se encuentra en tramite.
En los informes adjuntos en las evidencias, se encuentran los informes de los meses enero y febrero de 2019, y en las paginas 22 y se encuentra el consolidado de llamadas atendidas y llamadas entrantes </t>
  </si>
  <si>
    <t>El Manual de Servicio al Ciudadano se encuentra actualizado y publicado en la página web de la entidad https://www.adres.gov.co/Portals/0/ADRES/Institucional/Atencion%20al%20ciudadano/MANUAL%20DE%20SERVICIO%20AL%20CIUDADANO%20Y%20PROTOCOLOS%20DE%20ATENCIÓN.pdf</t>
  </si>
  <si>
    <t>Se realizaron dos reuniones de avances para la consolidación de información de la ADRES que estará en el portal del Centro Especializado</t>
  </si>
  <si>
    <t>Se evaluaron para este trimestre las respuestas directas y traslados por competencia, las cuales fueron aprobadas en su totalidad.</t>
  </si>
  <si>
    <t>Se elaboró el informe de satisfacción y encuesta de percepción de la página web y se remitió al director para su aprobación y socialización</t>
  </si>
  <si>
    <t>Se consolidó el informe semestral de seguimiento del II Semestre de 2018 y se publicó en la página web de la entidad</t>
  </si>
  <si>
    <t>Se elaboró el informe de PQRSD y se remitió al director para revisión y aprobación para remitir a la OCI</t>
  </si>
  <si>
    <t>En el periodo no se llevaron a cabo procesos de contratación a través de Licitación Pública</t>
  </si>
  <si>
    <t>En el periodo a reportar no se llevaron a cabo reuniones de autocontrol sobre los temas dispuestos en el indicador.</t>
  </si>
  <si>
    <r>
      <t xml:space="preserve">No se enviaron correos electrónicos desde Talento Humano, puesto que las dependencias ya habían realizado solicitudes con respecto a la provisión de dichos empleos. </t>
    </r>
    <r>
      <rPr>
        <b/>
        <i/>
        <sz val="10"/>
        <rFont val="Verdana"/>
        <family val="2"/>
      </rPr>
      <t>(Ver (8) ocho solicitudes)</t>
    </r>
    <r>
      <rPr>
        <sz val="10"/>
        <rFont val="Verdana"/>
        <family val="2"/>
      </rPr>
      <t>.
De lo anterior se evidencia que las dependencias de la ADRES están constantemente revisando su provisión de empleos.</t>
    </r>
  </si>
  <si>
    <t>Durante el primer trimestre no se reportan actividades para este indicador</t>
  </si>
  <si>
    <t>En la carpeta de OneDrive se adjuntan los informes con las métricas de las redes sociales y el sitio web de la entidad para su consulta.</t>
  </si>
  <si>
    <t xml:space="preserve">El indicador no se alcanzó teniendo en cuenta que en enero no se contaba con el contratista encargado de administrar los contenidos de medios digitales de la ADRES. </t>
  </si>
  <si>
    <t>En la carpeta de OneDrive se adjunta el informe con las métricas de los boletines electrónicos enviados a los stakeholders del sector salud.</t>
  </si>
  <si>
    <t>Se da cumplimiento al reporte correspondiente al primer trimestre de 2019, el miércoles 3 de abril de 2019.</t>
  </si>
  <si>
    <r>
      <t>Teniendo en cuenta que el tiempo para emisión del informe preliminar de evaluación debía realizarse antes del 28 de febrero de 2019 y que la respuesta brindada por la DGTIC menciona demoras en la entrega por temas de atención a la Contraloría General de la República quien está realizando auditoría a la BDUA y cuyos insumos parciales fueron enviados hasta el 28/02/2019, la OCI manifiesta no poder continuar con el proceso de evaluación mencionado y reprogramarlo para el mes de abril de 2019, por tal motivo, se realiza cambio en la fecha de la evaluación del procedimiento Gestión de Requerimientos, programada para ser realizada durante el mes de febrero de 2019 establecida en el Plan Anual de Auditorías de la OCI.  En la ruta \</t>
    </r>
    <r>
      <rPr>
        <b/>
        <sz val="10"/>
        <rFont val="Verdana"/>
        <family val="2"/>
      </rPr>
      <t>ADRES\Plan de Acción 2019 - Oficina Control Interno\Evidencias Productos\I trimestre\11800-1-2-1</t>
    </r>
    <r>
      <rPr>
        <sz val="10"/>
        <rFont val="Verdana"/>
        <family val="2"/>
      </rPr>
      <t xml:space="preserve">, se encuentra el informe de la situación presentada. </t>
    </r>
  </si>
  <si>
    <r>
      <t>Se dio cumplimiento al avance del 25% correspondiente a la realización de 5 informes para dar respuesta a los Requerimientos Legales Internos. En la ruta</t>
    </r>
    <r>
      <rPr>
        <b/>
        <sz val="10"/>
        <rFont val="Verdana"/>
        <family val="2"/>
      </rPr>
      <t xml:space="preserve"> \ADRES\Plan de Acción 2019 - Oficina Control Interno\Evidencias Productos\I trimestre\11800-1-3-1</t>
    </r>
    <r>
      <rPr>
        <sz val="10"/>
        <rFont val="Verdana"/>
        <family val="2"/>
      </rPr>
      <t>, se encuentran 5 carpetas con los respectivos informes y soportes de cumplimiento.
1.	Evaluación Dependencias Plan de Acción y Plan Estratégico. (Informes General e informes por dependencias).
2.	Seguimiento a las medidas de austeridad en el gasto público en ADRES (Informe).
3.	Seguimiento Plan Anticorrupción (Informe).
4.	Seguimiento Acuerdos de Gestión Talento Humano (Oficio Radicado a Director General).
5.	Realizar un informe pormenorizado del estado del control interno (informe con corte a marzo 2019).</t>
    </r>
  </si>
  <si>
    <r>
      <t>Se dio cumplimiento al avance del 44% correspondiente a la realización de 8 informes para dar respuesta a los Requerimientos Legales Externos. En la ruta \</t>
    </r>
    <r>
      <rPr>
        <b/>
        <sz val="10"/>
        <rFont val="Verdana"/>
        <family val="2"/>
      </rPr>
      <t>ADRES\Plan de Acción 2019 - Oficina Control Interno\Evidencias Productos\I trimestre\11800-1-4-1</t>
    </r>
    <r>
      <rPr>
        <sz val="10"/>
        <rFont val="Verdana"/>
        <family val="2"/>
      </rPr>
      <t xml:space="preserve">, se encuentran 8 carpetas con los respectivos informes y soportes de cumplimiento.
1.	Seguimiento al Plan de Mejoramiento CGR SIRECI. (Certificado SIRECI y Plan de Mejoramiento CGR).
2.	Revisión y envío de la Gestión Contractual del Trimestre a la CGR SIRECI. (Certificado SIRECI).
3.	Expedir certificación E_Kogui. (Oficio y Certificación, correos de soporte).
4.	Formulación y valoración cuantitativa - cualitativa CHIP. (informe Adres, informe URA, informe UGG y oficio remisorio).
5.	Encuesta de autoevaluación del Sistema de Control Interno (certificado cumplimiento FURAG - Comunicado).
6.	Verificación cumplimiento licenciamiento de software y hardware. (Oficios Remisorios - Reporte enviado, Informe Seguimiento).
7.	Informe del Estado de Ejecución del Presupuesto de la Entidad (Informe presupuesto URA - Informe presupuesto UGG).
8.	Seguimiento y Evaluación Mapa de Riesgos Institucional y de corrupción. (Informe Final). </t>
    </r>
  </si>
  <si>
    <r>
      <t>Se da cumplimiento al avance del 50%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 trimestre\11800-1-5-1. </t>
    </r>
    <r>
      <rPr>
        <sz val="10"/>
        <rFont val="Verdana"/>
        <family val="2"/>
      </rPr>
      <t xml:space="preserve">
* Informe Plan de Mejoramiento CGR II Semestre 2018
* Certificado_SIRECI - Febrero</t>
    </r>
  </si>
  <si>
    <r>
      <t>Se da cumplimiento al avance del 25% correspondiente a la emisión de 3 Boletines de autocontrol. En la ruta</t>
    </r>
    <r>
      <rPr>
        <b/>
        <sz val="10"/>
        <rFont val="Verdana"/>
        <family val="2"/>
      </rPr>
      <t xml:space="preserve"> \ADRES\Plan de Acción 2019 - Oficina Control Interno\Evidencias Productos\I trimestre\11800-1-6-1,</t>
    </r>
    <r>
      <rPr>
        <sz val="10"/>
        <rFont val="Verdana"/>
        <family val="2"/>
      </rPr>
      <t xml:space="preserve"> se encuentran los 3 boletines emitidos por la OCI correspondientes a los meses de enero, febrero y marzo de 2019. 
* Boletín No. 1 - Guía para la Administración del Riesgo y el Diseño de Controles en Entidades Públicas emitida por el DAFP octubre 2018 - Riesgos de Gestión, Corrupción y Seguridad Digital.
* Boletín No. 2 - Plazos de Respuesta a la OCI.
* Boletín No. 3 - Sistema de Control Interno y Creación de la Red Anticorrupción – Decreto 338 de 2019.</t>
    </r>
  </si>
  <si>
    <t xml:space="preserve">Avance de Ejecución 0% de acuerdo con lo establecido en el Plan de Acción 2019. </t>
  </si>
  <si>
    <t xml:space="preserve"> $ 9.746.895 </t>
  </si>
  <si>
    <t xml:space="preserve"> $ 4.646.734 </t>
  </si>
  <si>
    <t xml:space="preserve"> $ 4.104.615 </t>
  </si>
  <si>
    <t>Dicha actividad no se ha llevado a cabo, conforme al concepto del consejo de estado, al gran numero de devoluciones recibidas y el bajo impacto reflejado en el recaudo, razón por la cual la OAJ suspendió  dicha actuación y se esta proyectando la modificación del indicador para aprobación de la oficina de planeación  </t>
  </si>
  <si>
    <t>No hay meta para el trimestre</t>
  </si>
  <si>
    <t xml:space="preserve">Se realizaron las gestiones pertinentes por parte del Grupo de Cobro Coactivo, tendientes a concretar la venta de 1411 actos administrativos  los cuales fueron entregados para estudio a la Central  de Inversiones S.A. - CISA  y se encuentra pendiente la respuesta de dicha entidad para continuar el proceso. </t>
  </si>
  <si>
    <t xml:space="preserve">La Central de Inversiones - CISA se encuentra analizando los 1411 actos administrativos, los cuales fueron entregados mediante Oficio No. 24702 del 14 de marzo de 2019, junto con la base solicitada previamente por ellos, fijando las 10 cuantías más altas.  </t>
  </si>
  <si>
    <t>Se anexa propuesta de articulado elaborada</t>
  </si>
  <si>
    <t>Para el saneamiento de aportes patronales de régimen especial se realizaron certificaciones de conciliación con 4 ESEs.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</si>
  <si>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t>
  </si>
  <si>
    <t>Fue ajustado el software de compensación en la  aplicación de las Glosas GB009 y GB103. También fue ajustado el software de actualización de históricos, produciendo que la HAC se actualicen los beneficiarios del proceso de inclusión de beneficiarios con los datos correctos.
Con cargo a esta actividad se ejecuta el contrato de prestación de servicios No. 043_2019.</t>
  </si>
  <si>
    <t>Fueron efectuados 12 procesos de compensación del régimen contributivo de salud, reconociendo a las EPS - EOC la UPC el PyP y la provisión de incapacidades.
Con cargo a esta actividad se ejecutan los contratos de prestación de servicios No. 040 y 042_2019.</t>
  </si>
  <si>
    <t>En el primer trimestre fueron radicadas  906 solicitudes de prestaciones económicas de regímenes exceptuados, de las cuales el término de respuesta a 30 de marzo fueron 723 solicitudes. 
Con cargo a esta actividad se ejecuta el contrato de prestación de servicios No.059_2019.</t>
  </si>
  <si>
    <t>En el primer trimestre fueron radicadas  237 solicitudes de devolución de aportes de regímenes exceptuados, de las cuales el término de respuesta a 30 de marzo fueron 183 solicitudes. 
Con cargo a esta actividad se ejecuta el contrato de prestación de servicios No. 060_2019.</t>
  </si>
  <si>
    <t>Se efectuaron 3 procesos de prestaciones económicas de acuerdo con el cronograma establecido</t>
  </si>
  <si>
    <t>En el trimestre no estaba programado ejecutar auditorías a los reconocimientos de UPC del régimen contributivo y subsidiado.</t>
  </si>
  <si>
    <t>Esta actividad no es sujeta de reporte para este trimestre.</t>
  </si>
  <si>
    <t>En el trimestre se proyecto la revisión y actualización de riesgos  iniciando con los riesgos de corrupción, donde  se revisaron un total de 14 riesgos logrando actualizar solo 9. como soporte de esta actividad se adjuntan listados de asistencia y actas a teams.</t>
  </si>
  <si>
    <t>Esta actividad no se reporta en este trimestre</t>
  </si>
  <si>
    <t>Esta actividad no es objeto de reporte en este trimestre.</t>
  </si>
  <si>
    <t>Se realizaron un total de 13 solicitudes a las dependencias, ver en carpeta de evidencias soportes respectivos</t>
  </si>
  <si>
    <t>Claudia Pulido
Subdirectora de Liquidaciones</t>
  </si>
  <si>
    <t>No hay meta establecida para este trimestre.</t>
  </si>
  <si>
    <t>Esperanza Rodríguez
Coordinadora Grupo Interno de Gestión de Contratación</t>
  </si>
  <si>
    <t>Leidy Beltran
Gestor de Operaciones Grupo Interno de Gestión de Contratación</t>
  </si>
  <si>
    <t>20190331.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Ahora bien, una vez realizado el apoyo del contratista Guillermo Cadena, el cual fue soportado bajo el contrato 109 de 2018, uno de sus entregables fue el Informe Detallado de Pruebas Técnicas Análisis de Vulnerabilidades y Ethical Hacking, en el cual se encontró un total de 30 vulnerabilidades, para el cual se realizó un plan de trabajo. De este insumo, para este periodo se realizaron un total de 6, dando un cumplimiento de 100% proyectado, el cual corresponde al 20% estimado para la actividad dentro del periodo de medición. Cabe indicar que esta actividad no tiene relacionado recurso financiero.</t>
  </si>
  <si>
    <t>20190331. Teniendo en cuenta que actualmente no se tiene oficialmente definido un instrumento de autodiagnóstico frente al cumplimiento de la Ley de Protección de Datos Personales – LPDP, en trabajo conjunto por parte de los integrantes del equipo “Oficial de Datos Personales”, se creo un instrumento y a su vez se ejecutó la evaluación de este, para determinar el estado actual de la entidad frente al cumplimiento de la ley y a su vez definir las tareas que se deberían desarrollar para el cumplimiento. El instrumento se encuentra en Evidencia\I trimestre\Transversal\11600_11700-1-1\autodiagnóstico.xlsx. Adicionalmente, se adjunta listado de asistencia de la reunión en la cual se llevó a cabo el autodiagnóstico de LPDP ver (Evidencia\I trimestre\Transversal\11600_11700-1-1\listadoAsistencia20190227.pdf).
Esta actividad no tiene relacionado recurso financiero.</t>
  </si>
  <si>
    <t>20190331. el 30 de enero de 2019, se llevó a cabo el reporte de las bases de datos con datos personales ante el Registro Nacional de Bases de Datos – RNBD. Dejando como evidencia la información relacionada en la ruta: Evidencia\I trimestre\Transversal\11600_11700-1-2.</t>
  </si>
  <si>
    <t>$7.827.052</t>
  </si>
  <si>
    <t>$24.102.760</t>
  </si>
  <si>
    <t>$4.515.633</t>
  </si>
  <si>
    <t xml:space="preserve">SE HACE LA CLARIDAD DE QUE EN EL MES DE FEBRERO SE REPORTÓ UNO DE LOS PRODUCTOS CONTEMPLADOS PARA ESTE CONTRADO, Y POR TANTO FUE FACTIBLE EFECTUAR EL RECONOCIMIENTO Y PAGO DE $20.626.000 CON OCASIÓN DE LA RADICACIÒN DE LA CONTESTACION DE LA DEMANDA INTERPUESTA POR AUDIADRES 2O20. FUNCIONES EJERCIDAS POR EL CONTRATISTA FABIAN MARIN. SE AJUSTA ESTA COLUMNA CON OCASION DEL REQUERIMIENTO EFECTUADO POR FUNCIONARIA DE PLANEACIÒN. </t>
  </si>
  <si>
    <t>CONTRATO NO PERTENECE A REPRESENTACIÒN JUDICIAL-- JUAN PABLO GALVIS FIRMA JOUVE</t>
  </si>
  <si>
    <t>NO HAY META ESTABLECIDA PARA ESTE TRIMESTRE
CONTRATO. JOSE HERRERA; NO FUE MENESTER SUSTENTAR RECURSOS POR PARTE DEL CONTRATISTA</t>
  </si>
  <si>
    <t>COMOQUIERA QUE LA CONTRATACIÒN SE EFECTUÒ POR SUBASTA INVERSA, MIENTRAS SE AGOTABA EL PROCEDIMIENTO NO FUE POSIBLE SUSCRIBIR ACTA DE INICIO DURANTE EL 1ER TRIMESTRE 2019, POR LO QUE LA EJECUCIÒN INICIÒ EL 23 DE ABRIL DE 2019
SE ADJUNTA ACTA DE INICIO</t>
  </si>
  <si>
    <t>DURANTE EL PRIMER TRIMESTRE SE EFECTUÓ LA VALIDACIÓN DE PAGO DE VARIAS SENTENCIAS, SIN EMBARGO CON INTERESES SÓLO EL PROCESO 2004-1533 EL CUAL FUE OPORTUNAMENTE LIQUIDADO SATISFACIENDO LAS OBLIGACIONES. FUNCION DESARROLLADA POR DIEGO GUERRA
SE CARGA SOPORTE DE LIQUIDACIÒN Y CUENTA DE COBRO FEBRERO Y MARZO</t>
  </si>
  <si>
    <t>FALTÒ EFECTUAR LA RADICACION DE 82 PROCESOS EN EL PRIMER TRIMESTRE, SIN EMBARGO ELLO OBEDECIÒ A QUE EL EKOGUI ENTRÓ EN ACTUALIZACIONES EN EL MES DE MARZO CON OCASION DE LA IMPLEMENTACION DE EKOGUI 2.0
SE CARGA RELACION DE PROCESOS A CARGO Y CUENTAS DE COBRO DEL CONTRATISTA DIEGO GUERRA QUIEN DESEMPEÑA ESTA FUNCION</t>
  </si>
  <si>
    <t xml:space="preserve">PROVISION CONTABLE ENTREGADA EN OPORTUNIDAD. FECHA DE ENTREGA 25/02/2019 CONFORME CIERRES CONTABLES DE LA ADRES. POR LO EXPUESTO LA ACTIVIDAD FUE CUMPLIDA. 
SE CARGA PROVISION ENTREGADA Y SOPORTES DE CUENTA DE COBRO DEL ABOGADO DIEGO GUERRA QUIEN DESEMPEÑA ESTA FUNCION. </t>
  </si>
  <si>
    <t>VISTA LA BASE DE PROCESOS SUMINISTRADA, SOBRE 56 PROCESOS PENALES, SE HA EFECTUADO MOVIMIENTO Y REPRESENTACIÒN EN 16. FUNCIONES EJERCIDAS POR CARLOS ANIBAL ARIAS. SE PROCEDE AL CARGUE DE CUENTAS DE COBRO DEL CONTRATISTA</t>
  </si>
  <si>
    <t>NO SE APORTA GESTION DE SEGUIMIENTO A DENUNCIAS, DADO QUE SE ESTÀ RECIBIENDO RESPUESTAS A GESTIONES REALIZADAS EN 2018 POR EL APODERADO ANTERIOR. ASI LAS COSAS SE REQUIRIÒ AL ABOGADO PARA QUE SOBRE ESAS RESPUESTAS GESTIONE LO PERTINENTE Y MUESTRE GESTIÒN CONFORME A SU CONTRATO</t>
  </si>
  <si>
    <t xml:space="preserve">LAS DEMANDAS ASIGNADAS DURANTE EL TRIMESTRE 2019 Y CON TERMINOS VENCIDOS FUERON CONTESTADAS EN OPORTUNIDAD. SE HACE CLARIDAD QUE TODAS LAS DEMANDAS ADMINISTRATIVAS NOTIFICADAS EN ENERO, POR CONTAR CON 55 DÌAS HABILES PARA CONTESTAR, AL CORTE 30 DE MARZO REPORTAN TERMINOS POR LO CUAL NO SE TUVIERON EN CUENTA EN ESTE REPORTE. 
LA GESTION ES ADELANTADA POR LOS SIGUIENTES ABOGADOS: OSCAR DAVID PINZON, SLVANA ARANO, NATHALY ALVARADO, NESTOR SACIPA, ANA MARIA VASQUEZ, ALBA RAMOS, JAVIER VEGA, CRISTIAN DAVID PAEZ, ANA ZULUAGA, ASTRID VERA, ANDRES CABALLERO, GERMAN PARRADO, PAOLA RUIZ Y 2 APODERADOS DE PLANTA (CLAUDIA PEREZ- RODRIGO RINCÒN)
</t>
  </si>
  <si>
    <t>CONTESTACIONES A DERECHOS DE PETICION EN OPORTUNIDAD- RELACIONADOS CON LOS EXPEDIENTES QUE SE ENCUENTRAN A CARGO DE LOS APODERADOS, Y PRUEBAS TRAMITADAS A CARGO DE OSCAR PINZON. SE CARGAN CUENTAS DE ESTE ULTIMO CONTRATISTA; SIN EMBARGO LAS DEMÀS CUENTAS SE ENCUENTRAN EN EL SOPORTE DE LA ACTIVIDAD 1900-12-1</t>
  </si>
  <si>
    <t xml:space="preserve">SE INCLUYEN FICHAS DE CONCILIACION PRESENTADAS AL COMITÉ; NO OBSTANTE PARA EL MES DE ENERO NO ALCANZARON A PRESENTARSE LA TOTALIDAD DE FICHAS DADA LA AUSENCIA DE PERSONAL SUFICIENTE PARA REALIZAR TAL ESTUDIO. DE OTRO LADO, SE SOLICITARON CONCEPTOS TÉCNICOS A LA UT COMO UN INSUMO NECESARIO PARA LA RECOMENDACIÓN QUE DEBE REALIZAR LA OAJ, NO OBSTANTE LA UT NO EMITIÓ PRONUNCIAMIENTOS. 
LAS FICHAS DE CONCILIACION FUERON PRESENTADAS POR TODOS LOS APODERADOS, Y LOS ESTUDIOS LOS APOYA RUBEN JOYA (ABOGADO DE PLANTA) RODRIGO RINCON (ABOGADO DE PLANTA) YULY RAMIREZ Y NATALIA AGUIRRE COMO APODERADAS QUE APOYAN LA ACTIVIDAD PRE JUDICIAL. </t>
  </si>
  <si>
    <t xml:space="preserve">SE RELACIONA CUADRO DE AUDIENCIAS Y ASISTENCIAS POR APODERADO. LOS SOPORTES DE CUENTA DE COBRO REPOSAN EN LA ACTIVIDAD 1900-12-1 DONDE IGUALMENTE SE PUEDE VALIDAR ESTA ACTIVIDAD. SE ADJUNTAN LAS ACTAS Y AUDIOS QUE DEMUESTRAN LA EJECUCIÒN. </t>
  </si>
  <si>
    <t>PESE A QUE EL PLAN ANUAL DE ADQUISICIONES SUPRIMIÒ ESTA ACTIVIDAD COMO OBJETO, SE SIGUE DESARROLLANDO POR UNO DE LOS APODERADOS CONTRATISTAS- ANA MARIA VASQUEZ</t>
  </si>
  <si>
    <t xml:space="preserve">LA CONTRATISTA QUE APOYABA ESTAS FUNCIONES PROYECTÓ LAS ACTAS, NO OBSTANTE NO HA SIDO POSIBLE SU REVISION Y POR ENDE LA SUSCRIPCION POR PARTE DE LOS MIEMBROS, HASTA NO CONTAR CON EL VISTO BUENO DE LA SECRETARÍA TECNICA. ESTE CONTRATO FUE CEDIDO Y ACTUALMENTE SE SOLICITÓ LA TERMINACIÓN DEL MISMO LA CUAL ESTÁ EN CURSO. </t>
  </si>
  <si>
    <t>SE ADJUNTAN SOPORTES DE REPARTO, Y SE ESTABLECE QUE LA TOTALIDAD DE DOCUMENTOS PARA TRAMITE FUERON ASIGNADOS POR SGD Y EN FÍSICO LOS QUE ASÍ SE REQUERÍA. GESTIÒN DESEMPEÑADA POR NELI VIVAS</t>
  </si>
  <si>
    <t>CUMPLIMIENTO TOTAL EN LA REALIZACION Y REQUERIMIENTO DE PODERES- SE ADJUNTA BASE DE GESTION. GESTION A CARGO DE NELI VIVAS</t>
  </si>
  <si>
    <t>Los valores consignados en la columna AU corresponden a la sumatoria de valores registrados en el insumo entregado por la Dirección Administrativa y Financiera</t>
  </si>
  <si>
    <t>Se pospone la reunión para el segundo trimestre, lo que presupone la realización de 2 durante el mencionado periodo</t>
  </si>
  <si>
    <t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t>
  </si>
  <si>
    <t>Yeimy Johanna Africano
Coordinadora Grupo de Representación Judicial</t>
  </si>
  <si>
    <t>Fabio Rojas Conde
Jefe Oficina Asesora Jurídica</t>
  </si>
  <si>
    <t>Como soporte se presentan los documentos elaborados durante el primer trimestre de 2019.</t>
  </si>
  <si>
    <t>SEGUIMIENTO AL CUMPLIMIENTO POR OBJETIVOS ESTRATÉGICOS</t>
  </si>
  <si>
    <t>SEGUIMIENTO AL CUMPLIMIENTO POR TIPO DE PLAN</t>
  </si>
  <si>
    <t>ANÁLISIS DE RESULTADOS</t>
  </si>
  <si>
    <t xml:space="preserve">Trimestre </t>
  </si>
  <si>
    <t>Análisis</t>
  </si>
  <si>
    <t>II</t>
  </si>
  <si>
    <t>III</t>
  </si>
  <si>
    <t>IV</t>
  </si>
  <si>
    <t>% Productos sobre ejecutados</t>
  </si>
  <si>
    <r>
      <t>Se destaca en los resultados del Plan de Acción de la ADRES del primer trimestre de 2019, con un 80% de cumplimiento en el período un 33% de cumplimiento acumulado, la consecución de los siguientes productos:
* Ordenación del gasto del proceso de giro previo y del proceso de pago de los paquetes de reclamaciones con trámite de auditoria  culminado; apoyos técnicos en recobros y reclamaciones y alternativas para optimizar y sistematizar el proceso de auditoría integral, los cuales contribuyen al logro del objetivo estratégico:  Lograr la c</t>
    </r>
    <r>
      <rPr>
        <i/>
        <sz val="9"/>
        <color theme="1"/>
        <rFont val="Verdana"/>
        <family val="2"/>
      </rPr>
      <t xml:space="preserve">alidad y oportunidad procesos de reconocimiento de prestaciones excepcionales </t>
    </r>
    <r>
      <rPr>
        <sz val="9"/>
        <color theme="1"/>
        <rFont val="Verdana"/>
        <family val="2"/>
      </rPr>
      <t>en un 75% en el periodo y un 19% acumulado anual.
* Ejecución de los procesos previstos de saneamiento de aportes, compensación, liquidación y reconocimiento de la UPC de los Afiliados del Régimen Subsidiado y licencias de maternidad y paternidad; trámite de solicitudes de prestaciones económicas REX y devolución de aportes tramitadas, contribuyen al logro del objetivo estratégico:</t>
    </r>
    <r>
      <rPr>
        <i/>
        <sz val="9"/>
        <color theme="1"/>
        <rFont val="Verdana"/>
        <family val="2"/>
      </rPr>
      <t xml:space="preserve"> Lograr la calidad y oportunidad procesos de reconocimiento del aseguramiento</t>
    </r>
    <r>
      <rPr>
        <sz val="9"/>
        <color theme="1"/>
        <rFont val="Verdana"/>
        <family val="2"/>
      </rPr>
      <t xml:space="preserve"> en un 87% en el periodo y un 22% acumulado anual.
* Depuración de los registros de la BDUA con respecto a las auditorias preventivas y correctivas; atención de PQRSD BDUA en términos de ley y de requerimientos de aplicaciones misionales de acuerdo con los términos de ANS, permiten el cumplimiento del objetivo estratégico: </t>
    </r>
    <r>
      <rPr>
        <i/>
        <sz val="9"/>
        <color theme="1"/>
        <rFont val="Verdana"/>
        <family val="2"/>
      </rPr>
      <t>Garantizar la infraestructura tecnológica requerida para soportar los procesos misionales, y garantizar la calidad de la BDUA, BDEX, tabla de evolución, históricos de: aportes, afiliados compensados, afiliados pagos en régimen subsidiados, recobros, reclamaciones, entre otros utilizadas en los procesos de liquidación y reconocimiento de los recursos</t>
    </r>
    <r>
      <rPr>
        <sz val="9"/>
        <color theme="1"/>
        <rFont val="Verdana"/>
        <family val="2"/>
      </rPr>
      <t xml:space="preserve"> en el 100% en el periodo y el 25% acumulado anual.
* Informes de ejecución presupuestal publicados, partidas de recaudo identificadas, ordenes de giro tramitadas, boletines de portafolio elaborados y Estados Financieros reportados, contribuyendo así al logro del objetivo: </t>
    </r>
    <r>
      <rPr>
        <i/>
        <sz val="9"/>
        <color theme="1"/>
        <rFont val="Verdana"/>
        <family val="2"/>
      </rPr>
      <t>Optimización de procesos de recaudo, administración y pago de recursos</t>
    </r>
    <r>
      <rPr>
        <sz val="9"/>
        <color theme="1"/>
        <rFont val="Verdana"/>
        <family val="2"/>
      </rPr>
      <t xml:space="preserve"> en el 100% en el periodo y el 25% acumulado anual.
* Propuestas de articulado para inclusión en el proyecto del Plan Nacional de Desarrollo aprobada por Min Salud, en cuanto al cambio de jurisdicción de laboral a administrativa para resolver conflictos judiciales con la ADRES, y en cuanto a la no aplicación de intereses de mora en los pagos derivados de sentencias judiciales por recobros y reclamaciones; demandas contestadas oportunamente; respuestas a solicitudes de pruebas en términos; trámite de tutelas, conceptos jurídicos presentados en término, procesos radicados en Ekogui y entrega de la provisión de contingencias judiciales en la fecha pactada, aportan al cumplimiento del objetivo estratégico: </t>
    </r>
    <r>
      <rPr>
        <i/>
        <sz val="9"/>
        <color theme="1"/>
        <rFont val="Verdana"/>
        <family val="2"/>
      </rPr>
      <t xml:space="preserve">Proteger, gestionar y defender los recursos del Sistema General de Seguridad Social en Salud </t>
    </r>
    <r>
      <rPr>
        <sz val="9"/>
        <color theme="1"/>
        <rFont val="Verdana"/>
        <family val="2"/>
      </rPr>
      <t xml:space="preserve">en un 64% en el periodo y 24% acumulado anual.
* Nivel de atención, seguimiento a solicitudes de los ciudadanos, empresas y servidores públicos sobre los trámites y servicios de la ADRES, Manual de Política de Servicio al Ciudadano actualizado, Políticas del SST y prevención del alcohol y las drogas, roles y responsabilidades de los servidores públicos frente al SST socializadas socializados, cajas transferidas al custodio final, Boletines de Autocontrol socializados, puesta en producción del CRM, vulnerabilidades de Ethical Hacking resueltas con respecto a las identificadas, instrumento de participación ciudadana dispuesto en la página Web, Boletines electrónicos enviados a los stakeholders del sector salud, avances en la implementación del MIPG, autodiagnóstico de Ley de Protección de Datos y registro de las bases de datos con datos personales ante la SIC  son algunos de los productos que agregan valor al cumplimiento del objetivo estratégico: </t>
    </r>
    <r>
      <rPr>
        <i/>
        <sz val="9"/>
        <color theme="1"/>
        <rFont val="Verdana"/>
        <family val="2"/>
      </rPr>
      <t xml:space="preserve">Garantizar la adecuación institucional mediante actividades transversales que complementen y sustenten el desempeño de los procesos misionales y estratégicos, así como el seguimiento continuo al cumplimiento de los objetivos de la Entidad </t>
    </r>
    <r>
      <rPr>
        <sz val="9"/>
        <color theme="1"/>
        <rFont val="Verdana"/>
        <family val="2"/>
      </rPr>
      <t xml:space="preserve">en un 83% en el periodo y 41% acumulado anual.
Estos resultados, explican a su vez los resultados obtenidos en cada perspectiva del cuadro de mando integral, en cada uno de los planes que contiene el Plan de Acción Integrado, y la contribución de cada dependencia de la ADRES en estos logros.
</t>
    </r>
  </si>
  <si>
    <t xml:space="preserve">Se modifica el periodo de cumplimiento de la meta de la actividad  los indicadores de la actividad 11400-1-1-2 para que quede prevista para el último trimestre del 2019 la entrega de los cuatro (4) procesos optimizados. Lo anterior, dado que a la fecha no se tienen contratados los tres ingenieros que se requieren para apoyar dicha actividad.
Lo anterior, según solicitud del Director de Liquidaciones y Garantías, mediante correo electrónico del 09/05/2019. </t>
  </si>
  <si>
    <t>Director de Gestión de Liquidaciones y Garantías</t>
  </si>
  <si>
    <t xml:space="preserve">Estructurar los anexos técnicos y definir los requisitos para diseñar, desarrollar, implementar  y  dar soporte técnico al nuevo portal web e intranet de la ADRES </t>
  </si>
  <si>
    <t>Anexos técnicos para el diseño, desarrollo e implementación del sitio web de la ADRES.</t>
  </si>
  <si>
    <t>Johanna Contreras 
Asesor Dirección General</t>
  </si>
  <si>
    <t>Norela Briceño Bohórquez
Gestor de Operaciones Oficina Asesora de Planeación y Control de Riesgos</t>
  </si>
  <si>
    <t>Realizar el seguimiento de las publicaciones en redes sociales y diferentes medios de comunicación asociados a la ADRES y referenciar la información en los formatos dispuestos por la dirección general.</t>
  </si>
  <si>
    <t>Informe mensual de monitoreo de la actividad en redes sociales y medios de comunicación asociados a la ADRES.</t>
  </si>
  <si>
    <t># Informes sobre las actividades en redes sociales y medios de comunicación asociada a la ADRES presentados.</t>
  </si>
  <si>
    <t>Se cambia la descripción de la actividad con código 11200-1-2, su respectivo producto e indicador en razón a que la actividad anteriormente descrita corresponde al objeto contractual del contrato 039 de 2019 y no a la esencia de la misma. 
A su vez se retira el producto con código 11200-1-2-2 y sus respectivos indicadores debido a que corresponde al objeto contractual del contrato 039 de 2019 y no aporta a los objetivos estratégicos de la entidad para referenciarlos en el Plan de Acción.</t>
  </si>
  <si>
    <t>Campaña interna de sensibilización sobre la importancia de la Rendición de Cuentas.</t>
  </si>
  <si>
    <t>Campaña externa de sensibilización sobre la importancia de la Rendición de Cuentas.</t>
  </si>
  <si>
    <t># Campañas internas de sensibilización sobre la importancia de la Rendición de Cuentas.</t>
  </si>
  <si>
    <t># Campaña externa de sensibilización sobre la importancia de la Rendición de Cuentas.</t>
  </si>
  <si>
    <t>Audiencia pública de Rendición de cuentas externa realizadas</t>
  </si>
  <si>
    <t># Anexos técnicos para el diseño, desarrollo e implementación del sitio web de la ADRES.</t>
  </si>
  <si>
    <t xml:space="preserve">Se cambia la descripción de la actividad con código 11200-1-1, su respectivo producto, indicador y valor a $0 toda vez que en marzo 2019 se inició el concurso de méritos 002 de 2019 de la ADRES para contratar los servicios de “Diseño, desarrollo, implementación y soporte técnico del nuevo portal web e intranet de la ADRES bajo la plataforma Microsoft SharePoint” en un término de 7 meses. Al proceso se presentó un proponente y luego de la evaluación, no cumplió los requisitos.  Por tanto, el proceso fue declarado desierto. Por tiempos, el proyecto no alcanzaría a realizarse en la vigencia 2019 y tendría que modificarse del Plan de Acción. </t>
  </si>
  <si>
    <t># de Jornadas de rendición de cuentas externas</t>
  </si>
  <si>
    <t>Audiencia pública de Rendición de cuentas interna realizadas</t>
  </si>
  <si>
    <t># Audiencias públicas de Rendición de cuentas interna realizadas</t>
  </si>
  <si>
    <t>Establecer las políticas y lineamientos en las comunicaciones externas e internas de la ADRES</t>
  </si>
  <si>
    <t>11200-1-9</t>
  </si>
  <si>
    <t>11200-1-9-1</t>
  </si>
  <si>
    <t>Política de comunicaciones de la ADRES aprobada por el comité de Gestión y Desempeño.</t>
  </si>
  <si>
    <t># Documentos de política de comunicaciones de la ADRES aprobados y socializados con los funcionarios de la entidad.</t>
  </si>
  <si>
    <t xml:space="preserve"># Informes de Rendición de Cuentas interna de la ADRES publicados </t>
  </si>
  <si>
    <t># Informes de Rendición de Cuentas externa de la ADRES publicados</t>
  </si>
  <si>
    <t>Establecer los canales, actividades, lenguajes, y demás requerimientos para fortalecer la comunicación al interior del talento humano institucional</t>
  </si>
  <si>
    <t>Estrategia de comunicación Interna de la ADRES.</t>
  </si>
  <si>
    <t># Documentos estrategia de comunicación Interna de la ADRES.</t>
  </si>
  <si>
    <t>11200-1-10-1</t>
  </si>
  <si>
    <t>Realización de actividades pedagógicas con los diferentes actores del sistema de salud sobre el flujo de recursos del sistema de salud que es administrado por la ADRES.</t>
  </si>
  <si>
    <t>Estrategia de pedagogía externa sobre el flujo de recursos del sistema de salud que es administrado por la ADRES</t>
  </si>
  <si>
    <t># de jornadas pedagógicas con actores externos del sistema de salud.</t>
  </si>
  <si>
    <t>Establecer los canales, actividades, temáticas y lenguajes, y demás requerimientos para fortalecer la comunicación digital de la entidad.</t>
  </si>
  <si>
    <t>Estrategia de comunicación digital de la ADRES.</t>
  </si>
  <si>
    <t># Documentos estrategia de comunicación digital de la ADRES..</t>
  </si>
  <si>
    <t>11200-1-11-1</t>
  </si>
  <si>
    <t>11200-1-12-1</t>
  </si>
  <si>
    <t>11200-1-12</t>
  </si>
  <si>
    <t>11200-1-11</t>
  </si>
  <si>
    <t>11200-1-10</t>
  </si>
  <si>
    <t>Se incluyen las actividades 11200-1-9, 11200-1-10, 11200-1-11 y 11200-1-12 por solicitud del responsable</t>
  </si>
  <si>
    <t>Validar la auditoría de los precierres de paquetes de recobros y reclamaciones entregados por la firma auditora. partir de enero de 2019</t>
  </si>
  <si>
    <t>Paquetes de recobros y reclamaciones del rezago entregados para pago certificados por la Firma Interventora / Grupo supervisor de la ADRES o quien haga sus veces</t>
  </si>
  <si>
    <t># de precierres validados de paquetes de recobros /# de precierres de paquetes de recobros entregados por la firma auditora</t>
  </si>
  <si>
    <t xml:space="preserve"># de precierres validados de paquetes de reclamaciones /# de precierres de paquetes de reclamaciones entregados por la firma auditora  </t>
  </si>
  <si>
    <t>Se cambia la descripción de la actividad con código 11500-1-1-1, su respectivo producto e indicador teniendo en cuenta que el producto relacionado depende de la gestión adelantada por la firma auditora y firma interventora y para efectos de poder medir la gestión de la DOP respecto de la entrega de los resultados de auditoría de los recobros y reclamaciones</t>
  </si>
  <si>
    <t xml:space="preserve">Laura Melisa Beltran
Directora de Oras Prestaciones </t>
  </si>
  <si>
    <t xml:space="preserve">Directora de Oras Prestaciones </t>
  </si>
  <si>
    <t>11500-1-1-9</t>
  </si>
  <si>
    <t>Efectuar seguimiento a la entrega de paquetes de recobros y reclamaciones.</t>
  </si>
  <si>
    <t># de bitácoras generadas sobre el seguimiento a los paquetes de recobros y reclamaciones</t>
  </si>
  <si>
    <t>Se incluye la actividad 11500-1-1-9 poder medir la gestión de la DOP, respecto de la entrega de los resultados de auditoría de los recobros y reclamaciones</t>
  </si>
  <si>
    <t>Apoyos técnicos enviados a la OAJ en recobros y reclamaciones una vez son entregados los reportes a la DOP por la Dirección de Tecnología de la Información</t>
  </si>
  <si>
    <t># Apoyos técnicos resueltos y entregados por la DOP a la OAJ / # apoyos técnicos entregados  a DOP por la Dirección de Tecnología, los cuales fueron solicitados por la OAJ</t>
  </si>
  <si>
    <t>Ordenar el pago de los paquetes de recobros cuyo trámite de auditoría se encuentre certificado o haya sido allegado el auto de desistimiento para el caso de recobros inmersos en procesos judiciales.</t>
  </si>
  <si>
    <t>Ordenar el pago de los paquetes de reclamaciones cuyo trámite de auditoría se encuentre certificado o haya sido allegado el auto de desistimiento para el caso de reclamaciones inmersas en procesos judiciales</t>
  </si>
  <si>
    <t>#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t>
  </si>
  <si>
    <t># Ordenaciones de paquetes de reclamaciones con resultado de auditoría se encuentre certificado o haya sido allegado el auto de desistimiento / # paquetes cuyo tramite de auditoría se encuentre certificado o haya sido allegado el auto de desistimiento</t>
  </si>
  <si>
    <t># Solicitudes de publicación de giros por ordenación de paquetes de reclamaciones / # ordenaciones de giros de paquetes por reclamaciones</t>
  </si>
  <si>
    <t xml:space="preserve">Se cambió el periodo de reporte de la actividad de código 11500-2-1 del I al IV Trimestre tota vez que el reporte en el plan de acción debía efectuarse en el primer trimestre del año 2019 para la actividad: Racionalizar el trámite “Reconocimiento y pago de prestaciones por concepto de atenciones médico-quirúrgicas a víctimas de eventos catastróficos, terroristas y de accidentes de tránsito” a través de la revisión y mejoramiento del formato FURPEN”; no obstante, la actividad no se ha podido completar dado que se requiere ejecutar unas actividades que implican una dedicación adicional de tiempo. </t>
  </si>
  <si>
    <t>Se cambió el periodo de reporte de la actividad de código 11400-3-1 del II al IV Trimestre en razón a que no se ha podido avanzar con la DGTIC en la definición del sistema en el que se soportará el proceso de compra de cartera, que impactará en  “Racionalizar el trámite de Solicitud compra de cartera a través del cambio en la Resolución 4373 de 2017 del Ministerio de Salud”.</t>
  </si>
  <si>
    <t>Conjunto de datos abiertos de la DGTIC.</t>
  </si>
  <si>
    <t>Definir y publicar, un conjunto de datos abiertos conforme a las directrices del MinTIC</t>
  </si>
  <si>
    <t># Conjuntos de datos abiertos publicados</t>
  </si>
  <si>
    <t>Se modificó la actividad con código 11600-2-11, su responsable, producto, indicador y periodo de cumplimiento de la meta toda vez que uno de los alcances definidos por la Política de Gobierno Digital es la producción de datos abiertos por las Entidades, buscando así generar valor a la ciudadanía en general; a su vez, dentro de las actividades definidas dentro del autodiagnóstico de esta política dentro del marco del MIPG en el componente “TIC para Gobierno Abierto” es indispensable la generación de datos abiertos por parte de las Entidades. Por tal razón, dentro de este contexto la DGTIC con el fin de dar cumplimiento a dicha política ve una oportunidad la definición de esta actividad dentro del plan de acción.</t>
  </si>
  <si>
    <t>Sergio Soler
Director de Gestión de Tecnologías de la Información y las Comunicaciones</t>
  </si>
  <si>
    <t>Se cambiaron las metas y periodos de cumplimiento de la actividad con código 11600-2-15 dado que actualmente la DGTIC se encuentra liderando la actualización de los procedimientos relacionados con Seguridad de la Información definidos por el Modelo de Seguridad y Privacidad de la Información de los diferentes procesos de ADRES; por tal razón, para no generar reprocesos y manejar de manera articulada un solo cronograma de actualización, se propone el cumplimiento señalado.</t>
  </si>
  <si>
    <t>Se cambiaron las metas de ejecución presupuestal y periodos de cumplimiento de la actividad con código11600-2-2 en razón a que el proceso de Contratación de la consultoría para la adopción del protocolo IPV6 se está llevando a cabo, teniendo en cuenta que en el cronograma el proceso será adjudicado finalizando el II trimestre, se hace necesario hacer el ajuste del cumplimiento definido a nivel presupuestal de la forma propuesta, la cual está alineada con los pagos que se han definido dentro del estudio previo del proceso</t>
  </si>
  <si>
    <t>Identificar los riesgos de Seguridad de la Información asociados a los “Activos de Información” de los diferentes procesos de la Entidad</t>
  </si>
  <si>
    <t xml:space="preserve">Procesos con Riesgos de Seguridad de la Información identificados </t>
  </si>
  <si>
    <t># Procesos con riesgos de Seguridad de la Información identificados / # procesos vigentes</t>
  </si>
  <si>
    <t xml:space="preserve">Se modificó la actividad con código 11600-2-10, su producto, indicador, meta y periodo de cumplimiento teniendo en cuenta que la Administración de Riesgos se debe hacer de manera integral por toda la Entidad y conforme a la política que se establece en ADRES y las guías que se deben seguir como la del DAFP; se sugiere la modificación de la actividad y del indicador conforme a lo propuesto. Buscando así, la participación y compromiso de las diferentes dependencias y los procesos que en estas se realizan. </t>
  </si>
  <si>
    <t>Ítems eliminados</t>
  </si>
  <si>
    <t>Se eliminó la actividad 11600-2-3 teniendo en cuenta la directriz presidencial de austeridad del gasto, la cual buscaba la reducción de gastos por honorarios.</t>
  </si>
  <si>
    <t>11700-1-66</t>
  </si>
  <si>
    <t>11700-1-66-1</t>
  </si>
  <si>
    <t>Se modificó el responsable, la meta anual, las trimestrales, periodo de cumplimiento y los códigos de actividad y producto de la actividad con código inicial 11600/11700-1-3 toda vez que dentro de la definición de la resolución con la cual se adoptó la política de protección de datos personales se determinó que el Equipo Oficial de Protección de datos se encontraría compuesto por dos (2) personas de la DAF, uno (1) de la OAJ y uno (1) de la DGTIC. Sin embargo, no se ha realizado la designación como tal de quienes son los responsables. Por lo tanto, se hace necesario determinar quiénes serán los responsables para continuar con las actividades propuestas. En consecuencia se sugiere que la actividad: “Desarrollar e implementar solicitudes de autorización para el tratamiento de datos personales” sea retirada de la DGTIC; y que la meta sea modificada al 100%, ya que actualmente se cuenta con un inventario inicial de fuentes de captura de información sujetas a contar con solicitud o aviso de tratamiento de datos personales</t>
  </si>
  <si>
    <t>Se retiró la actividad 11600-2-1 teniendo en cuenta que actualmente el proceso de Gestión de Soporte de Tecnologías de Información cuenta a nivel de proceso con dicho indicador</t>
  </si>
  <si>
    <t>Lizeth Lamprea
Gestor de Operaciones Oficina de Control Interno</t>
  </si>
  <si>
    <t>Diego Santacruz
Jefe Oficina de Control Interno</t>
  </si>
  <si>
    <t>Se ajustaron las metas de II, III y IV trimestre de la actividad con código 11800-1-2, conservando la meta anual por los siguientes motivos:
Procedimiento de Giro Directo, Validación y registro proceso de compensación: Evaluación proyectada para realizar en mayo/junio, se traslada para ser realizada desde la última semana de septiembre hasta el 31 de octubre.
Evaluación Enfoque hacia la prevención – Gestión de Talento Humano: Evaluación proyectada para realizar en junio, se amplía una semana hasta el 5 de julio, por lo cual el informe pasa de ser reportado en el 2 trimestre al 3 trimestre de 2019.</t>
  </si>
  <si>
    <t xml:space="preserve">Se ajustaron las metas de II y IV trimestre de la actividad con código 11800-1-3, conservando la meta anual por los siguientes motivos:
Gestión Integral Régimen Contributivo: Evaluación a una muestra de contratos de prestación de servicios profesionales: Evaluación proyectada para realizar en septiembre, es adelantada para ser realizada a partir del 21 de mayo hasta el 30 de Junio. – Contrato 080. </t>
  </si>
  <si>
    <t xml:space="preserve">Marian Batista
Gestor de Operaciones Oficina Asesora de Planeación y Control de Riesgos
</t>
  </si>
  <si>
    <t>Luisa Fernanda González Mozo
Jefe Oficina Asesora de Planeación y Control de Riesgos</t>
  </si>
  <si>
    <t># Políticas socializadas</t>
  </si>
  <si>
    <t xml:space="preserve"># Riesgos actualizados en el Mapa de Riesgos Institucional / Total de Riesgos </t>
  </si>
  <si>
    <t xml:space="preserve">Listas de asistencia a reuniones de autocontrol </t>
  </si>
  <si>
    <t xml:space="preserve"># Listas de asistencia a reuniones de autocontrol </t>
  </si>
  <si>
    <t xml:space="preserve">Se cambió el indicador y la meta de la actividad con código 12000-1-5 toda vez que la socialización de la política en la practica es leerla, por lo que es más pertinente que se realice vía correo electrónico o mediante un boletín y pagina web. En ese sentido, cambia también la meta </t>
  </si>
  <si>
    <t>Se modificaron las metas de II y III trimestre de la actividad con código12000-1-2 toda vez que se espera culminar el 30 de julio la actividad “Apoyar la definición e implementación del Plan de Continuidad del Negocio” y se depende de varios factores entre estos la disponibilidad de tiempo de las dependencias involucradas.</t>
  </si>
  <si>
    <t>Se ajustaron las metas de II, III y IV trimestre de la actividad de código 12000-1-12 de acuerdo con el compromiso establecido con la Oficina de Control Interno para que a su vez ellos realicen la evaluación de la implementación de MIPG en el mes de octubre como lo tienen previsto en su programación.</t>
  </si>
  <si>
    <t>Jefe Oficina Asesora de Planeación y Control de Riesgos</t>
  </si>
  <si>
    <t>Reclamaciones de cobro coactivo gestionadas</t>
  </si>
  <si>
    <t># Reclamaciones de cobro coactivo gestionadas</t>
  </si>
  <si>
    <t xml:space="preserve">Se amplió la meta anual y se cambió el periodo de cumplimiento de trimestral al IV trimestre de la actividad de código 11900-1-1 toda vez que la meta del Grupo de Cobro al 31 de diciembre de 2019 gestionar el cobro de 103.000 reclamaciones, las cuales fueron pagadas entre enero de 2017 y diciembre de 2018, por valor total de 144 mil millones.
 La meta previamente establecida no se encuentra alineada con ese objetivo. </t>
  </si>
  <si>
    <t>Jefe Oficina Asesora Jurídica</t>
  </si>
  <si>
    <t xml:space="preserve">Se retiró la actividad 11900-1-2-1 dado que las comunicaciones relacionadas no son jurídicamente necesarias y por tanto se deben eliminar de la gestión. 
 El indicador no refleja una gestión real por parte de la OAJ. </t>
  </si>
  <si>
    <t># Pagos registrados en SII PRE / # pagos conciliados</t>
  </si>
  <si>
    <t>Se ajustó el planteamiento del indicador que mide el producto con código 11900-1-2-2 teniendo en cuenta que los pagos registrados son los mismos realizados, el denominador incluía un postulado reiterativo que podía inducir a error al momento de calcularlo</t>
  </si>
  <si>
    <t>Determinar la cartera susceptible de depuración, conforme a las normas contables aplicables</t>
  </si>
  <si>
    <t># Reclamaciones depurables</t>
  </si>
  <si>
    <t>Reclamaciones depurables</t>
  </si>
  <si>
    <t xml:space="preserve">Se modificó la redacción del producto con código 11900-1-2-3, su indicador y meta anual y trimestral en atención a que el anterior no tenía en cuenta que no todas las reclamaciones son susceptibles de depuración, por lo que siempre arrojaría un resultado negativo.
Atendiendo lo anterior, resultó necesario, además, modificar la cantidad y la descripción de la actividad. </t>
  </si>
  <si>
    <t># Actos administrativos y actuaciones actualizados en las bases de información / # expedientes entregados en reparto susceptibles de actualización</t>
  </si>
  <si>
    <t xml:space="preserve"># Reclamaciones perfiladas como de difícil recaudo / # Reclamaciones enviadas para estudio de compra a CISA  </t>
  </si>
  <si>
    <t xml:space="preserve">Monto pagado por CISA S.A / Monto ofrecido por CISA S.A. </t>
  </si>
  <si>
    <t>Se ajustó la redacción de la actividad con código 11900-1-3 teniendo en cuenta que no todos los expedientes entregados en reparto son susceptibles de gestión.</t>
  </si>
  <si>
    <t>Determinar la cartera susceptible de venta a CISA S.A.</t>
  </si>
  <si>
    <t>Se modificaron los indicadores de la actividad con código 11900-1-4 en atención a que tal cual estaba planteado contenían una imprecisión jurídica que obligaría a vender toda la cartera, al sujetar toda la actuación al término de 180 días vencidos. Así mismo se ajustó la meta anual y trimestral del indicador relacionado con el monto pagado por CISA S.A considerando a que el monto ofrecido por CISA es hasta el 1.35% del valor de la cartera, por lo que siempre arrojaría un resultado negativo.
Las anteriores consideraciones inducen el replanteamiento de la actividad respectiva.</t>
  </si>
  <si>
    <t>Producto pagado /producto entregado</t>
  </si>
  <si>
    <t xml:space="preserve">Se cambió el indicador y el periodo de cumplimiento de trimestral al IV trimestre de la actividad de código 11900-1-5 en razón a que el contrato no alude cortes o metas por trimestre, sino que, de requerirse un producto, será objeto de pago, de lo contrario no habrá erogación para la ADRES. </t>
  </si>
  <si>
    <t>Producto entregado en el trimestre/producto requerido en el trimestre</t>
  </si>
  <si>
    <t>Se cambió el planteamiento del indicador de la actividad de código 11900-1-1 porque alude a la necesidad que se presente durante el trimestre, de modo tal que si no se requieren casaciones, el hecho de no reportar pagos no podría impactar en la acción de la OAJ.</t>
  </si>
  <si>
    <t>#procesos vigilados por la firma de vigilancia / # procesos relacionados para vigilancia a la firma contratada</t>
  </si>
  <si>
    <t xml:space="preserve">Se cambió el planteamiento del indicador de la actividad de código 11900-1-9 dado que debe versar sobre los procesos que actualmente tiene reportados la entidad, ahora bien, es factible que el contratista reporte otros asuntos y así ADRES pueda preparar su defensa frente a futuros asuntos. Lo importante es que el resultado de procesos vigilados no sea inferior a la base de procesos que tiene ADRES registrados. </t>
  </si>
  <si>
    <t xml:space="preserve">#Procesos permitidos por la plataforma durante el Trimestre  / #procesos radicados en Ekogui por los apoderados </t>
  </si>
  <si>
    <t>Entrega de provisión contable según requerimiento para entrega de provisión por parte de la DGRFS</t>
  </si>
  <si>
    <t>Se modificó el segundo indicador de la actividad de código 11900-1-10 ya que durante el primer trimestre y parte del segundo, la plataforma EKOGUI (administrada por una entidad externa a la ADRES) presentó actualizaciones y no permite radicaciones en la totalidad de perfiles, sin que se trate de una omisión de la OAJ. 
Así mismo, se ajustó el planteamiento del 3° indicador y su meta anual y las trimestrales de esta misma actividad toda vez que se ajusta a la entrega de provisión según el requerimiento que efectúe la Dirección competente, ya que no se hace necesario aludir específicamente a las fechas de entrega, y durante el año debe haber un total de 4 provisiones (1 trimestral).</t>
  </si>
  <si>
    <t>#Procesos Representados durante el Trimestre / #Procesos penales en los que ADRES requiere representación judicial durante el trimestre</t>
  </si>
  <si>
    <t>#informes entregados / #Informes pedidos sobre denuncias</t>
  </si>
  <si>
    <t xml:space="preserve">Se retiró la actividad con código 11900-1-13 toda vez que aunque se desarrolla por la OAJ no se encuentra bajo la titularidad de un único abogado, en consecuencia, el valor que la representa no se equipara.  
La función desapareció en las líneas del Plan Anual de Adquisiciones. </t>
  </si>
  <si>
    <t>#actas proyectadas durante el trimestre/#Sesiones llevadas a cabo en el trimestre</t>
  </si>
  <si>
    <t xml:space="preserve">Se modifica el planteamiento del indicador de la actividad 11900-1-14 teniendo en cuenta que la suscripción de firmas depende de los miembros del Comité de conciliación que son ajenos a la OAJ, se ajustará el indicador sobre los parámetros de la función de la OAJ que responde a la proyección de las actas por cada sesión. 
 Al interior de la OAJ se dispondrá una persona de planta con dedicación exclusiva a las funciones del Comité, por esa razón el contrato pierde sustento y el valor relacionado en la línea del Plan se elimina. </t>
  </si>
  <si>
    <t># Conceptos jurídicos presentados en término legal / # Conceptos jurídicos requeridos con corte al mes anterior</t>
  </si>
  <si>
    <t>Se adecuó la redacción del indicador de la actividad 11900-1-6 teniendo en cuenta los términos con los cuales se cuenta para tramitar una solicitud de concepto, para evitar incluir solicitudes que aún se encuentran en oportunidad para contestar.</t>
  </si>
  <si>
    <t xml:space="preserve">Se retiran las actividades con códigos: 11700-1-17, 11700-1-18 y 11700-1-21 teniendo en cuenta que se dará cumplimiento mediante el contrato de prestación de servicios Número 69 y/o 70 de 2019. El rol de la entidad será hacer seguimiento. </t>
  </si>
  <si>
    <t>Andrés Fernando Agudelo Aguilar
Director Administrativo y Financiero</t>
  </si>
  <si>
    <t>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t>
  </si>
  <si>
    <t xml:space="preserve">Se retira la actividad 11700-1-24  por austeridad del gasto. Mediante oficio del 30/05/2019 se retiró del Plan Anual de Adquisiciones </t>
  </si>
  <si>
    <t>Realizar estudios de iluminación, ruido y temperatura con el fin de valorar el riesgo a los cuales están expuestos los servidores públicos que laboran en ADRES y establecer los controles necesarios.</t>
  </si>
  <si>
    <t>Se modifica la actividad de código 11700-1-25 y su valor de acuerdo con la modificación realizada en el Plan Anual de Adquisiciones mediante oficio del 30/05/2019 por austeridad en el gasto.</t>
  </si>
  <si>
    <t>Se realizan los siguientes ajustes toda vez que los documentos del SG-SST se están elaborando con los nuevos formatos de la ADRES y se hará solicitud formal a la Oficina de Asesora de Planeación y Control de Riesgos, para los fines pertinentes sobre los procedimientos y demás modelos de documentación:
* La meta anual y trimestrales y periodos de cumplimiento de las actividades con códigos 11700-1-9, 11700-1-10 y 11700-1-11.
* Periodos de cumplimiento de las metas de las actividades con códigos 11700-1-13</t>
  </si>
  <si>
    <t>Se modificó la meta anual y trimestrales y periodos de cumplimiento de la actividad 11700-1-16 porque se consideró dejar una única divulgación, toda vez que se da de una forma definitiva con excepciones a las modificaciones que hayan a lugar de acuerdo a las normas.</t>
  </si>
  <si>
    <t>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t>
  </si>
  <si>
    <t xml:space="preserve">Se modificó el valor a $0 de las actividades con códigos: 11700-1-27, 11700-1-28, 11700-1-29 y 11700-1-30 toda vez que por austeridad del gasto se consideró la posibilidad de realizar estas capacitaciones a costo cero, dependiendo de la disponibilidad de terceros. </t>
  </si>
  <si>
    <t>11700-1-31-2</t>
  </si>
  <si>
    <t>11700-1-31-3</t>
  </si>
  <si>
    <t>11700-1-31-4</t>
  </si>
  <si>
    <t>11700-1-31-5</t>
  </si>
  <si>
    <t>11700-1-31-6</t>
  </si>
  <si>
    <t>Se eliminaron los productos con códigos: 11700-1-38-6, 11700-1-43-1, 11700-1-43-2 y 11700-1-43-4 por austeridad del gasto.</t>
  </si>
  <si>
    <t>Realizar las actividades programadas en el Plan Anual Bienestar e Incentivos que implican costo a fin de fomentar la integración, respeto, tolerancia, sana competencia, esparcimiento y participación de los Servidores Públicos de la Entidad</t>
  </si>
  <si>
    <t>11700-1-38-7</t>
  </si>
  <si>
    <t>11700-1-38-8</t>
  </si>
  <si>
    <t>Gimnasio convenio</t>
  </si>
  <si>
    <t>11700-1-38-9</t>
  </si>
  <si>
    <t>11700-1-38-10</t>
  </si>
  <si>
    <t>11700-1-38-11</t>
  </si>
  <si>
    <t>11700-1-38-12</t>
  </si>
  <si>
    <t>11700-1-38-13</t>
  </si>
  <si>
    <t>11700-1-38-14</t>
  </si>
  <si>
    <t>11700-1-38-15</t>
  </si>
  <si>
    <t>11700-1-38-16</t>
  </si>
  <si>
    <t>11700-1-38-17</t>
  </si>
  <si>
    <t>11700-1-38-18</t>
  </si>
  <si>
    <t>11700-1-38-19</t>
  </si>
  <si>
    <t>Se unificaron los productos 11700-1-31-1, 11700-1-32-1, 11700-1-33-1, 11700-1-34-1, 11700-1-35-1 y 11700-1-36-1 en una sola actividad de código 11700-1-31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120 de 2019, que reposa en SECOP II y la liberación de recursos efectuada.</t>
  </si>
  <si>
    <t>Se unificaron los productos 11700-1-38-1 a 11700-1-38-18, y se incluyó el producto de código 11700-1-38-19 en una sola actividad de código 11700-1-38 dada la incertidumbre en cuanto a determinar con exactitud las proyección de los contenidos e insumos de cada actividad, por tanto se considera solo establecer las metas generales, con el fin de ser maleable y así lograr la ejecución del 100% de las actividades planeadas en dichos contratos. Así mismo, se unifican las metas, se ajustan los periodos de cumplimiento de dichos productos y se ajustan valores en concordancia con el valor del contrato N° 121 de 2019, que reposa en SECOP II y la liberación de recursos efectuada.</t>
  </si>
  <si>
    <t xml:space="preserve">Se modificó el valor de la actividad de código 11700-1-42 dado que se realizara con entidades a costo cero </t>
  </si>
  <si>
    <t>Esperanza Rodríguez
Coordinadora Grupo Interno de Gestión Contractual</t>
  </si>
  <si>
    <t>Se modificó el valor de la actividad de código 11700-1-65 a $0 toda vez que la actividad es “Realizar el seguimiento a la ejecución del Plan de Adquisiciones ”. Para la ejecución presupuestal se acoge la recomendación de la Jefe de la OAPCR de hacer el seguimiento mensual, a través del envío de comunicaciones a las dependencias requirentes de la Entidad.</t>
  </si>
  <si>
    <t>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t>
  </si>
  <si>
    <t xml:space="preserve">Martha Ligia Serna
Grupo de Gestión de Servicio al Ciudadano
</t>
  </si>
  <si>
    <t xml:space="preserve">Se ajustó el planteamiento del indicador de la actividad 11700-1-52 y la meta anual y trimestrales  toda vez que no se puede determinar que al menos 25 funcionarios de toda la planta de la entidad leyeron la información difundida a sus correos.
</t>
  </si>
  <si>
    <t xml:space="preserve">Se cambió el periodo de cumplimiento de la actividad 11700-1-49 toda vez que mediante memorando No. 27378 de 28 de mayo de 2019 se solicitó cambio en el cronograma de adquisición del digiturno en el Plan de Adquisiciones quedando como compromiso el mes de julio de 2019. </t>
  </si>
  <si>
    <t># Mapas de riesgos publicado en página web y socializado a todo el personal de la entidad mediante correo electrónico</t>
  </si>
  <si>
    <t>Se ajusta la redacción del 1° indicador de la actividad con código 12000-1-6 para que sea más claro, y las metas de II, III y IV trimestre de forma tal que este alineado al plan de mejoramiento aprobado por la OCI. Así mismo, se modifica el planteamiento del 2° indicador de la misma actividad, la unidad de medida, la meta anual y trimestrales y los periodos de cumplimiento.
Se ajusta a su vez el producto de código 12000-1-6-2 y su respectivo indicador ya que hay dos productos en uno; y la socialización de Mapa de riesgos actualizado ya está cubierto con el producto: “Mapa de riesgos actualizado, publicado y socializado” mediante correo electrónico, con código 12000-1-6-1.</t>
  </si>
  <si>
    <t>Optimizar y sistematizar el proceso de auditoría integral en salud, jurídica y financiera de recobros y reclamaciones</t>
  </si>
  <si>
    <t>18. Administración Base de Datos Única de Afiliados - BDUA</t>
  </si>
  <si>
    <t># Otro si suscritos</t>
  </si>
  <si>
    <t>Adelantar acercamientos con entidades del estado tales como la RNEC en aras de acceder a la información de los terceros deudores</t>
  </si>
  <si>
    <r>
      <rPr>
        <b/>
        <sz val="10"/>
        <color theme="1"/>
        <rFont val="Verdana"/>
        <family val="2"/>
      </rPr>
      <t xml:space="preserve">Nota: </t>
    </r>
    <r>
      <rPr>
        <sz val="10"/>
        <color theme="1"/>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</si>
  <si>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En el trimestre se efectuaron tres (3) procesos de Liquidación Mensual de Afiliados, uno por mes, en los tiempos establecidos en la normativa vigente, se  generó la certificación y la bitácora de cada proceso como se evidencia en las evidencias de esta actividad.</t>
  </si>
  <si>
    <t>Durante el periodo, se realizaron los respectivos Estados Financieros de la URA, los cuales se encuentran publicados en la pagina de la ADRES en el link https://www.adres.gov.co/La-Entidad/Información-financiera/URA/Estados-financieros, se anexa a la carpeta compartida por la OAPCR los Estados Financieros del I Trimestre de 2019._x000D_
_x000D_
El mes de enero se pagó a los contratistas asignados a esta línea entre el 30% y el 33% del valor mensual porque las fechas de inicio fueron entre el   21 y 22 de enero, se anexa a la carpeta compartida por la OAPCR, las cuentas de cobros radicados del trimestre, las cuales evidencian la ejecución de los recursos asignados y programados entre Enero a Marzo de 2019.</t>
  </si>
  <si>
    <t xml:space="preserve">Se carga documento EXCEL con la relación de las Resoluciones que han sido emitidas ordenando el cobro, así como una muestra de las mismas, pero pueden ser verificadas en los expedientes de cobro. El contrato de SANDRA HOYOS tiene fecha de inicio el 25 de enero de 2019. Se anexa el informe de ejecución presupuestal y los informes de la contratista. Cabe resaltar, que el Grupo de Cobro Coactivo tiene 5 abogados de planta que realizan la misma gestión del contratista por lo que se genera un incremento en la meta y se prevee un aumento significativo, debido a la contingencia y serán 10 profesionales realizando la misma actividad. </t>
  </si>
  <si>
    <t xml:space="preserve">Se ha realizado la conciliación de los pagos recibidos por terceros, para lo cual se tiene como soporte documento en Excel y los correos electrónicos intercambiados por los funcionarios JAIRO GUERRERO y BRYAN LOPEZ. El contrato de JAIRO WILLIAM GUERRERO MALAGÓN inició el 31 de enero de 2019, se anexa el informe de ejecución presupuestal y los informes del contratista. Aunque no se tiene meta establecida para este trimestre, si se reporta ejecución toda vez que la imputación de pagos es mensual y se solicitará las modificaciones respectivas. </t>
  </si>
  <si>
    <t xml:space="preserve">A diario se actualiza la base FENIX, con la información  reportada por los  abogados encargados de adelantar la gestión. El contrato de JUAN SEBASTIAN HERNANDEZ ESPINOSA inició el 08 de febrero de 2019, se anexa el informe de ejecución presupuestal y los informes del contratista. </t>
  </si>
  <si>
    <t>En el periodo se recibieron 1.873 Ordenes de Pago por parte del Grupo de Gestión de Contable, por un valor de $10.115.290.000.648, de las cuales de efectúa un total de Giros de 57.892 (cantidad evidenciada en el aplicativo ERP) por valor de $9.903.276.570.660, se anexa a la carpeta compartida por la OAPCR, la relación de  pagos efectuados en el I Trimestre de 2019.
En el mes de enero se pagó a los contratistas asignados a esta línea el 43% del valor mensual del contrato, porque la fecha de inicio fue el 18 de enero. En el mes de febrero se paga al contratista Abel  Castillo Arango del 18 al 28 de febrero por incapacidad médica equivalente al 43% del valor mensual del contrato, Se anexa a la carpeta compartida por la OAPCR, las cuentas de cobros radicados del trimestre, las cuales evidencian la ejecución de los recursos asignados y programados entre Enero a Marzo de 2019.</t>
  </si>
  <si>
    <t>Mapa de riesgos actualizado, publicado y socializado</t>
  </si>
  <si>
    <t xml:space="preserve">En el trimestre se publicó en la página web de la ADRES el mapa institucional de riesgos que contiene  riesgos Operativos y Riesgos de Corrupción para un total de 2 publicaciones, actualizados en el ultimo trimestre del año pasado. así mismo se han venido realizando reuniones de revisión y actualización de riesgos pero no se han publicado cambios en la página web por que están pendiente de continuar con la revisión de riesgos en comité de gestión y desempeño institucional. </t>
  </si>
  <si>
    <t># informes al Mapa de Riesgos y al Plan de Acción</t>
  </si>
  <si>
    <t xml:space="preserve">En el mes de enero  de 2019 se dispuso el instrumento para la participación ciudadana y se publicaron en la página Web de la ADRES los documentos  del Plan Estratégico 2019, Plan  de Acción 2019, y Mapa de Riesgos 2019 para comentarios.  La ciudadanía y partes interesadas no hizo comentarios a ninguno de los documentos durante el periodo en el que éstos se dispusieron para comentarios. La evidencia de la disposición del instrumento, la publicación de los archivos y los comentarios de la ciudadanía aparecen en la carpeta correspondiente, denominada con el código del producto de esta actividad.
La ruta de acceso directo de la información publicada para comentarios es: https://www.adres.gov.co/Transparencia/Plan-estratégico-institucional  </t>
  </si>
  <si>
    <t xml:space="preserve">El Informe de Gestión Institucional 2018 fue elaborado por todas las dependencias de la ADRES y consolidado por la Oficina Asesora de Planeación y Control de Riesgos. Fue publicado en la página Web de la ADRES en el mes de enero de 2019. Las evidencias de esta publicación aparecen en la carpeta correspondiente, denominada con el código del producto de esta actividad, y corresponden al pantallazo de la publicación junto con el informe de gestión elaborado.
La ruta de acceso directo para la consulta del informe de gestión institucional 2018 es:  https://www.adres.gov.co/Portals/0/ADRES/Planeacion/Informe%20de%20Gestion%20Adres%202018.pdf?ver=2019-02-25-155943-343 </t>
  </si>
  <si>
    <t>Mecanismos para la transparencia y acceso a información pública</t>
  </si>
  <si>
    <r>
      <t xml:space="preserve">De 8 solicitudes escritas, se realizaron 8 nombramientos </t>
    </r>
    <r>
      <rPr>
        <b/>
        <i/>
        <sz val="10"/>
        <rFont val="Verdana"/>
        <family val="2"/>
      </rPr>
      <t>(Ver Resoluciones)</t>
    </r>
    <r>
      <rPr>
        <sz val="10"/>
        <rFont val="Verdana"/>
        <family val="2"/>
      </rPr>
      <t>.
De lo anterior se evidencia una adecuada ejecución del Manual Operativo de Gestión del Talento Humano.</t>
    </r>
  </si>
  <si>
    <r>
      <t xml:space="preserve">De 7 nombramientos comunicados y aceptados, se realizaron 7 posesiones </t>
    </r>
    <r>
      <rPr>
        <b/>
        <i/>
        <sz val="10"/>
        <rFont val="Verdana"/>
        <family val="2"/>
      </rPr>
      <t>(Ver Actas)</t>
    </r>
    <r>
      <rPr>
        <sz val="10"/>
        <rFont val="Verdana"/>
        <family val="2"/>
      </rPr>
      <t xml:space="preserve">.
Nota: Al corte del 15 de abril de 2019, un nombramiento está en estado "comunicado" </t>
    </r>
    <r>
      <rPr>
        <b/>
        <i/>
        <sz val="10"/>
        <rFont val="Verdana"/>
        <family val="2"/>
      </rPr>
      <t>(Ver correo electrónico "Comunicación Raúl Navarro RV Resoluciones Nombramiento")</t>
    </r>
    <r>
      <rPr>
        <sz val="10"/>
        <rFont val="Verdana"/>
        <family val="2"/>
      </rPr>
      <t xml:space="preserve">
De lo anterior se evidencia una adecuada ejecución del Manual Operativo de Gestión del Talento Humano.</t>
    </r>
  </si>
  <si>
    <t xml:space="preserve">El valor inicialmente indicado en el Plan de Acción por (1,212,835,4642.8), se modifica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
En el trimestre se han suscrito 94 contratos de los 158 previstos en el PAA inicial, en cuanto a financiero se reporta lo suscrito para las líneas no asociadas a otra actividad.
</t>
  </si>
  <si>
    <t>Se subió a carpeta de evidencias Matriz de avance 1er Trimestre</t>
  </si>
  <si>
    <t># Informes e audiencia pública de rendición de cuentas</t>
  </si>
  <si>
    <t>Actas del Comité de Conciliación debidamente firmadas</t>
  </si>
  <si>
    <t>Se hace precisión que el Personal de apoyo a la Gestión de Archivo inicio operación el 16 de marzo; las cajas transferidas están discriminadas así:_x000D_
_x000D_
* Envío 349 (20) cajas Dirección GRFS_x000D_
* Envío 350 (13) cajas  Compra de cartera Subdirección de Garantías _x000D_
* Envío 446 (10) cajas   de Dirección de Liquidaciones y Garantías. _x000D_
* Envío 447 (1) caja  de Sub Dirección de Garantías_x000D_
* Envío 448 (7) cajas   Dirección de Gestión de Tecnologías de la Información_x000D_
* Envío 451 (33) cajas  de la Dirección de Recursos Financieros de Salud.</t>
  </si>
  <si>
    <t>Informe de Política de "Cero papel" para aprobación del Comité Institucional de Gestión y Desempeño</t>
  </si>
  <si>
    <t># Informes finales de la Política de "Cero papel" para aprobación del Comité Institucional de Gestión y Desempeño</t>
  </si>
  <si>
    <t>Informe de Política y los indicadores de gestión ambiental y someterlos a aprobación del Comité Institucional de Gestión y Desempeño</t>
  </si>
  <si>
    <t># Informes de Política y los indicadores de gestión ambiental para aprobación del Comité Institucional de Gestión y Desempeño</t>
  </si>
  <si>
    <t xml:space="preserve">Se revisaron y convalidaron los formatos de:_x000D_
Inventarios Individuales (Archivo compartido en la nube)._x000D_
Control de Parqueaderos (Archivo compartido en la nube)._x000D_
Orden de Salida_x000D_
Solicitud de Transporte._x000D_
Se elimino el formato  de solicitud préstamo de salas._x000D_
Solicitud de transporte. </t>
  </si>
  <si>
    <r>
      <t xml:space="preserve">Se realizó Jornada de socialización </t>
    </r>
    <r>
      <rPr>
        <b/>
        <i/>
        <sz val="10"/>
        <rFont val="Verdana"/>
        <family val="2"/>
      </rPr>
      <t>(Ver "11700-1-7-1 Citaciones Inducción SST Políticas y reglamento de higiene", "11700-1-7-1 Presentación", "11700-1-7-1 Asistencia a la Socialización")</t>
    </r>
    <r>
      <rPr>
        <sz val="10"/>
        <rFont val="Verdana"/>
        <family val="2"/>
      </rPr>
      <t xml:space="preserve"> y divulgación de las Políticas de SST y Prevención de alcohol y drogas a todos los servidores públicos y partes interesadas </t>
    </r>
    <r>
      <rPr>
        <b/>
        <i/>
        <sz val="10"/>
        <rFont val="Verdana"/>
        <family val="2"/>
      </rPr>
      <t xml:space="preserve">(Ver correo electrónico "11700-1-7-1 Divulgación reglamento de higiene y políticas en seguridad y salud en el trabajo"). </t>
    </r>
    <r>
      <rPr>
        <sz val="10"/>
        <rFont val="Verdana"/>
        <family val="2"/>
      </rPr>
      <t>Producto evidenciado e informado mediante los documentos: "Informe febrero Contrato 69 de 2019 Radicado E000022201600" y el "Informe febrero Contrato 70 de 2019 Radicado E000022226400". De lo anterior cumpliendo al 100% con este indicador.
Esta jornada permitió dar a conocer los lineamientos definidos en la ADRES, resolver dudas frente a su implementación y fortalecer los conocimientos de los temas asociados por parte de los asistentes y demás participantes.</t>
    </r>
  </si>
  <si>
    <r>
      <t xml:space="preserve">Esta actividad fue reprogramada desde el 30 de enero de 2019 para el segundo trimestre de la presente vigencia </t>
    </r>
    <r>
      <rPr>
        <b/>
        <i/>
        <sz val="10"/>
        <rFont val="Verdana"/>
        <family val="2"/>
      </rPr>
      <t xml:space="preserve">(Ver correo electrónico "11700-1-9-1 Programación final PLAN ANUAL DE TRABAJO SG-SST 2019-29 de enero-W.xlsx"). </t>
    </r>
    <r>
      <rPr>
        <sz val="10"/>
        <rFont val="Verdana"/>
        <family val="2"/>
      </rPr>
      <t xml:space="preserve">De lo anterior, soportado por los contratistas de prestación de servicios mediante correos electrónicos </t>
    </r>
    <r>
      <rPr>
        <i/>
        <sz val="10"/>
        <rFont val="Verdana"/>
        <family val="2"/>
      </rPr>
      <t xml:space="preserve">"11700-1-9-1 Avances del cronograma de gestión  y capacitación SST"; "11700-1-9-1 listado Documentos del SG-SST" </t>
    </r>
    <r>
      <rPr>
        <sz val="10"/>
        <rFont val="Verdana"/>
        <family val="2"/>
      </rPr>
      <t>y evidenciado mediante los documentos:</t>
    </r>
    <r>
      <rPr>
        <i/>
        <sz val="10"/>
        <rFont val="Verdana"/>
        <family val="2"/>
      </rPr>
      <t xml:space="preserve"> "Informe marzo Contrato 69 de 2019 Radicado E000023713200"</t>
    </r>
    <r>
      <rPr>
        <sz val="10"/>
        <rFont val="Verdana"/>
        <family val="2"/>
      </rPr>
      <t xml:space="preserve"> y el </t>
    </r>
    <r>
      <rPr>
        <i/>
        <sz val="10"/>
        <rFont val="Verdana"/>
        <family val="2"/>
      </rPr>
      <t>"Informe marzo Contrato 70 de 2019 Radicado E000022226400"</t>
    </r>
    <r>
      <rPr>
        <sz val="10"/>
        <rFont val="Verdana"/>
        <family val="2"/>
      </rPr>
      <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</si>
  <si>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contratista de prestación de servicios mediante correo electrónico "Avances del cronograma de gestión  y capacitación SST".</t>
    </r>
  </si>
  <si>
    <r>
      <t xml:space="preserve">Esta actividad fue reprogramada desde el 30 de enero de 2019 conforme el </t>
    </r>
    <r>
      <rPr>
        <b/>
        <i/>
        <sz val="10"/>
        <rFont val="Verdana"/>
        <family val="2"/>
      </rPr>
      <t>correo electrónico "Programación final PLAN ANUAL DE TRABAJO SG-SST 2019-29 de enero-W.xlsx".</t>
    </r>
    <r>
      <rPr>
        <sz val="10"/>
        <rFont val="Verdana"/>
        <family val="2"/>
      </rPr>
      <t xml:space="preserve"> De lo anterior, soportado por el operador externo mediante correo electrónico "Avances del cronograma de gestión  y capacitación SST".</t>
    </r>
  </si>
  <si>
    <r>
      <t xml:space="preserve">Se ejecutó acompañamiento a la inspección realizadas a las instalaciones de la ADRES en compañía de un asesor de la ARL. </t>
    </r>
    <r>
      <rPr>
        <b/>
        <i/>
        <sz val="10"/>
        <rFont val="Verdana"/>
        <family val="2"/>
      </rPr>
      <t xml:space="preserve">(Ver acta de visita e informe de inspección "11700-1-20-1 Inspección SSG"). </t>
    </r>
    <r>
      <rPr>
        <sz val="10"/>
        <rFont val="Verdana"/>
        <family val="2"/>
      </rPr>
      <t>De lo anterior, soportado por el contratista por prestación de servicios mediante el documento: "Informe marzo Contrato 70 de 2019 Radicado E000022226400".
Este producto permitió identificar y corregir algunas situaciones que se requieran frente a los riesgos.</t>
    </r>
  </si>
  <si>
    <r>
      <t xml:space="preserve">Inducción institucional realizada, evidencia a través de correo electrónico </t>
    </r>
    <r>
      <rPr>
        <b/>
        <i/>
        <sz val="10"/>
        <rFont val="Verdana"/>
        <family val="2"/>
      </rPr>
      <t xml:space="preserve">"11700-1-37-1 Inducción Institucional Adres". </t>
    </r>
    <r>
      <rPr>
        <sz val="10"/>
        <rFont val="Verdana"/>
        <family val="2"/>
      </rPr>
      <t>La cual permitió</t>
    </r>
    <r>
      <rPr>
        <b/>
        <i/>
        <sz val="10"/>
        <rFont val="Verdana"/>
        <family val="2"/>
      </rPr>
      <t xml:space="preserve"> </t>
    </r>
    <r>
      <rPr>
        <sz val="10"/>
        <rFont val="Verdana"/>
        <family val="2"/>
      </rPr>
      <t>dar a conocer a los Servidores Públicos posesionados en el primer trimestre de la presente vigencia, las generalidades, aspectos informativos referente al funcionamiento de la ADRES, así como los lineamientos de tramites administrativos en el Grupo Interno de Gestión del Talento Humano y el link para consultar la estructura organizacional de la ADRES.</t>
    </r>
  </si>
  <si>
    <t>Se socializa con todos los servidores públicos mediante correo electrónico los siguientes temas: Trámites y OPA; deberes que tenemos como entidad y  como servidores frente al tramite de las PQRSD; Cartilla del DNP Guía de lenguaje claro para servidores públicos en Colombia e invitación a inscripción curso virtual en la ESAP; Diapositiva realizada en conjunto con talento humano sobre "Uso de lenguaje claro en las comunicaciones del estado" Se adjunta la evidencia en la carpeta del Plan de Acción</t>
  </si>
  <si>
    <t>Política de Administración de Riesgos</t>
  </si>
  <si>
    <t>No hay Meta establecida para este trimestre</t>
  </si>
  <si>
    <t xml:space="preserve">SE ANEXA EVIDENCIA ENVIO CORREO ELECTRONICO DEL 14 DE JUNIO DE 2019, </t>
  </si>
  <si>
    <t>En la versión 01 del plan de acción 2019, la meta anual para este indicador era de un (1) producto, el cual se había programado su ejecución para el tercer trimestre. En la solicitud de cambios del plan de acción realizado en el mes de mayo de 2019, este producto no se incluyó en dicha solicitud por consiguiente debía permanecer con solo un producto en el trimestre 3.</t>
  </si>
  <si>
    <t>No hay meta establecida para este trimestre.
En la solicitud de cambios del plan de acción realizado en el mes de mayo y junio de 2019, para este producto se solicitó mover el cumplimiento del trimestre 2 al 4.</t>
  </si>
  <si>
    <t>En la versión 01 del plan de acción 2019, la meta anual para este indicador era de un (1) producto, el cual se había programado su ejecución para el primer trimestre. En la solicitud de cambios del plan de acción realizado en el mes de mayo de 2019, este producto no se incluyó en dicha solicitud por consiguiente debía permanecer con solo un producto en el trimestre 1: ya se completó y reportó.</t>
  </si>
  <si>
    <t>No hay meta establecida para este trimestre.
En la solicitud de cambios del plan de acción realizado en el mes de mayo y junio de 2019, para este indicador se solicitó la meta de un (1) producto anual y se dejara en trimestre 3 de cumplimiento.
Esta línea, producto 11700-1-16-1, está repetida en la celda 186</t>
  </si>
  <si>
    <r>
      <t xml:space="preserve">Ver control de cambios del plan de acción 2019: </t>
    </r>
    <r>
      <rPr>
        <i/>
        <sz val="10"/>
        <rFont val="Verdana"/>
        <family val="2"/>
      </rPr>
      <t xml:space="preserve">"Se retiran las actividades con códigos: 11700-1-17, 11700-1-18 y 11700-1-21 teniendo en cuenta que se dará cumplimiento mediante el contrato de prestación de servicios Número 69 y/o 70 de 2019. El rol de la entidad será hacer seguimiento" </t>
    </r>
  </si>
  <si>
    <r>
      <t>En el segundo trimestre de 2019, se presentaron dos (2) eventos de accidentes de trabajo, los cuales fueron investigados en compañía de los integrantes del COPASST y grupo de SG-SST.</t>
    </r>
    <r>
      <rPr>
        <b/>
        <sz val="10"/>
        <rFont val="Verdana"/>
        <family val="2"/>
      </rPr>
      <t xml:space="preserve"> (Ver dos informes de investigación y un informe de la ARL)</t>
    </r>
    <r>
      <rPr>
        <sz val="10"/>
        <rFont val="Verdana"/>
        <family val="2"/>
      </rPr>
      <t xml:space="preserve">. De lo anterior, soportado por los contratista de prestación de servicios mediante los informes de cumplimiento de obligaciones contractuales (Ver soportes de junio 2019 de los contratos 69 y 70).
Este producto permitió evidenciar la forma adecuada de atender, gestionar y registrar un incidente laboral. </t>
    </r>
  </si>
  <si>
    <r>
      <t xml:space="preserve">En el segundo trimestre de 2019, se realizó acompañamiento en reunión del COPASST para orientar a los objetivos y funcionamiento que debe tener este comité </t>
    </r>
    <r>
      <rPr>
        <b/>
        <sz val="10"/>
        <rFont val="Verdana"/>
        <family val="2"/>
      </rPr>
      <t>(Ver listado de asistencia)</t>
    </r>
    <r>
      <rPr>
        <sz val="10"/>
        <rFont val="Verdana"/>
        <family val="2"/>
      </rPr>
      <t xml:space="preserve">; se ejecutó inspección en las instalaciones del piso 9 de la torre 3, donde se evidenció riesgo en uno de los puestos de trabajo, del cual se emitieron recomendaciones y ajustes al mismo </t>
    </r>
    <r>
      <rPr>
        <b/>
        <sz val="10"/>
        <rFont val="Verdana"/>
        <family val="2"/>
      </rPr>
      <t>(Ver correo electrónico);</t>
    </r>
    <r>
      <rPr>
        <sz val="10"/>
        <rFont val="Verdana"/>
        <family val="2"/>
      </rPr>
      <t xml:space="preserve"> se realizó capacitación al Comité Paritario de Seguridad y Salud en el Trabajo, sobre investigación de accidentes de trabajo, el cual permite fortalecer conocimientos y proceso para participar en la respectivas investigaciones que se puedan presentar en la ADRES </t>
    </r>
    <r>
      <rPr>
        <b/>
        <sz val="10"/>
        <rFont val="Verdana"/>
        <family val="2"/>
      </rPr>
      <t>(Ver informe y listado de asistencia a capacitación).</t>
    </r>
    <r>
      <rPr>
        <sz val="10"/>
        <rFont val="Verdana"/>
        <family val="2"/>
      </rPr>
      <t xml:space="preserve">
De lo anterior, soportado por el contratista de prestación de servicios mediante los informes de cumplimiento de obligaciones contractuales (Ver soportes de mayo y junio 2019 del contratos 70).</t>
    </r>
  </si>
  <si>
    <r>
      <t xml:space="preserve">Ver control de cambios del plan de acción 2019: </t>
    </r>
    <r>
      <rPr>
        <i/>
        <sz val="10"/>
        <rFont val="Verdana"/>
        <family val="2"/>
      </rPr>
      <t xml:space="preserve">"Se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</si>
  <si>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r>
      <t>Ver control de cambios del plan de acción 2019:</t>
    </r>
    <r>
      <rPr>
        <i/>
        <sz val="10"/>
        <rFont val="Verdana"/>
        <family val="2"/>
      </rPr>
      <t xml:space="preserve">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r>
  </si>
  <si>
    <t xml:space="preserve">Ver control de cambios del plan de acción 2019: "Se retira la actividad 11700-1-24  por austeridad del gasto. Mediante oficio del 30/05/2019 se retiró del Plan Anual de Adquisiciones." </t>
  </si>
  <si>
    <t>No hay meta establecida para este trimestre.
En la solicitud de cambios del plan de acción realizado en el mes de mayo y junio de 2019, para este indicador se solicitó la meta de un (1) producto anual y se cumpliera en trimestre 4.</t>
  </si>
  <si>
    <r>
      <t>En el segundo trimestre de 2019 se registró gestión de orientación a esta capacitación en la Dirección de Liquidación y Garantías, sin embargo se evidenció la necesidad de fortalecer estos aspectos precisamente en dicha dependencia, por lo cual se continuará gestionando obtener esta capacitación con Entidades Externas a costo "Cero" conforme disponibilidad de terceros.</t>
    </r>
    <r>
      <rPr>
        <b/>
        <sz val="10"/>
        <rFont val="Verdana"/>
        <family val="2"/>
      </rPr>
      <t xml:space="preserve"> (Ver "Seguimiento cronograma PIC 2019" y soportes de correos electrónicos)</t>
    </r>
  </si>
  <si>
    <r>
      <t>En el segundo trimestre de 2019 se realizó la capacitación de Estadística evidenciado mediante</t>
    </r>
    <r>
      <rPr>
        <b/>
        <sz val="10"/>
        <rFont val="Verdana"/>
        <family val="2"/>
      </rPr>
      <t xml:space="preserve"> listados de asistencia y el informe de cumplimiento</t>
    </r>
    <r>
      <rPr>
        <sz val="10"/>
        <rFont val="Verdana"/>
        <family val="2"/>
      </rPr>
      <t xml:space="preserve"> de obligaciones contractuales por parte del Operador Externo.
Esta capacitación permitió brindar herramientas a los Servidores Públicos, a fin de mejorar la presentación de la información en las áreas de la entidad que manejan volúmenes altos de datos, y de lograr una adecuada recolección, información e interpretación de los datos.</t>
    </r>
  </si>
  <si>
    <r>
      <t>En el segundo trimestre de 2019 se registró gestión de búsqueda y solicitud a la ESAP y Función Pública.</t>
    </r>
    <r>
      <rPr>
        <b/>
        <sz val="10"/>
        <rFont val="Verdana"/>
        <family val="2"/>
      </rPr>
      <t xml:space="preserve"> (Ver "Seguimiento cronograma PIC 2019" y soportes de correo electrónico). </t>
    </r>
    <r>
      <rPr>
        <sz val="10"/>
        <rFont val="Verdana"/>
        <family val="2"/>
      </rPr>
      <t>Se continuará gestionando obtener esta capacitación con Entidades Externas a costo "Cero" conforme disponibilidad de terceros.</t>
    </r>
  </si>
  <si>
    <r>
      <t xml:space="preserve">En el segundo trimestre de 2019 se realizó Inducción institucional, evidencia a través de </t>
    </r>
    <r>
      <rPr>
        <b/>
        <sz val="10"/>
        <rFont val="Verdana"/>
        <family val="2"/>
      </rPr>
      <t xml:space="preserve">correos electrónicos. </t>
    </r>
    <r>
      <rPr>
        <sz val="10"/>
        <rFont val="Verdana"/>
        <family val="2"/>
      </rPr>
      <t xml:space="preserve">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r>
  </si>
  <si>
    <r>
      <t>En el segundo trimestre de 2019 se realizó la actividad de bienestar sobre el Día del Servidor público evidenciado mediante</t>
    </r>
    <r>
      <rPr>
        <b/>
        <sz val="10"/>
        <rFont val="Verdana"/>
        <family val="2"/>
      </rPr>
      <t xml:space="preserve"> listados de asistencia y el informe de cumplimiento de obligaciones</t>
    </r>
    <r>
      <rPr>
        <sz val="10"/>
        <rFont val="Verdana"/>
        <family val="2"/>
      </rPr>
      <t xml:space="preserve"> contractuales por parte del Operador Externo.
Se realizó la actividad de pausa activa sobre activación muscular y masajes, evidenciado mediante</t>
    </r>
    <r>
      <rPr>
        <b/>
        <sz val="10"/>
        <rFont val="Verdana"/>
        <family val="2"/>
      </rPr>
      <t xml:space="preserve"> listados de asistencia.</t>
    </r>
    <r>
      <rPr>
        <sz val="10"/>
        <rFont val="Verdana"/>
        <family val="2"/>
      </rPr>
      <t xml:space="preserve"> Cabe mencionar que el contratista mediante </t>
    </r>
    <r>
      <rPr>
        <b/>
        <sz val="10"/>
        <rFont val="Verdana"/>
        <family val="2"/>
      </rPr>
      <t>correo electrónico</t>
    </r>
    <r>
      <rPr>
        <sz val="10"/>
        <rFont val="Verdana"/>
        <family val="2"/>
      </rPr>
      <t xml:space="preserve"> manifestó que: </t>
    </r>
    <r>
      <rPr>
        <i/>
        <sz val="10"/>
        <rFont val="Verdana"/>
        <family val="2"/>
      </rPr>
      <t>"referentes a las actividades de pausas activas cobrare las mismas una vez se finalicen las 50 sesiones que se requiere para dar cumplimento al ítem 10. PREVENSION Y PROMOCIÓN EN SALUD numeral 10.2 pausas activas."</t>
    </r>
    <r>
      <rPr>
        <b/>
        <sz val="10"/>
        <rFont val="Verdana"/>
        <family val="2"/>
      </rPr>
      <t xml:space="preserve"> (ver  Seguimiento cronograma Plan Bienestar e Incentivos 2019)</t>
    </r>
    <r>
      <rPr>
        <sz val="10"/>
        <rFont val="Verdana"/>
        <family val="2"/>
      </rPr>
      <t xml:space="preserve">
Estas actividades permitieron cumplir con los propósitos del programa anual de Bienestar enfocados a estimular la sana utilización del tiempo libre de los servidores públicos y su núcleo familiar, brindando espacios de reconocimiento, agradecimiento, esparcimiento, además en contribuir al bienestar integral de los funcionarios, mediante la promoción de hábitos saludables, acciones de prevención de la salud, diagnostico temprano, tratamiento oportuno de los factores de riesgo</t>
    </r>
  </si>
  <si>
    <r>
      <t>Ver control de cambios del plan de acción 2019:</t>
    </r>
    <r>
      <rPr>
        <i/>
        <sz val="10"/>
        <rFont val="Verdana"/>
        <family val="2"/>
      </rPr>
      <t xml:space="preserve"> "Se eliminaron los productos con códigos: 11700-1-38-6, 11700-1-43-1, 11700-1-43-2 y 11700-1-43-4 por austeridad del gasto." </t>
    </r>
  </si>
  <si>
    <t xml:space="preserve">Ver control de cambios del plan de acción 2019: "Se eliminaron los productos con códigos: 11700-1-38-6, 11700-1-43-1, 11700-1-43-2 y 11700-1-43-4 por austeridad del gasto." </t>
  </si>
  <si>
    <t xml:space="preserve">Para este período se adelanto la consolidación de las respuestas dadas por los funcionarios a las PQRSD radicadas por el formulario web de la entidad, y se clasificaron aquellas en los que los ciudadanos calificaron las respuestas como no satisfactoria. Como recomendaciones, se socializa a todos los funcionarios la cartilla de lenguaje claro, se invitaron al todos los funcionarios al curso virtual del lenguaje claro dictado por la Función Publica y s e coordinó con talento humano unas mesas de trabajo para el mes de julio, en donde se trabajaran con los servidores públicos que atienden PQRSD con el fin de fortalecer competencias. Se adjunta la base de datos de las PQRSD evaluadas como no satisfactorias. De igual manera se generaron nuevas plantillas para dar respuesta a PQRSD y mejoramiento del texto de la respuesta a traslado por competencia.
</t>
  </si>
  <si>
    <t>Se elaboró el informe de satisfacción del canal presencial, en el que se evidencia que el servicio prestado por este canal, cumple con los protocolos de atención y el servicio es calificado como excelente (413 usuarios) y bueno  (63 usuarios). Durante este trimestre, fueron atendidos por el canal presencial un total de 958 usuarios, de los cuales 476 diligenciaron la encuesta. Es conocido que un buen servicio se ve reflejado en la disminución de PQRSD y es un referente para los demás ciudadanos que requieran atención en la Entidad.</t>
  </si>
  <si>
    <t>El DNP a través del Programa Nacional de Servicio al Ciudadano no Programó Ferias de servicio para este período, razón por la cual la ejecución es cero (0)</t>
  </si>
  <si>
    <t>No hay meta programada para este trimestre</t>
  </si>
  <si>
    <t>Se consolidó el informe II trimestre de 2019, el cual fue remitido a la Oficina de Control Interno y aprobado para su publicación en la página web</t>
  </si>
  <si>
    <t>En el trimestre se evidenció en el PAA que se tienen previstas 3 líneas por modalidad de Licitación Pública, en el periodo se publicó el Proceso ADRES-LP-001-2019, como evidencia de la convocatoria a Veedurías se tiene el documento "Pliego de condiciones"</t>
  </si>
  <si>
    <r>
      <t xml:space="preserve">En el segundo trimestre se realizó reunión de autocontrol para los procedimientos de Gestión del Talento Humano con la participación de los líderes de procesos, evidenciado mediante </t>
    </r>
    <r>
      <rPr>
        <b/>
        <sz val="10"/>
        <rFont val="Verdana"/>
        <family val="2"/>
      </rPr>
      <t>listado de asistencia.</t>
    </r>
  </si>
  <si>
    <r>
      <t>En el mes de mayo de 2019 se enviaron solicitudes escritas a unas dependencias de la ADRES desde Talento Humano, con el fin de que indiquen los cargos vacantes a proveer.</t>
    </r>
    <r>
      <rPr>
        <b/>
        <sz val="10"/>
        <rFont val="Verdana"/>
        <family val="2"/>
      </rPr>
      <t xml:space="preserve"> (Ver correos electrónicos).</t>
    </r>
  </si>
  <si>
    <r>
      <t>De 11 requerimientos, se realizaron 11 nombramientos</t>
    </r>
    <r>
      <rPr>
        <b/>
        <sz val="10"/>
        <rFont val="Verdana"/>
        <family val="2"/>
      </rPr>
      <t xml:space="preserve"> (Ver Resoluciones).</t>
    </r>
    <r>
      <rPr>
        <sz val="10"/>
        <rFont val="Verdana"/>
        <family val="2"/>
      </rPr>
      <t xml:space="preserve">
De lo anterior se evidencia una adecuada ejecución del Manual Operativo de Gestión del Talento Humano.</t>
    </r>
  </si>
  <si>
    <r>
      <t>De 11 nombramientos comunicados y aceptados, se realizaron 11 posesiones</t>
    </r>
    <r>
      <rPr>
        <b/>
        <sz val="10"/>
        <rFont val="Verdana"/>
        <family val="2"/>
      </rPr>
      <t xml:space="preserve"> (Ver Actas).
</t>
    </r>
    <r>
      <rPr>
        <sz val="10"/>
        <rFont val="Verdana"/>
        <family val="2"/>
      </rPr>
      <t xml:space="preserve">
De lo anterior se evidencia una adecuada ejecución del Manual Operativo de Gestión del Talento Humano.</t>
    </r>
  </si>
  <si>
    <t>Línea repetida en la celda 64 de esta versión de plan de acción 2019</t>
  </si>
  <si>
    <t>Durante este periodo no se registraron avances al respecto, toda vez que la actividad se desarrollará en el tercer trimestre del año.</t>
  </si>
  <si>
    <t>El 28 de mayo de 2019 se llevó a cabo un taller con integrantes de la Asociación de Laboratorios Farmacéuticos de Investigación y Desarrollo -AFIDRO- con el fin de socializar cómo se da el flujo de los recursos del sistema general de seguridad social en salud de Colombia. En la carpeta se adjuntan fotos como evidencias.</t>
  </si>
  <si>
    <r>
      <rPr>
        <b/>
        <sz val="10"/>
        <rFont val="Verdana"/>
        <family val="2"/>
      </rPr>
      <t>20190630.</t>
    </r>
    <r>
      <rPr>
        <sz val="10"/>
        <rFont val="Verdana"/>
        <family val="2"/>
      </rPr>
      <t xml:space="preserve">
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912 
# Registros correctos igual a 0 
# Número total de registros notificados en auditorias correctivas igual a 912
Auditoria de 2199 producto dentro del plan de acción: 11600-1-1-1-3
# de registro depurados por ADRES igual a 27.386
# Registros correctos igual a 45.895 
# Número total de registros notificados en auditorias correctivas igual a 73.281
Teniendo en cuenta que la meta anual se definió como 100% y por lo tanto la meta trimestral quedo en 25%, el comportamiento del indicador para este periodo de medición fue 25%.
El soporte de medición de la evidencia para la actual actividad se encuentra en Evidencia\II trimestre\Estratégico\11600-1-1-1-2. </t>
    </r>
  </si>
  <si>
    <r>
      <rPr>
        <b/>
        <sz val="10"/>
        <rFont val="Verdana"/>
        <family val="2"/>
      </rPr>
      <t>20190630.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1.338 
#PQRSD BDUA recibidas con fecha máxima de respuesta en el trimestre igual a 1.339 
CRM
# PQRSD BDUA atendidas en términos de ley en el trimestre igual a 554
#PQRSD BDUA recibidas con fecha máxima de respuesta en el trimestre igual a 554 
Teniendo en cuenta que la meta anual se definió como 100% y por lo tanto la meta trimestral quedo en 25%, el comportamiento del indicador para este periodo de medición fue 24.98%.
El soporte de medición de la evidencia para la actual actividad se encuentra en Evidencia\II trimestre\Estratégico\11600-1-1-1-4 y corresponde al archivo 11600-1-1-1-4.xlsx. </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</si>
  <si>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</si>
  <si>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xml:space="preserve">. De manera colaborativa con la OAPCR se ha trabajado en la construcción de la Política Integral de Administración de Riesgos, en la cual se incluyen los riesgos de Corrupción, Operativos y de Seguridad de la información. La cual fue aprobada mediante el acta 03 del pasado 12 de junio de 2019. (Ver: Acta03_20190612.pdf)
La política no se ha publicado en la página Web, ya que, al momento del cierre del presente reporte, se encontraba en revisión la resolución por la cual se adoptará esta y adicionalmente, será puesta en conocimiento de la Junta Directiva de la ADRES </t>
    </r>
  </si>
  <si>
    <r>
      <rPr>
        <b/>
        <sz val="10"/>
        <rFont val="Verdana"/>
        <family val="2"/>
      </rPr>
      <t>20190630.</t>
    </r>
    <r>
      <rPr>
        <sz val="10"/>
        <rFont val="Verdana"/>
        <family val="2"/>
      </rPr>
      <t xml:space="preserve"> Para este trimestre, esta actividad no tenía alcance definido.</t>
    </r>
  </si>
  <si>
    <r>
      <rPr>
        <b/>
        <sz val="10"/>
        <rFont val="Verdana"/>
        <family val="2"/>
      </rPr>
      <t>20190630</t>
    </r>
    <r>
      <rPr>
        <sz val="10"/>
        <rFont val="Verdana"/>
        <family val="2"/>
      </rPr>
      <t>. Para este trimestre, esta actividad no tenía alcance definido.</t>
    </r>
  </si>
  <si>
    <r>
      <rPr>
        <b/>
        <sz val="10"/>
        <rFont val="Verdana"/>
        <family val="2"/>
      </rPr>
      <t xml:space="preserve">20190630. </t>
    </r>
    <r>
      <rPr>
        <sz val="10"/>
        <rFont val="Verdana"/>
        <family val="2"/>
      </rPr>
      <t>Para este trimestre, esta actividad tenía alcance definido de realizar el primer autodiagnóstico del año frente a los avances del cumplimiento al modelo. Para esto usando el instrumento definido por el MinTIC dentro del marco del Modelo de Seguridad y Privacidad de la Información. Dentro de este autodiagnóstico se obtuvo un cumplimiento del 60% frente a la escala de calificación del ciclo PHVA y un cumplimiento de 53% frente a los controles ISO27000 los cuales son definidos dentro del modelo.
Teniendo en cuenta el contexto de confidencialidad de la información de la presente actividad y en caso de requerir información frente a las evidencias, se pide que estas sean solicitadas al director de la DGTIC para que puedan ser revisadas directamente dentro de los archivos del Oficial de Seguridad de la Información. Sin embargo, a manera de evidencia dentro de la carpeta Evidencias Productos\II trimestre\Transversal\11600-2-12-1 el archivo portadaAutodiagnósticoMSPI201906.pdf, el cual presenta los valores ya explicados dentro de esta actividad
Por lo cual teniendo en cuenta el indicador definido y la meta para este año, la cual era 1 autodiagnóstico por semestre; para el actual periodo de medición, se tiene un cumplimiento del 100% de lo propuesto vs lo ejecutado.</t>
    </r>
  </si>
  <si>
    <r>
      <rPr>
        <b/>
        <sz val="10"/>
        <rFont val="Verdana"/>
        <family val="2"/>
      </rPr>
      <t>20190630.</t>
    </r>
    <r>
      <rPr>
        <sz val="10"/>
        <rFont val="Verdana"/>
        <family val="2"/>
      </rPr>
      <t xml:space="preserve"> Dentro del plan de capacitación y sensibilización se definió el modelo de sensibilización frente a Seguridad de la información que se llevará a cabo para 2019 ver Evidencia\II trimestre\Transversal\11600-2-17 [PROYECTO] PL01 Plan Capacitación SPI.docx. Para lo cual se definió realizar una sensibilización por trimestre en una duración estimada de 15 días. Para lo cual, se realizó el material que se utilizó para tal fin, contando con el apoyo de Comunicación (dirección general) ver Evidencia\II trimestre\Transversal\11600-2-16\ _MSPI_ - Material para sensibilización.msg).
La campaña se realizó entre 20 de junio de 2019 y 05 de julio de 2019; en la ubicación Evidencia\II trimestre\Transversal\11600-2-16\, se encuentran algunas evidencias de la sensibilización realizada.
Esta actividad no tiene relacionado recurso financiero.</t>
    </r>
  </si>
  <si>
    <r>
      <rPr>
        <b/>
        <sz val="10"/>
        <rFont val="Verdana"/>
        <family val="2"/>
      </rPr>
      <t>20190630.</t>
    </r>
    <r>
      <rPr>
        <sz val="10"/>
        <rFont val="Verdana"/>
        <family val="2"/>
      </rPr>
      <t xml:space="preserve"> el 30 de enero de 2019 dentro del marco de la reunión del Comité de Gestión Institucional, se realizó la presentación de los Hitos más relevantes frente a la implementación del MSPI. Quedando consignado como uno de ellos la capacitación frente al modelo para toda la Entidad. Las cuales se realizarán en 2do trimestre.  En la ruta Evidencia\II trimestre\Transversal\11600-2-17 se copia del acta del comité (Acta_Comite_Institucional_Gestión_Desempeño.PDF), así como documento guía para el plan de capacitación y sensibilización ([PROYECTO] PL01 Plan Capacitación SPI.docx). 
Para este trimestre se tenia proyectada la primera jornada de capacitación, la cual se llevó a cabo entre el 29 de abril al 03 de mayo, en la ruta Evidencias Productos\II trimestre\Transversal\11600-2-17-1\Capacitación1 se han dejado las evidencias de los listados de asistencia de esta jornada</t>
    </r>
  </si>
  <si>
    <r>
      <rPr>
        <b/>
        <sz val="10"/>
        <rFont val="Verdana"/>
        <family val="2"/>
      </rPr>
      <t xml:space="preserve">20190630. </t>
    </r>
    <r>
      <rPr>
        <sz val="10"/>
        <rFont val="Verdana"/>
        <family val="2"/>
      </rPr>
      <t>Para este trimestre, esta actividad no tenía alcance definido</t>
    </r>
  </si>
  <si>
    <r>
      <rPr>
        <b/>
        <sz val="10"/>
        <rFont val="Verdana"/>
        <family val="2"/>
      </rPr>
      <t>20190630</t>
    </r>
    <r>
      <rPr>
        <sz val="10"/>
        <rFont val="Verdana"/>
        <family val="2"/>
      </rPr>
      <t>. Para este trimestre, esta actividad no tenía alcance definido</t>
    </r>
  </si>
  <si>
    <t>Entre el trimestre de abril a junio de 2019, se registraron 117.726 partidas recaudadas, de las cuales se identificaron 117.702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abril a junio de 2019.</t>
  </si>
  <si>
    <t>En el periodo se da cumplimiento al avance del 25%, se generaron 60 Boletines Diarios: 20 en abril, 22 en mayo y 18 en junio; donde se registran los recursos por transacciones bancarias. Se anexa a la carpeta compartida por la OAPCR, la relación de boletines diarios realizados en el II Trimestre de 2019.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</si>
  <si>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Para este periodo no se inicia con la implementación de el SARL, SARC y SARM, se inicia ejecución a partir del tercer trimestre de 2019. </t>
  </si>
  <si>
    <t>Se realizaron 4 reuniones de autocontrol, una (1) para cada proceso: Control de Recaudo y Fuentes de Financiamiento - Gestión Presupuestal - Gestión Contable y Control de Recursos - Gestión de Pagos y Portafolio. Con el fin de socializar y hacer seguimiento a los temas de: Riesgos, Indicadores de Gestión, Plan de Acción y Manual Operativo. Se anexa a la carpeta compartida por la OAPCR 4 Actas de reuniones con las respectivas listas de asistencia.</t>
  </si>
  <si>
    <t>Para el saneamiento de aportes patronales de régimen especial se realizaron certificaciones de conciliación con 2 ESEs y la Subred Integrada de Servicios del Norte.
Para el saneamiento de aportes patronales de SGP se efectuaron reuniones de seguimiento con las EPS de contributivo y de movilidad para saldar la cuenta de SGP.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</si>
  <si>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</si>
  <si>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implementadas las glosas GNP033 y GNP034 en el proceso de prestaciones económicas en pro de validar el tipo de licencia con el género y la edad laboral para el cobro de la licencia.
En la fase de preliquidación fue fortalecido el script de validaciones con respecto a los beneficiarios de más de 25 años sin condición de discapacidad.
Con cargo a esta actividad se ejecuta el contrato de prestación de servicios No. 043_2019.</t>
  </si>
  <si>
    <t>En el segundo trimestre fueron radicadas  1.076 solicitudes de prestaciones económicas de regímenes especiales o exceptuados, a 30 de junio 848 solicitudes se encontraban en términos de respuesta. 
Con cargo a esta actividad se ejecuta el contrato de prestación de servicios No.059_2019.</t>
  </si>
  <si>
    <t>En el segundo trimestre fueron radicadas  209 solicitudes de devolución de aportes de regímenes especiales o exceptuados, a 30 de junio 183 solicitudes se encontraban en términos de respuesta. 
Con cargo a esta actividad se ejecuta el contrato de prestación de servicios No. 060_2019.</t>
  </si>
  <si>
    <t>En el segundo trimestre se ejecutaron tres (3) procesos de Liquidación Mensual de Afiliados, en los tiempos establecidos en la normativa vigente, se  generó la certificación y la bitácora de cada proceso como se evidencia en los soportes de esta actividad.</t>
  </si>
  <si>
    <t>Se ejecutó la auditoría ARS0011 en la cual se identificaron hallazgos para 46 EPS del régimen subsidiado y la auditoría ARCON004 que generó hallazgos para 48 EPS del régimen contributivo.
A cada EPS se remitió la solicitud de aclaración según la normativa vigente. Ver anexo "11400-1-1-9.xlsx".</t>
  </si>
  <si>
    <t>No aplica para el  trimestre</t>
  </si>
  <si>
    <t>El de 17 mayo de 2019 se efectuó una charla con el equipo de la Subdirección de Garantías donde se abordaron temas relacionados con la actividad. Se adjunta la evidencia correspondiente.</t>
  </si>
  <si>
    <t>Se apoyó en la elaboración del Plan de Continuidad del Negocio, el cual tiene como finalidad la definición de lineamientos para asegurar la continuidad del negocio. Junto a esto se presentaron documentos complementarios, los cuales son: 1) Guía de recuperación para servicios o sistemas de información y 2) procedimiento recuperación de desastres de servicios y sistemas de información.
Las evidencias se encuentran en la carpeta 12000-1-2-1
1)Cronograma de actividades PCN
2)Plan de Continuidad del Negocio ADRES v4
3)Proyecto DRP
4) proyecto HVAPP
5) Proyecto DRP_PROC</t>
  </si>
  <si>
    <t>En el trimestre se realizaron dos reuniones de autocontrol.</t>
  </si>
  <si>
    <t>Se realizaron un total de 6 solicitudes a las dependencias, ver en carpeta de evidencias soportes respectivos</t>
  </si>
  <si>
    <t>Durante el segundo trimestre del año 2019 (abril a junio), se recibieron por parte de la Firma Auditora tres (3) paquetes de recobros (0418_1, 0418_1_1 y 1118_1). Los tres (3) paquetes fueron validados y las observaciones fueron remitidas a la Unión Temproal por la Dirección de Otras Prestaciones.
La Firma Auditora no presentó facturas de cobro por comisión de paquete en los meses de abril, mayo y junio de 2019.</t>
  </si>
  <si>
    <t>En cuanto a reclamaciones, fueron remitidos por la Firma Auditora trece (13) paquetes los cuales fueron validados y las observaciones fueron remitidas a la UT por la DOP de la ADRES.</t>
  </si>
  <si>
    <t>La Dirección de Otras Prestaciones adoptó un formato en Excel en el cual elabora el seguimiento de los paquetes (bitácora) de todos y cada uno de los paquetes por concepto de recobros y por concepto de reclamaciones. Sobre el particular se diligencian las fechas de remisión, las fechas de revisión por parte de la ADRES, fechas de conciliación, cantidades, valores y observaciones derivadas del seguimiento.</t>
  </si>
  <si>
    <t>Se solicitaron y se resolvieron 375 apoyos técnicos en abril, mayo y junio de 2019._x000D_
_x000D_
Se informa que el valor asignado para el desarrollo de la actividad en el primer trimestre corresponde al valor pagado a los contratistas (del 01 de abril al 30 de junio de 2019)</t>
  </si>
  <si>
    <t xml:space="preserve">Los avances realizados en el marco de la optimación y sistematización del proceso de auditoría integral de recobros y reclamaciones, se adelantaron las siguientes actividades: 
RECOBROS: Estructuración (Identificación de necesidades de información, Definición fuentes para consulta información, Definición criterios de validación y Socialización con EPS); Parametrización (Desarrollo en sistema de validaciones automáticas, Socialización con EPS [validaciones] y Estabilización sitio de pruebas); Pruebas (Pruebas de desarrollos con 3 EPS, Pruebas con info. EPS y Ajuste de validaciones)
Se adjunta una presentación (PPT) en la cual se evidencia el avance de cada una de las etapas (diapositiva # 15)
RECLAMACIONES: En cuanto a reclamaciones, se adjuntan las presentaciones en las cuales se detallan las actividades elaboradas en la reingeniería y mejoras del proceso de reclamaciones
</t>
  </si>
  <si>
    <t xml:space="preserve">Se efectuaron las publicaciones de los giros de recobros de los meses de abril, mayo y junio de 2019 en la página web de la ADRES, en donde se informaron los pagos de los giros previos, el pago del paquete de la radicación de abril de 2018 y los giros de los desistimientos. </t>
  </si>
  <si>
    <t>Se ordenaron veintitrés (23) paquetes de reclamaciones en el segundo trimestre del año 2019 correspondientes a los números 24008, 24033, 24018, 24015, 24030, 24016, 24019, 24022, 24023, 24024, 24025, 24037, 24040, 24038, 24036, 24035, 24034, GP0419, GP0518, 24044, 24058, 24047 y 24050.</t>
  </si>
  <si>
    <t>Se efectuaron las publicaciones de los veintitrés (23) paquetes de reclamaciones girados en el segundo trimestre del año.</t>
  </si>
  <si>
    <t>Se efectuó una reunión de autocontrol en la Dirección de Otras Prestaciones en la cual se revisaron los temas asociados a los Planes de Mejoramiento, los Manuales Técnicos de la DOP, Riesgos, Plan de Acción e Indicadores.</t>
  </si>
  <si>
    <t>En el segundo trimestre del año se continuó la labor de adelantamiento de la reingeniería del proceso de reclamaciones dentro del cual se contempla la actualización del formulario FURPEN. Esta actualización se tendrá lista al finalizar el cuarto trimestre del 2019.</t>
  </si>
  <si>
    <t>Se da cumplimiento al reporte correspondiente al segundo trimestre de 2019, el jueves 11 de julio de 2019.</t>
  </si>
  <si>
    <r>
      <t xml:space="preserve">Se dio cumplimiento al avance del 15% correspondiente a la realización de 2 informes de seguimientos y evaluaciones de control interno realizadas en el trimestre. En la ruta </t>
    </r>
    <r>
      <rPr>
        <b/>
        <sz val="10"/>
        <rFont val="Verdana"/>
        <family val="2"/>
      </rPr>
      <t>\ADRES\Plan de Acción 2019 - Oficina Control Interno\Evidencias Productos\II trimestre\11800-1-2-1,</t>
    </r>
    <r>
      <rPr>
        <sz val="10"/>
        <rFont val="Verdana"/>
        <family val="2"/>
      </rPr>
      <t xml:space="preserve"> se encuentran 2 carpetas con los respectivos informes y soportes de cumplimiento.
1.	GESTIÓN DE TECNOLOGIAS: Gestión de Requerimientos.
2.	GESTIÓN CONTABLE Y CONTROL DE RECURSOS: Generación de Estados Financieros (URA Abril -Mayo).</t>
    </r>
  </si>
  <si>
    <r>
      <t xml:space="preserve">Se dio cumplimiento al avance del 55% correspondiente a la realización de 6 informes para dar respuesta a los Requerimientos Legales Internos. En la ruta </t>
    </r>
    <r>
      <rPr>
        <b/>
        <sz val="10"/>
        <rFont val="Verdana"/>
        <family val="2"/>
      </rPr>
      <t>\ADRES\Plan de Acción 2019 - Oficina Control Interno\Evidencias Productos\II trimestre\11800-1-3-1</t>
    </r>
    <r>
      <rPr>
        <sz val="10"/>
        <rFont val="Verdana"/>
        <family val="2"/>
      </rPr>
      <t>, se encuentran 6 carpetas con los respectivos informes y soportes de cumplimiento.
1.	Seguimiento a las medidas de austeridad en el gasto público en ADRES (Informe).
2.	Seguimiento a la Ley de Transparencia 1712 de 2014 (Informe).
3.	Seguimiento Plan Anticorrupción (Informe).
4.	Seguimiento al cumplimiento del Artículo 76 de la ley 1474 de 2011 (Informe).
5.	Arqueo Caja Menor - ADRES- 2019 (Informe).
6.	Evaluación a una muestra de contratos de prestación de servicios profesionales y apoyo a la gestión, y otras modalidades (Informe).</t>
    </r>
  </si>
  <si>
    <r>
      <t>Se dio cumplimiento al avance del 67% correspondiente a la realización de 4 informes para dar respuesta a los Requerimientos Legales Externos. En la ruta \</t>
    </r>
    <r>
      <rPr>
        <b/>
        <sz val="10"/>
        <rFont val="Verdana"/>
        <family val="2"/>
      </rPr>
      <t>ADRES\Plan de Acción 2019 - Oficina Control Interno\Evidencias Productos\II trimestre\11800-1-4-1</t>
    </r>
    <r>
      <rPr>
        <sz val="10"/>
        <rFont val="Verdana"/>
        <family val="2"/>
      </rPr>
      <t>, se encuentran 4 carpetas con los respectivos informes y soportes de cumplimiento.
1.	Revisión y envío de la Gestión Contractual del Trimestre a la CGR, a través del SIRECI (Reporte).
2.	Acompañamiento y Consolidación del Informe de Rendición de la Cuenta Fiscal Anual y envío a la Contraloría General de la República (Reporte – Informe).
3.	Informe del Estado de Ejecución del Presupuesto de la Entidad al cierre de la vigencia. Anual para la comisión legal de cuentas (Reporte) .
4.	Seguimiento y Evaluación Mapa de Riesgos Institucional y de corrupción (Informe).</t>
    </r>
  </si>
  <si>
    <t xml:space="preserve">Cumplimiento acumulado del 50%. NO se tenían actividades programadas para este trimestre. </t>
  </si>
  <si>
    <r>
      <t xml:space="preserve">Se da cumplimiento al avance del 50% correspondiente a la emisión de 3 Boletines de autocontrol. En la ruta </t>
    </r>
    <r>
      <rPr>
        <b/>
        <sz val="10"/>
        <rFont val="Verdana"/>
        <family val="2"/>
      </rPr>
      <t>\ADRES\Plan de Acción 2019 - Oficina Control Interno\Evidencias Productos\II trimestre\11800-1-6-</t>
    </r>
    <r>
      <rPr>
        <sz val="10"/>
        <rFont val="Verdana"/>
        <family val="2"/>
      </rPr>
      <t>1 se encuentran los 3 boletines emitidos por la OCI correspondientes a los meses de abril, mayo y junio de 2019. 
1.	Boletín No. 4 - Directrices Asociadas a Austeridad en el Gasto Público.
2.	Boletín No. 5 - Modelo Integrado de Planeación y Gestión.
3.	Boletín No. 6 - ¿Qué es el Autocontrol?</t>
    </r>
  </si>
  <si>
    <t>La OCI realiza reuniones mensuales de autocontrol. Se anexan 3 actas de reunión.</t>
  </si>
  <si>
    <t>El acercamiento proyectado para este trimestre se realizará en el inmediatamente siguiente</t>
  </si>
  <si>
    <t xml:space="preserve">No hay meta para el trimestre. Sin embargo esta actividad se encuentra vinculada al contrato 054 de 2019 asignado al señor JAIRO WILLIAM GUERRERO MALAGON, quien ha venido desarrollando actividades tendientes a dar cumplimiento a la meta fijada en el año. Por lo anterior, se adjuntan los informes de gestión del contratista. </t>
  </si>
  <si>
    <t xml:space="preserve">Semanalmente los abogados entregan la gestión realizada frente a las reclamaciones que se encuentran en reparto, lo que permite tener una retroalimentación afectiva de la gestión de cobro realizada. Se anexa base con las reclamaciones que contienen los actos administrativos relacionados. Esta actividad se encuentra vinculada al contrato No. 77 de JUAN SEBASTIAN HERNANDEZ ESPINOSA, por lo cual se anexan los respectivos informes de gestión del contratista. </t>
  </si>
  <si>
    <t xml:space="preserve">No hay meta para el trimestre </t>
  </si>
  <si>
    <t xml:space="preserve">No hay meta para el trimestre. Sin embargo la actividad esta asociada al contrato 038 de 2019 de SANDRA PATRICIA HOYOS RODRIGUEZ, quien ha venido desarrollando actividades tendientes a dar cumplimiento a la meta fijada en el año. Por lo anterior, se adjuntan los informes de gestión del contratista. _x000D_
</t>
  </si>
  <si>
    <t>no hay meta establecida para este trimestre</t>
  </si>
  <si>
    <t xml:space="preserve">DURANTE EL TRIMESTRE LA DEFENSA DE LOS TRES PROCESOS OBJETO DE ESTA LÍNEA SE CUMPLIÓ A CABALIDAD, SE GENERARON 4 PRODUCTOS LOS CUALES FUERON DEBIDAMENTE PAGADOS. </t>
  </si>
  <si>
    <t xml:space="preserve">SE REPORTA CUMPLIMIENTO EN LA MEDIDA EN QUE DURANTE EL TRIMESTRE NO SE HIZO NECESARIO SOLICITARLE AL CONTRATISTA RECURSOS DE CASACIÓN. POR LO EXPUESTO, EL CONTRATO DEL DR. JOSE RICARDO HERRERA NO REPORTA CUENTAS DE COBRO HASTA LA FECHA.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</si>
  <si>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EN EL MES DE MAYO SE REPORTARON ACCIONES DE CUMPLIMIENTO, RESPECTO DE LAS CUALES SE SOLICITÓ EXCLUSIÓN YA QUE EL GRUPO DE TUTELAS RECIBE LOS MOVIMIENTOS DE ESTAS VIA ELECTRÓNICA Y SIN NECESIDAD DE GENERAR GASTOS ADICIONALES A LA ENTIDAD. 
COMO SOPORTES SE ALLEGA  BASE DE DATOS DE PROCESOS JUDICIALES VIGILADOS /PROCESOS ENTREGADOS POR ADRES EN VÍA JUDICIAL Y EN ARCHIVO ADICIONAL SE RELACIONAN LOS PROCESOS ADMINISTRATIVOS (SUPERINTENDENCIA ) ENTREGADOS Y VIGILADOS.  . </t>
  </si>
  <si>
    <t xml:space="preserve">DURANTE EL TRIMESTRE SE REQUIRIÓ LA LIQUIDACIÓN DE 5 EXPEDIENTES, DE LOS CUALES 1 SE ENCUENTRA PENDIENTE DE PAGO, YA QUE POR ASPECTOS AJENOS A LA ENTIDAD PERO DE INDOLE PROCESAL, FUE NECESARIO SOLICITAR PRONUNCIAMIENTO DEL DESPACHO JUDICIAL Y A LA FECHA ESTAMOS A LA ESPERA DE ESTE. 
COMO SOPORTES SE CARGA LA LIQUIDACIÓN REALIZADA EN CADA PROCESO, Y LAS CUENTAS DE COBRO    .  </t>
  </si>
  <si>
    <t>COMO SOPORTE SE CARGA EL REPORTE EMITIDO POR LA PLATAFORMA EKOGUI PARA CORTE JUNIO DE 2019, DONDE SE EVIDENCIA QUE HAY UN TOTAL DE 1947 PROCESOS, DE LOS CUALES 1924 PRESENTAN ASIGNACIÓN A LOS APODERADOS DE LA ENTIDAD (YA QUE FUERON REGISTRADOS POR ESTOS, FILTRAR COLUMNA BL) Y 23 QUE SE ENCUENTRAN VACÍOS. ESTA DIFERENCIA EN TODO CASO OBEDECE A QUE A LA FECHA NOS ENCONTRAMOS EN ETAPA DE NOTIFICACIÓN. 
AHORA BIEN, ES IMPORTANTE MANIFESTAR QUE EL INDICADOR DE 350/373 PROCESOS OBEDECE A LA DIFERENCIA DEL REPORTE QUE SE TENÍA A MARZO DE 2019 VS REPORTE JUNIO DE 2019 QUE  IGUALMENTE  SE CARGA EN LAS EVIDENCIAS PARA SU RESPECTIVA VALIDACIÓN, SIN EMBARGO, SE ACLARA QUE LA CANTIDAD DE PROCESOS QUE LA PLATAFORMA PERMITÍA RADICAR, DERIVA DEL TOTAL DE PROCESOS REGISTRADOS EN LA BASE ADJUNTA POR LA ANDJE. </t>
  </si>
  <si>
    <t>SE ADJUNTA EN LOS SOPORTES EL OFICIO POR MEDIO DEL CUAL SE REMITIÓ LA PROVISIÓN CONTABLE POR PARTE DE LA OAJ</t>
  </si>
  <si>
    <t xml:space="preserve">DURANTE EL TRIMESTRE SE REQUIRIÓ LA ASISTENCIA DE ADRES EN 16 PROCESOS JUDICIALES EN CALIDAD DE VÍCTIMA, Y SE OBTUVO UNA ASISTENCIA A 15 AUDIENCIAS.  RESPECTO DE LA AUDIENCIA EN QUE NO FUIMOS REPRESENTADOS, SE CUENTA CON UNA INCAPACIDAD DEL APODERADO QUE LE IMPIDIÓ CUMPLIR
COMO SOPORTE DE ESTA ACTIVIDAD SE PUEDE VALIDAR POR EL AREA DE PLANEACION LAS CUENTAS DE COBRO PRESENTADAS EN LA OBLIGACION 1 QUE DETALLAN POR MES LA ASISTENCIA A LAS AUDIENCIAS. .  </t>
  </si>
  <si>
    <t>SE APORTA EXCEL POR MES QUE DA CUENTA DE ESTA ACCION Y SE REPORTA EN LAS OBLIGACIONES DELCONTRATO</t>
  </si>
  <si>
    <t xml:space="preserve">SE EVIDENCIA UN REPARTO SUPERIOR EN PROCESOS JUDICIALES, SIN EMBARGO CON VENCIMIENTO DE TÉRMINOS O QUE SIN VENCIMIENTO FUERON CONTESTADAS EN DEBIDA OPORTUNIDAD, SE CUENTA CON UN REGISTRO DE 136 EXPEDIENTES, CUYOS SOPORTES SE ADJUNTAN, E IGUALMENTE PUEDEN SER VALIDADOS CONTRA EL ARCHIVO DE LA ENTIDAD
SE ADJUNTA COMO SOPORTES ARCHIVOS EN EXCEL CONTENTIVOS DE LA BASE DE REPARTO DE LAS DEMANDAS, LAS CONTESTADAS EN OPORTUNIDAD Y AQUELLAS QUE SE ENCUENTRAN EN TÉRMINOS. . </t>
  </si>
  <si>
    <t>SE RELACIONAN LAS PRUEBAS SOLICITADAS POR LOS DESPACHOS JUDICIALES, PERO DEBE TENERSE EN CUENTA QUE NO TODOS LOS REQUERIMIENTOS LLEGAN POR ESCRITO, SINO QUE HAY REQUERIMIENTOS EN AUDIENCIA, QUE EN TODO CASO SON SATISFECHOS DENTRO DE LOS TERMINOS OTORGADOS POR LOS JUECES, RAZÓN POR LA CUAL EL SOPORTE ES MAYOR AL CUADRO EXCEL QUE CONTIENE LOS REQUERIMIENTOS FÍSICOS QUE LLEGAN A ADRES.  
IGUALMENTE, ES IMPORTANTE QUE SE TENGA EN CUENTA QUE 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</si>
  <si>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 xml:space="preserve">DURANTE EL TRIMESTRE SE PRESENTARON DIFICULTADES PARA SOMETER A ESTUDIO CIERTOS ASUNTOS RELACIONADOS CON AUDITORÍA INTEGRAL, YA QUE REQUERÍAN LA VALIDACIÓN DEL ENTE AUDITOR, SIN EMBARGO, TRAS EFECTUAR SOLICITUDES DE CONCEPTO TÉCNICO QUE RESPALDARAN CUALQUIER DECISION PROPUESTA POR LA OAJ, NO FUE POSIBLE CONTAR CON ESTAS Y POR TANTO SE RESOLVIÓ CONTINUAR EL ESTUDIO CON EL APOYO TÉCNICO QUE ARROJA LA DIRECCIÓN DE TIC DE LA ADRES. DICHA SITUACIÓN GENERÓ LA NECESIDAD DE AMPLIAR LA CONTRATACIÓN DE LA OAJ PARA CONTAR CON UN MÉDICO ESPECIALISTA EN AUDITORÍA INTEGRAL. .  </t>
  </si>
  <si>
    <t xml:space="preserve">SE DISPUSO LA CREACIÓN DE ENLACES EN EL GRUPO DE PRE JUDICIAL, QUE PERMITIERA QUE LOS ABOGADOS DE DEFENSA JUDICIAL CONTARAN CON LOS PARÁMETROS EN SUS AUDIENCIAS, SEGUN FUERAN REQUERIDOS, COMO SOPORTE SE ALLEGA BASE DE CONTROL DE ASUNTOS JUDICIALES SOMETIDOS AL COMITÉ Y LAS FICHAS HACEN PARTE DE LA EVIDENCIA DEL PUNTO 11900-1-12-3. </t>
  </si>
  <si>
    <t xml:space="preserve">EL CONTRATO CUYO OBJETO ERA BRINDAR APOYO EN EL COMITÉ DE CONCILIACIÓN DE ADRES, ESPECÍFICAMENTE EN LA SECRETARÍA TÉCNICA TERMINÓ, SIN EMBARGO SE CUENTA CON EL APOYO DE UNA FUNCIONARIA EN LAS ACTIVIDADES, LO QUE HA PERMITIDO CUMPLIMIENTO. </t>
  </si>
  <si>
    <t>Los valores registrados en la columna BE corresponden a los entregados por la Dirección Administrativa y Financiera</t>
  </si>
  <si>
    <t>Se carga como evidencia la programación en la agenda del Jefe de la Oficina Asesora Jurídica</t>
  </si>
  <si>
    <t>Criterio Diferencial de Accesibilidad</t>
  </si>
  <si>
    <t>Mecanismos para la transparencia y el acceso a la información pública</t>
  </si>
  <si>
    <t>Iniciativas adicionales</t>
  </si>
  <si>
    <t>20190331.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18.595
# Registros notificados en auditorias preventivas igual a 743.779
Teniendo en cuenta que la meta anual se definió como 10% y por lo tanto la meta trimestral quedo en 2.5%, el comportamiento del indicador para este periodo de medición fue 100% frente a la meta. Sin embargo, teniendo en cuenta la dinámica del reporte de correcciones realizadas por las EPS se encuentra que adicionalmente al cumplimiento de la META se llevó a cabo la corrección de 104.021 registros más. Por lo cual, se realizará al interior del proceso la revisión para validar la pertinencia de la Meta propuesta buscando validar si es necesario realizar algún ajuste al respecto, el cual, de ser así, será solicitado a las instancias pertinentes.
El soporte de medición de la evidencia para la actual actividad se encuentra en Evidencia\I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 y valor mensual de $4.080.000.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Andrés Guillermo Bruce.
•	Sergio Luis Antonio García. Quien tiene el contrato 046 de 2019 y cuyo valor total es por $48.960.000 y valor mensual de $4.080.00. Cuya fecha de ingreso fue el 29/01/2019. Para el seguimiento actual se ha pagado un total de $4.352.000 y se tiene por pagar un valor de $4.080.000. La evidencia de los pagos realizados y de las cuentas de cobro se encuentran dentro de la ruta Evidencia\I trimestre\Estratégico\11600-1-1-1-1\ Sergio Luis Antonio García.
•	William Andrés Páez. Quien tiene el contrato 061 de 2019 y cuyo valor total es por $48.960.000 y valor mensual de $4.080.000. Cuya fecha de ingreso fue el 13/02/2019. Para el seguimiento actual se ha pagado un total de $2.448.000 y se tiene por pagar un valor de $4.080.000. La evidencia de los pagos realizados y de las cuentas de cobro se encuentran dentro de la ruta Evidencia\I trimestre\Estratégico\11600-1-1-1-1\ William Andrés Páez.
Por lo tanto, para el presente seguimiento, se tenía definido un total de $36.720.000, de los cuales hasta el momento se han causado obligaciones por un valor de $23.392.000 dando un cumplimiento de 63.70%.</t>
  </si>
  <si>
    <r>
      <rPr>
        <b/>
        <sz val="10"/>
        <rFont val="Verdana"/>
        <family val="2"/>
      </rPr>
      <t>20190630.</t>
    </r>
    <r>
      <rPr>
        <sz val="10"/>
        <rFont val="Verdana"/>
        <family val="2"/>
      </rPr>
      <t xml:space="preserve">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16.307
# Registros notificados en auditorias preventivas igual a 657.266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463.088 registros más. 
El soporte de medición de la evidencia para la actual actividad se encuentra en Evidencia\II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Andrés Guillermo 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 trimestre\Estratégico\11600-1-1-1-1\ Sergio Luis Antonio 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 trimestre\Estratégico\11600-1-1-1-1\ William Andrés Páez.
Por lo tanto, para el presente seguimiento, se tenía definido un total de $36.720.000, de los cuales hasta el momento se han causado obligaciones por un valor de $36.720.000 dando un cumplimiento de 100.00 %.</t>
    </r>
  </si>
  <si>
    <t>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99.35%, el cual corresponde a: 
# Requerimientos de aplicaciones misionales atendidos en términos de ANS para el trimestre igual a 763 
# Requerimientos de aplicaciones misionales recibidos en términos de ANS igual a 765 
Como se ve el indicador no alcanzó el valor definido para la meta, faltando así 0.16%; por tal razón, como alternativas de mejora se ha propuesto es revisar los ANS conforme a la complejidad los requerimientos.
Teniendo en cuenta que la meta anual se definió como 100% y por lo tanto la meta trimestral quedo en 25%, el comportamiento del indicador para este periodo de medición fue 24.84%.
El soporte de medición de la evidencia para la actual actividad se encuentra en Evidencia\I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$5.479.295 y se tiene por pagar un valor de $5.136.839. La evidencia de los pagos realizados y de las cuentas de cobro se encuentran dentro de la ruta Evidencia\I trimestre\Estratégico\11600-1-1-2-1\ Claudia Milena Soler.
•	Cristian Russi. Quien tiene el contrato 065 de 2019 y cuyo valor total es por $61.642.068 y valor mensual de $5.136.839. Cuya fecha de ingreso fue el 06/02/2019. Para el seguimiento actual se ha pagado un total de $4.623.155 y se tiene por pagar un valor de $5.136.839. La evidencia de los pagos realizados y de las cuentas de cobro se encuentran dentro de la ruta Evidencia\I trimestre\Estratégico\11600-1-1-2-1\ Cristian Russi.
•	Jorge Suarez. Quien tiene el contrato 062 de 2019 y cuyo valor total es por $48.960.000 y valor mensual de $4.080.000. Cuya fecha de ingreso fue el 04/02/2019. Para el seguimiento actual se ha pagado un total de $3.672.000 y se tiene por pagar un valor de $4.080.000. La evidencia de los pagos realizados y de las cuentas de cobro se encuentran dentro de la ruta Evidencia\I trimestre\Estratégico\11600-1-1-2-1\ Jorge Suárez.
•	Manuel Peña. Quien tiene el contrato 0051 de 2019 y cuyo valor total es por $53.164.884 y valor mensual de $4.403.407. Cuya fecha de ingreso fue el 30/01/2019. Para el seguimiento actual se ha pagado un total de $4.578.087 y se tiene por pagar un valor de $4.430.407. La evidencia de los pagos realizados y de las cuentas de cobro se encuentran dentro de la ruta Evidencia\I trimestre\Estratégico\11600-1-1-2-1\ Manuel Peña.
•	Yuly Margoth Otalora. Quien tiene el contrato 035 de 2019 y cuyo valor total es por $48.960.000 y valor mensual de $4.080.000. Cuya fecha de ingreso fue el 24/01/2019. Para el seguimiento actual se ha pagado un total de $4.488.000 y se tiene por pagar un valor de $4.080.000. La evidencia de los pagos realizados y de las cuentas de cobro se encuentran dentro de la ruta Evidencia\I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$ 91.878.120
•	Contratar la implementación e integraciones de los sistemas misionales de la ADRES con el ERP. Por valor de $364.000.000.
•	Contratar la implementación del sistema de Cobro Coactivo, que incluya la integración con las aplicaciones del proceso de reclamaciones en la ADRES. Por valor de $ 277.671.089,10.
Las cuales hasta el momento no se han contratado y por consiguiente no se ha pagado valor alguno de las mismas.
Por lo tanto, para el presente seguimiento, se tenía definido un total de $251.979.557, de los cuales hasta el momento se han causado obligaciones por un valor de $45.704.622 dando un cumplimiento de 18.14%.</t>
  </si>
  <si>
    <r>
      <rPr>
        <b/>
        <sz val="10"/>
        <rFont val="Verdana"/>
        <family val="2"/>
      </rPr>
      <t>20190630.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1471 
# Requerimientos de aplicaciones misionales recibidos en términos de ANS igual a 1474 
Teniendo en cuenta que la meta anual se definió como 100% y por lo tanto la meta trimestral quedo en 25%, el comportamiento del indicador para este periodo de medición fue 24.94%.
El soporte de medición de la evidencia para la actual actividad se encuentra en Evidencia\II trimestre\Estratégico\11600-1-1-2-1. 
Ahora bien, teniendo en cuenta que esta actividad tiene asociados recursos financieros a continuación, se relaciona la ejecución de estos.
Se tiene definidos 5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 trimestre\Estratégico\11600-1-1-2-1\ Claudia Milena 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 trimestre\Estratégico\11600-1-1-2-1\ Cristian 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 trimestre\Estratégico\11600-1-1-2-1\ Jorge Suárez.
•	Manuel Peña. Quien tiene el contrato 0051 de 2019 y cuyo valor total es por $53.164.884 y valor mensual de $4.403.407. Cuya fecha de ingreso fue el 30/01/2019. Para el seguimiento actual se pagó un total de $ 8.713.133 y se liberó un total de $ 35.443.257 por terminación anticipada de contrato (ver: documentos soportes cesión acto 051 de 2019.pdf). La evidencia de los pagos realizados y de las cuentas de cobro se encuentran dentro de la ruta Evidencia\II trimestre\Estratégico\11600-1-1-2-1\ Manuel Peña.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 trimestre\Estratégico\11600-1-1-2-1\ Yuly Margoth 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$64.014.167 dando un cumplimiento de 25.40%. Ahora bien, cabe aclarar que teniendo en cuenta el Plan Anual de Adquisiciones, se retiraron rubros por valor de $364.000.000 y $277.671.089, por lo tanto, la meta anual de la presente actividad debe ser $ 366.247.140 y una meta trimestral por valor de $91.561.785. Tomando este valor el cumplimiento real corresponde a 69.91%.</t>
    </r>
  </si>
  <si>
    <t>En el segundo trimestre fueron efectuados 11 procesos de compensación del régimen contributivo de salud de acuerdo con el cronograma establecido para el trimestre, reconociendo a las EPS - EOC la UPC, el PyP y la provisión de incapacidades.
Con cargo a esta actividad se ejecutan los contratos de prestación de servicios No. 040 y 042_2019.</t>
  </si>
  <si>
    <t>Como soporte se presentan los documentos elaborados durante el segundo trimestre de 2019. Nota de política de la tecnología denominada Eculizumab. Una mirada al aseguramiento en salud de la población colombiana 2017.</t>
  </si>
  <si>
    <t xml:space="preserve">Durante el periodo, se realizaron los respectivos Informes de Ejecución Presupuestal de la URA, los cuales fueron enviados al Ministerio de Hacienda y Crédito Público, Ministerio de Salud y Protección Social y a la Oficina Asesora de Planeación y Control de Riesgos, adicionalmente a Comunicaciones ADRES, para su publicación mensual en el link https://www.adres.gov.co/La-Entidad/Información-financiera/URA/Ejecución-presupuestal-URA, se anexa a la carpeta compartida por la OAPCR las ejecuciones presupuestales del I Trimestre de 2019.
</t>
  </si>
  <si>
    <t>Durante el 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Se anexa a la carpeta compartida por la OAPCR las ejecuciones presupuestales del II Trimestre de 2019, oficios remisorios de las EP al Ministerio de Hacienda y evidencia en Word pantallazo publicación de las Ejecuciones Presupuestales en la página de la ADRES.</t>
  </si>
  <si>
    <t xml:space="preserve">En el periodo se recibieron 2.047 Ordenes de Pago por parte del Grupo de Gestión de Contable, por un valor de $10.759.691.865.518,50 de las cuales de efectúa un total de Giros de 62.431 (cantidad evidenciada en el aplicativo ERP) por valor de $10.656.417.097.454,10, Se anexa a la carpeta compartida por la OAPCR, la relación de  pagos efectuados durante el II Trimestre de 2019._x000D_
_x000D_
Durante el 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</si>
  <si>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periodo,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 Trimestre de 2019 y evidencia en Word pantallazo publicación de los Estados Financieros en la página de la ADRES
Durante el 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</si>
  <si>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t># Propuestas aprobadas por el Min Salud</t>
  </si>
  <si>
    <t>Para este trimestre se elaboró un plan de trabajo para la implementación del SARLAFT revisado y aprobado por el Jefe de la Oficina de Planeación el 28 de febrero, este plan fue presentado en XXX así mismo se anexa propuesta de políticas, roles y responsabilidades asociadas al LA/FT y estas se remitieron mediante correo electrónico el día 29 de marzo de 2019   para revisión y comentarios por parte de los líderes de proceso.  se adjunta las evidencias soporte de esta acción en Teams.</t>
  </si>
  <si>
    <t>Para este trimestre se presento  y aprobó en Junta Directiva  política de administración de riesgos LA/FT y código de integridad.
asimismo, se cuenta con un avance del 50% del manual para la implementación de riesgos integrados, procedimientos, formatos y código de buen gobierno.</t>
  </si>
  <si>
    <t xml:space="preserve">De acuerdo con la reunión sostenida con la Oficina Asesora de Planeación  se acordó que el indicador quedará  así:  Para el II trimestre la organización, digitalización y transferencia del archivo documental de gestión correspondiente a la serie tutelas de las los meses de enero, febrero y marzo de 2018. El valor ejecutado corresponde al valor promedio mensual del contrato Interadministrativo N.088-2019 suscrito con Servicios Postales Nacionales 4-72 en el componente de archivo, se suben a la carpeta de evidencias los informes mensuales de  abril y mayo, junio esta pendiente finalizar tramite por un componente de envíos.. </t>
  </si>
  <si>
    <t>Se incluyen los informes de supervisión de Marzo Abril, Mayo. El mes de junio no se ha recibido el informe del centro de contacto. El mes de marzo no se incluyó en el reporte del Primer trimestre pues no se había recibido cuenta de cobro por parte del Conalcenter. Para este trimestre se suman los pagos realizados de los meses de marzo, abril y mayo por un valor de $133.992.812. Por esta misma razón no se reporta junio. Se adjuntan los informes de supervisión de los meses de marzo, abril y mayo.</t>
  </si>
  <si>
    <t>Se socializa con todos los servidores públicos mediante correo electrónico y en los escritorios de los computadores  los siguientes temas: 1. Actualización Trámites y OPA, en donde se informa que el DAFP estableció que la consulta de la BDUA no es una OPA;2. Boletín PQRSD Tiempos de atención PQRSD (Tiempos especiales); 3.  Cartilla del DNP“Guía para responder a solicitudes de acceso a información pública”; 4. Deberes de las autoridades en la atención al público -Carta de Compromiso en la Atención al Ciudadano; 5.  Boletín Gestión y trámite de las PQRSD en la entidad, deben atender lo dispuesto en la Resolución 668 de 2018 " Se adjunta la evidencia en la carpeta del Plan de Acción; 6. Publicación en la página web “Mecanismos para presentar Quejas y Reclamos en relación con omisiones o acciones del sujeto obligado”.</t>
  </si>
  <si>
    <t xml:space="preserve">Para este período se programó una mesa de trabajo y adicionalmente se  realizaron acciones  a través de correos electrónicos y atención telefónica en los siguientes temas. Se adjuntan evidencias en la Carpeta del II trimestre.
</t>
  </si>
  <si>
    <t>Para la actividad “Servicio BPO-Mesa de ayuda”, se definió el indicador “# Casos de primer nivel atendidos en términos de ANS para el trimestre/ # Casos de primer nivel recibidos en términos de ANS para el trimestre”. Por lo tanto, para el presente seguimiento se obtuvo un cumplimiento del 100%, el cual corresponde a: 
# Casos de primer nivel atendidos en términos de ANS para el trimestre igual a 189 
# Casos de primer nivel recibidos en términos de ANS para el trimestre igual a 189 
Teniendo en cuenta que la meta anual se definió como 90% y por lo tanto la meta trimestral quedo en 22.5%, el comportamiento del indicador para este periodo de medición fue 22.5%.
Es importante aclarar que la meta es 90% y para esta medición se tuvo un 10% superior a esta; por lo cual, se validara al interior del grupo la pertinencia de validar la meta dependiendo la dinámica de la entidad y adicionalmente la contratación del servicio de BPO.
El soporte de medición de la evidencia para la actual actividad se encuentra en Evidencia\I trimestre\Transversal\11600-2-1-1 y su nombre es Casos Mesa de servicios.xlsx.
Ahora bien, teniendo en cuenta que esta actividad tiene asociados recursos financieros a continuación, se relaciona la ejecución de estos.
Se tiene definidos 1 contratista, el cual es:
•	John Rodriguez. Quien tiene el contrato 0034 de 2019 y cuyo valor total es por $48.960.000 y valor mensual de $4.080.000. Cuya fecha de ingreso fue el 24/01/2019. Para el seguimiento actual se ha pagado un total de $5.032.000 y se tiene por pagar un valor de $4.080.000 La evidencia de los pagos realizados y de las cuentas de cobro se encuentran dentro de la ruta Evidencia\I trimestre\Transversal\11600-2-1-1 \ John Rodríguez. 
Adicionalmente, dentro de esta actividad y frente al plan de adquisiciones de la entidad se tenía 1 rubro:
•	Servicio BPO-Mesa de ayuda. Por valor de $ 178.704.377,10
El cual hasta el momento no se ha contratado ya que se encuentra en aprobación de vigencias futuras y por consiguiente no se ha pagado valor alguno. 
Por lo tanto, para el presente seguimiento, se tenía definido un total de $ 22.766.438, de los cuales hasta el momento se han causado obligaciones por un valor de $9.112.000 dando un cumplimiento de 40.02%.</t>
  </si>
  <si>
    <t>20190331. El pasado 25 de febrero de 2019, el Módulo tecnológico en el CRM como herramienta de medición de oportunidad de respuestas a PQRSD entró en producción. Este puede ser accedido directamente desde el enlace https://sac.adres.gov.co/ o a través del Enlace Formule su PQRSD en línea, el cual se encuentra en la página https://www.adres.gov.co/.</t>
  </si>
  <si>
    <r>
      <rPr>
        <b/>
        <sz val="10"/>
        <rFont val="Verdana"/>
        <family val="2"/>
      </rPr>
      <t>20190630</t>
    </r>
    <r>
      <rPr>
        <sz val="10"/>
        <rFont val="Verdana"/>
        <family val="2"/>
      </rPr>
      <t>. Con corte al primer semestre de 2019 se tiene un inventario de 413 activos, de los cuales 289 activos “ACTIVOS” y 124 EXCLUIDOS, de los cuales 13 corresponden a nuevos activos ingresados en la actual vigencia. En la ruta Evidencias Productos\II trimestre\Transversal\11600-2-14-1, se encuentra el archivo GSTE-F02 matriz Valoración Activos Información V20190531.xlsx, en el cual se encuentra la información del actual inventario. El ejercicio de identificación de activos se ha llevado a cabo siguiendo la guía “Metodología de clasificación y valoración de activos de información”, que al interior de la DGTIC se ha definido. Este documento de igual manera también ha sido referenciado dentro de la evidencian de la dirección.</t>
    </r>
  </si>
  <si>
    <t xml:space="preserve">Se realizó la revisión y actualización de la Política de Administración de Riesgos; en Comité Institucional de Coordinación de Control Interno, en sesión de fecha del 12 de junio de 2019, aprobó dicha Política en consideración a lo enunciado en la circular 06 del 31 de julio de 2018 de la Superintendencia de Salud donde se presentó para aprobación la actualización de los objetivos, el ámbito de aplicación, el nivel de aceptación del riesgo. Además, se dispuso que los riesgos residuales del proceso se encuentren máximo en la zona de riesgo MODERADA como “nivel de aceptación”, y en la medida en que la gestión de riesgo vaya avanzando en su madurez, se traslade a la zona baja.
Cabe aclarar, que para el riesgo de corrupción y de LA/FT no se admite aceptación del riesgo, siempre deben conducir a un tratamiento. La tolerancia es INACEPTABLE. (Acta de reunión No 3 y proyecto resolución).
</t>
  </si>
  <si>
    <t>Las políticas fueron presentadas en comité  institucional  de coordinación de control interno para retroalimentación a nivel directivo y posteriormente someter a probación en acuerdo de junta de acuerdo a lo establecido en la circular 06 de la Supersalud.</t>
  </si>
  <si>
    <t>esta actividad no  fue programa para ejecutar en este trimestre. Por lo tanto no tiene reporte</t>
  </si>
  <si>
    <t>Tomando como base la versión del PAA con corte al 03 de julio el cual tiene 161 líneas (adquisiciones planeadas) se han utilizado 113 de ellas con corte a 30 de junio, esto se soporta con copia del PAA descargado de la página de Colombia Compra Eficiente. 
En el periodo a reportar se suscribieron 30 contratos que se relacionan en el archivo cargado en las evidencias.
Adicionalmente se cargan como evidencias los correos electrónicos enviados desde la Dirección Administrativa y Financiera como seguimiento al cumplimiento de ejecución del PAA por parte de las diferentes áreas de la entidad y de igual forma las solicitudes de inclusión, modificación y/o eliminación de líneas en el PAA, presentadas por las áreas responsables.</t>
  </si>
  <si>
    <t>#Paquetes de recobros y reclamaciones de rezago entregados para pago con interventoría certificada / # Paquetes de recobros y reclamaciones rezagados</t>
  </si>
  <si>
    <t>#Paquetes de recobros y reclamaciones 2019 entregados para pago con interventoría certificada / # Paquetes de recobros y reclamaciones 2019  con trámite de auditoría por realizar</t>
  </si>
  <si>
    <t># Actas debidamente firmadas / # sesiones del Comité de Conciliación</t>
  </si>
  <si>
    <t>Plan Plan de Trabajo Anual del Sistema de Seguridad y Salud en el Trabajo 
Plan Institucional de Capacitación</t>
  </si>
  <si>
    <t>CUMPIMIENTO TOTAL FÍSICO (Promedio)</t>
  </si>
  <si>
    <t>Mediante los memorandos identificados en el SGD con los números 26177, 27449 y 28602 se efectuaron las Ordenaciones del Gasto para el Giro Previo de Recobros de los meses de abril, mayo y junio de 2019 respectivamente. 
Adicionalmente, con los memorandos identificados en el SGD con los números 26280, 26415 y 28515, se efectuaron las Ordenaciones del Gasto para el Giro Previo (Ajustado) de Recobros de los meses de mayo y junio de 2018 y enero de 2019, respectivamente.</t>
  </si>
  <si>
    <t>En el segundo trimestre del año en curso se efectuaron los pagos de los paquetes 0418_1, GA091214EPS008_1, GT010116EPS008_03, GT010117EPS008_03, GT020216EPS008_03, GT020216EPS037_01, GT030316EPS008_03, GT030316EPS037_01, GT040416EPS008_03, GT050516EPS008_03, GT071116EPS008_1 y GT081216EPS008_1.
Los memorandos de las ordenaciones corresponden a los números identificados en el SGD con los radicados 27611 para el paquete 0418_1 y, 26843 y 251879 para los giros por desistimientos.</t>
  </si>
  <si>
    <r>
      <t xml:space="preserve">El siguiente es el resultado cualitativo logrado en segundo trimestre, de conformidad con lo reportado por cada una de las dependencias así:
</t>
    </r>
    <r>
      <rPr>
        <b/>
        <sz val="10"/>
        <color theme="1"/>
        <rFont val="Verdana"/>
        <family val="2"/>
      </rPr>
      <t xml:space="preserve">Dirección General - Comunicaciones.
</t>
    </r>
    <r>
      <rPr>
        <sz val="10"/>
        <color theme="1"/>
        <rFont val="Verdana"/>
        <family val="2"/>
      </rPr>
      <t xml:space="preserve">Se destaca la labor de la Dirección General- Comunicaciones en realización de actividades de relacionamiento y rendición de cuentas con actores del sector salud partes interesadas, el 28 de mayo de 2019 se llevó a cabo un taller con integrantes de la Asociación de Laboratorios Farmacéuticos de Investigación y Desarrollo -AFIDRO- con el fin de socializar cómo se da el flujo de los recursos del sistema general de seguridad social en salud de Colombia, aportando de esta manera al objetivo estratégico “Garantizar la adecuación institucional mediante actividades transversales que complementen y sustenten el desempeño de los procesos misionales y estratégicos, así como el seguimiento continuo al cumplimiento de los objetivos de la Entidad”.
Las actividades relacionadas con la jornada participativa abierta de rendición de cuentas se programó para el tercer trimestre, cuyo avance se podrá observar en el próximo seguimiento al plan.
</t>
    </r>
    <r>
      <rPr>
        <b/>
        <sz val="10"/>
        <color theme="1"/>
        <rFont val="Verdana"/>
        <family val="2"/>
      </rPr>
      <t xml:space="preserve">Oficina de Control Interno.
</t>
    </r>
    <r>
      <rPr>
        <sz val="10"/>
        <color theme="1"/>
        <rFont val="Verdana"/>
        <family val="2"/>
      </rPr>
      <t xml:space="preserve">Se destaca la labor de la OCI en los resultados satisfactorios de los indicadores de gestión de la totalidad de las actividades de apoyo transversal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al cual están asociadas las actividades del plan de acción de esa oficina.
</t>
    </r>
    <r>
      <rPr>
        <b/>
        <sz val="10"/>
        <color theme="1"/>
        <rFont val="Verdana"/>
        <family val="2"/>
      </rPr>
      <t>Dirección de Gestión de Tecnologías de la Información y la Comunicación.</t>
    </r>
    <r>
      <rPr>
        <sz val="10"/>
        <color theme="1"/>
        <rFont val="Verdana"/>
        <family val="2"/>
      </rPr>
      <t xml:space="preserve">
Se destaca la labor de la DGTIC, en los resultados satisfactorios de los indicadores de gestión de la mayoría de las actividades de apoyo transversal y la totalidad de actividades de proyectos estratégicos de su plan de acción, aportando de manera importante en los objetivos estratégicos “Garantizar la adecuación institucional mediante actividades transversales que complementen y sustenten el desempeño de los procesos misionales y estratégicos, así como el seguimiento continuo al cumplimiento de los objetivos de la Entidad” y “Mejoramiento de la infraestructura tecnológica para garantizar la operación de los procesos misionales”, al cual están asociadas las actividades del plan de acción de esa Dirección.
No obstante, la medición del indicador no favoreció la actividad de apoyo transversal “Actualizar de manera colaborativa la Política del Sistema Integrado de Administración de Riesgos de la ADRES”, toda vez que la política fue elaborada, pero no se ha publicado en la página Web por encontrarse en revisión la resolución por la cual se adoptará y adicionalmente, debe ser  puesta en conocimiento de la Junta Directiva de la ADRES.
Es recomendable revisar las posibilidades de mejora en la ejecución de los recursos asignados al producto: "Apoyo en soporte, desarrollo, mantenimiento e integración de aplicativos misionales".
</t>
    </r>
    <r>
      <rPr>
        <b/>
        <sz val="10"/>
        <color theme="1"/>
        <rFont val="Verdana"/>
        <family val="2"/>
      </rPr>
      <t>Oficina Asesora Jurídica.</t>
    </r>
    <r>
      <rPr>
        <sz val="10"/>
        <color theme="1"/>
        <rFont val="Verdana"/>
        <family val="2"/>
      </rPr>
      <t xml:space="preserve">
Se destaca la labor de la OAJ en realización de actividades de apoyo misional, aportando de manera significativa en el objetivo estratégico “Proteger, gestionar y defender los recursos del SGSSS”.
Adicionalmente se destaca, dentro del apoyo transversal, el cumplimiento a cabalidad de actividades como: “Ejercer la representación judicial del recurso extraordinario de casación  y procesos cuya relevancia y asuntos que requieran de su intervención para la adecuada defensa de los intereses de la Entidad, entre las que se encuentran las acciones de repetición”; “Realizar vigilancia judicial y radicación de documentos en cada uno de los procesos que cursan en los despachos judiciales en contra de ADRES”; “Apoyar en la administración de la plataforma Ekogui, y demás actuaciones necesarias para gestionar y lograr el pago de las sentencias condenatorias y conciliaciones”; “Apoyar en las actividades relacionadas con el ejercicio de las funciones de la Secretaría Técnica  del Comité de Conciliación;  y en las actividades propias de dicho organismo en el Ekogui.”; “Apoyo a las actividades administrativas y operativas  requeridas por el Grupo de Representación Judicial”; “Tramitar las acciones constitucionales y demás asuntos derivados de éstas, que se instauren contra la Administradora de los Recursos del Sistema General de Seguridad Social en Salud - ADRES o contra el entonces FOSYGA”. Aportando de manera importante en los objetivos estratégicos “Proteger, gestionar y defender los recursos del SGSSS”.
A pesar de que no se alcanzó la meta para la actividad “Adelantar acercamientos con altos organismos de rama judicial con el objeto de reducir el volumen de tutelas que recibe la entidad”, la OAJ proyectó un oficio dirigido al Consejo Superior de la Judicatura con el fin de reducir la cantidad de tutelas que se presentan a ADRES por prestaciones de salud, se espera dar trámite a este documento durante el siguiente trimestre. 
</t>
    </r>
    <r>
      <rPr>
        <b/>
        <sz val="10"/>
        <color theme="1"/>
        <rFont val="Verdana"/>
        <family val="2"/>
      </rPr>
      <t xml:space="preserve">Dirección Administrativa y Financiera.
</t>
    </r>
    <r>
      <rPr>
        <sz val="10"/>
        <color theme="1"/>
        <rFont val="Verdana"/>
        <family val="2"/>
      </rPr>
      <t xml:space="preserve">Se destaca la labor de la DAF en realización de actividades de apoyo transversal en las cuales cumplió o avanzó sustancialmente, en los resultados satisfactorios de los indicadores de gestión de la mayoría de las actividades de su plan de acción,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Los resultados de las metas previstas para los siguientes productos en el segundo trimestre, reflejan la necesidad de establecer y documentar acciones correctivas para su logro en los siguientes periodos:
• Actualización de los requisitos legales del Sistema de Seguridad y Salud en el Trabajo
• Capacitación en Buen Gobierno
• Capacitación de Sistema de Seguridad Social
• Participación en ferias de servicio al ciudadano
En el segundo trimestre de 2019 se hizo gestión de búsqueda y solicitud a la ESAP y Función Pública de las anteriores capacitaciones, por lo que se continuará gestionando para obtener estas capacitaciones con Entidades Externas a costo "Cero" conforme disponibilidad de terceros. 
Es recomendable revisar las oportunidades de mejora en la ejecución de los recursos asignados los productos relacionados con el Plan Institucional de Capacitación, Plan de Bienestar e Incentivos y el Plan de Seguridad y Salud en el Trabajo.
</t>
    </r>
    <r>
      <rPr>
        <b/>
        <sz val="10"/>
        <color theme="1"/>
        <rFont val="Verdana"/>
        <family val="2"/>
      </rPr>
      <t>Dirección de Liquidaciones y Garantías.</t>
    </r>
    <r>
      <rPr>
        <sz val="10"/>
        <color theme="1"/>
        <rFont val="Verdana"/>
        <family val="2"/>
      </rPr>
      <t xml:space="preserve">
Se destaca la labor de la DLG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También se destaca por cumplir con la totalidad de actividades de proyectos estratégicos, con resultados satisfactorios de los indicadores de gestión, aportando de manera significativa al objetivo estratégico “Optimización de la liquidación, reconocimiento, giro y reintegro de la UPC, de las prestaciones económicas (PE), de la devolución de aportes y de la conciliación bancaria de cotizaciones” y “Gestión, análisis de información y consolidación de la transparencia”.
Es pertinente revisar las oportunidades de mejora en la ejecución de los recursos asignados a los siguientes productos:
• Controles de los procesos de liquidación y reconocimiento de UPC y de prestaciones económicas verificados y ajustados
• Procesos optimizados mediante desarrollos o ajustes tecnológicos
• Proceso de compensación
</t>
    </r>
    <r>
      <rPr>
        <b/>
        <sz val="10"/>
        <color theme="1"/>
        <rFont val="Verdana"/>
        <family val="2"/>
      </rPr>
      <t>Dirección de Otras Prestaciones.</t>
    </r>
    <r>
      <rPr>
        <sz val="10"/>
        <color theme="1"/>
        <rFont val="Verdana"/>
        <family val="2"/>
      </rPr>
      <t xml:space="preserve">
Se destaca la labor de la DOP en realización de actividades de proyectos estratégicos en las cuales cumplió, con resultados satisfactorios de los indicadores de gestión en las actividades de su plan de acción, aportando en el objetivo estratégico “Lograr calidad y oportunidad en los procesos de reconocimiento del aseguramiento”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Oficina Asesora de Planeación y Control de Riesgos.
</t>
    </r>
    <r>
      <rPr>
        <sz val="10"/>
        <color theme="1"/>
        <rFont val="Verdana"/>
        <family val="2"/>
      </rPr>
      <t xml:space="preserve">Se destaca la labor de la OAPCR en realización de actividades de apoyo transversal en las cuales se cumplió con resultados satisfactorios de los indicadores de gestión, aportando significativamente al objetivo estratégico “Garantizar la adecuación institucional mediante actividades transversales que complementen y sustenten el desempeño de los procesos misionales y estratégicos, así como el seguimiento continuo al cumplimiento de los objetivos de la Entidad”.
La actividad de "Publicación y Socialización de la versión actualizada de la Política del Sistema Integrado de Administración de Riesgos de la ADRES", programada para el periodo no presenta avance debido que esta política debe ser aprobada por la Junta Directiva para su posterior publicación.  Se incluyó este aspecto en la junta programada para el mes de agosto. 
</t>
    </r>
    <r>
      <rPr>
        <b/>
        <sz val="10"/>
        <color theme="1"/>
        <rFont val="Verdana"/>
        <family val="2"/>
      </rPr>
      <t>Dirección de Gestión de Recursos Financieros de la Salud.</t>
    </r>
    <r>
      <rPr>
        <sz val="10"/>
        <color theme="1"/>
        <rFont val="Verdana"/>
        <family val="2"/>
      </rPr>
      <t xml:space="preserve">
De acuerdo con los resultados reportados se destaca la labor de la DGRFS, en los resultados satisfactorios de los indicadores de gestión de la totalidad de las actividades de apoyo misional de su plan de acción, aportando de manera importante en el objetivo estratégico “Optimizar los procesos de recaudo, administración y pago de los recursos que se canalizan a través de la Entidad”
También se destaca en realización de actividades de apoyo transversal aportando en el objetivo estratégico “Garantizar la adecuación institucional mediante actividades transversales que complementen y sustenten el desempeño de los procesos misionales y estratégicos, así como el seguimiento continuo al cumplimiento de los objetivos de la Entidad”.
</t>
    </r>
    <r>
      <rPr>
        <b/>
        <sz val="10"/>
        <color theme="1"/>
        <rFont val="Verdana"/>
        <family val="2"/>
      </rPr>
      <t xml:space="preserve">CONCLUSIONES.
</t>
    </r>
    <r>
      <rPr>
        <sz val="10"/>
        <color theme="1"/>
        <rFont val="Verdana"/>
        <family val="2"/>
      </rPr>
      <t>1. El ejercicio de formulación de acciones para la vigencia y su seguimiento periódico ha permitido incentivar en las diferentes áreas de la entidad la cultura del autocontrol, la autoevaluación y el seguimiento sobre sus procesos y actividades.
2. El éxito para que las Oficinas y las dependencias técnicas logren cumplir al 100% las metas que definieron al inicio de la vigencia radican en la formulación adecuada de sus indicadores, puesto que los resultados logrados por medio de las mediciones mejoraran la planeación y permiten tomar decisiones con mayor certeza y confiabilidad.
3. La Oficina Asesora de Planeación y Control de Riesgos, siempre está atenta a solucionar cualquier inquietud y/o proporcionar el apoyo que requieren las diferentes dependencias de la ADRES en el establecimiento y documentación de los planes de mejoramiento o la redefinición de metas que consideren pertinentes.</t>
    </r>
  </si>
  <si>
    <t xml:space="preserve">Desarrollar la herramienta tecnológica en el Sistema de Gestión de PQRSD- CRM las funcionalidades que permitan medir tiempos de atención y satisfacción en el servicio brindado por el canal presencial. </t>
  </si>
  <si>
    <t>Sistema de Gestión de PQRSD- CRM con funcionalidades para medir tiempos de atención y satisfacción del usuario</t>
  </si>
  <si>
    <t># funcionalidades del Sistema de Gestión de PQRSD- CRM implementadas para medir tiempos de atención y satisfacción del usuario.</t>
  </si>
  <si>
    <t>Se modificó la actividad 11700-1-49, su producto, meta, indicador y valor toda vez que puede ser implementada en la herramienta del Sistema de Gestión de PQRSD- CRM mediante desarrollo tecnológico a cargo de la Dirección de las TIC. Además, se eliminó esta línea en el Plan Anual de Adquisiciones y se anuló el CDP No. 272 del 12 de abril de 2019, mediante el cual se certificó la apropiación por valor de $30.000.000.oo” para la “Adquisición, instalación y puesta en funcionamiento de un digiturno, de acuerdo a las especificaciones técnicas definidas por ADRES”.</t>
  </si>
  <si>
    <t>Relacionamiento con el ciudadano
Criterio Diferencial de Accesibilidad</t>
  </si>
  <si>
    <t>Normativo y procedimental
Lineamientos de transparencia pasiva
Monitoreo y Acceso a la Información Pública</t>
  </si>
  <si>
    <t>Normativo y procedimental
Lineamientos de transparencia pasiva</t>
  </si>
  <si>
    <t>Mecanismos para mejorar la atención al ciudadano
Mecanismos para la transparencia y el acceso a la información pública</t>
  </si>
  <si>
    <t>Talento Humano
Fortalecimiento de canales de atención</t>
  </si>
  <si>
    <t xml:space="preserve">
Talento Humano
Normativo y procedimental
Lineamientos de transparencia pasiva</t>
  </si>
  <si>
    <t>Talento Humano
Fortalecimiento de canales de atención
Lineamientos de transparencia pasiva</t>
  </si>
  <si>
    <r>
      <t xml:space="preserve">Se realizó Jornada de socialización </t>
    </r>
    <r>
      <rPr>
        <b/>
        <i/>
        <sz val="10"/>
        <rFont val="Verdana"/>
        <family val="2"/>
      </rPr>
      <t>(Ver "11700-1-14 1 Listado asistencia socialización roles y responsabilidades SST"; "11700-1-14 1Presentaciòn roles y responsabilidades SST. Diapositiva 8 y 9")</t>
    </r>
    <r>
      <rPr>
        <sz val="10"/>
        <rFont val="Verdana"/>
        <family val="2"/>
      </rPr>
      <t xml:space="preserve"> y divulgación de los roles y responsabilidades a todos los servidores públicos y partes interesadas realizada </t>
    </r>
    <r>
      <rPr>
        <b/>
        <i/>
        <sz val="10"/>
        <rFont val="Verdana"/>
        <family val="2"/>
      </rPr>
      <t>(Ver correo electrónico "Divulgación")</t>
    </r>
    <r>
      <rPr>
        <sz val="10"/>
        <rFont val="Verdana"/>
        <family val="2"/>
      </rPr>
      <t>. Producto evidenciado e informado mediante los documentos: "Informe febrero Contrato 69 de 2019 Radicado E000022201600" y el "Informe febrero Contrato 70 de 2019 Radicado E000022226400". De lo anterior cumpliendo al 100% con este indicador.
Esta jornada generó conciencia sobre los deberes y responsabilidades que tienen las partes interesadas en la ADRES sobre la implementación de unas políticas del Sistema de Gestión de Seguridad y Salud en el Trabajo.</t>
    </r>
  </si>
  <si>
    <r>
      <t xml:space="preserve">En el primer trimestre de 2019, se presentó un incidente de trabajo laboral, el cual fue investigado en compañía de los integrantes del COPASST, jefe inmediato y grupo de SST. </t>
    </r>
    <r>
      <rPr>
        <b/>
        <i/>
        <sz val="10"/>
        <rFont val="Verdana"/>
        <family val="2"/>
      </rPr>
      <t xml:space="preserve">(Ver producto "11700-1-19-1 Investigación de AT"). </t>
    </r>
    <r>
      <rPr>
        <sz val="10"/>
        <rFont val="Verdana"/>
        <family val="2"/>
      </rPr>
      <t>De lo anterior, soportado por los contratista de prestación de servicios mediante los documentos: "Informe marzo Contrato 69 de 2019 Radicado E000023713200" y el "Informe marzo Contrato 70 de 2019 Radicado E000022226400".</t>
    </r>
    <r>
      <rPr>
        <b/>
        <i/>
        <sz val="10"/>
        <rFont val="Verdana"/>
        <family val="2"/>
      </rPr>
      <t xml:space="preserve">
</t>
    </r>
    <r>
      <rPr>
        <sz val="10"/>
        <rFont val="Verdana"/>
        <family val="2"/>
      </rPr>
      <t xml:space="preserve">
Este producto permitió evidenciar la forma adecuada de atender, gestionar y registrar un incidente laboral. </t>
    </r>
  </si>
  <si>
    <r>
      <t xml:space="preserve">Se realizó actividad de celebración por el día internacional de la mujer en las instalaciones de la ADRES </t>
    </r>
    <r>
      <rPr>
        <b/>
        <i/>
        <sz val="10"/>
        <rFont val="Verdana"/>
        <family val="2"/>
      </rPr>
      <t>(Ver "11700-1-40-4 Invitación 1 día la mujer", "11700-1-40-4 Invitación 2 día la mujer", "Fotografías Dia de la Mujer")</t>
    </r>
    <r>
      <rPr>
        <sz val="10"/>
        <rFont val="Verdana"/>
        <family val="2"/>
      </rPr>
      <t>, cumpliendo al 100% con este indicador.
Esta actividad se realizó a costo "cero", a razón de que al corte del 29 de marzo de 2019, aún estaba en proceso de contratación.</t>
    </r>
  </si>
  <si>
    <t>Información de calidad y en formato comprensible
Evaluación y Retroalimentación a la Gestión Institucional</t>
  </si>
  <si>
    <t xml:space="preserve">La ADRES cuenta con una (1) sección de publicación de información habilitada en el sitio de transparencia de la página Web, la cual se ha ido organizando y complementando así:
* Se han publicado los procedimientos de los procesos que han sido actualizados y aprobados en el transcurso de este año, en la Subsección: Manuales Técnicos.
* Se incorporaron los links: Participación en la formulación de planes, proyectos y programas, como espacio de participación ciudadana; y Decisiones y/o políticas que afectan al público, en la cual se publican los actos administrativos de interés, importancia y relevancia para los grupos de valor y de interés de la ADRES.
La evidencia de lo anterior se encuentra en la carpeta correspondiente, denominada con el código del producto de esta actividad, y corresponde al pantallazo de la sección de Transparencia de  la página Web y de la información de cada uno de los links mencionados. </t>
  </si>
  <si>
    <t>Se aumentó la meta del producto 12000-1-6-2 incluyendo una reunión más de autocontrol para la OAPCR en el tercer trimestre, debido a que la OAPCR ha venido desarrollando mínimo una reunión de autocontrol trimestralmente, por lo que se ve la necesidad de reflejar esta realidad en el Plan de Acción.</t>
  </si>
  <si>
    <r>
      <t xml:space="preserve"># de seguimientos y evaluaciones de control interno realizadas en el trimestre 
</t>
    </r>
    <r>
      <rPr>
        <b/>
        <sz val="10"/>
        <rFont val="Verdana"/>
        <family val="2"/>
      </rPr>
      <t>Indicador Variable acumulado y de eficacia</t>
    </r>
  </si>
  <si>
    <r>
      <t xml:space="preserve"># de Informes Legales Internos presentados en cada trimestre </t>
    </r>
    <r>
      <rPr>
        <b/>
        <sz val="10"/>
        <rFont val="Verdana"/>
        <family val="2"/>
      </rPr>
      <t>Indicador Variable acumulado y de eficacia</t>
    </r>
  </si>
  <si>
    <r>
      <t xml:space="preserve"># de Informes Legales Externos presentados en cada trimestre </t>
    </r>
    <r>
      <rPr>
        <b/>
        <sz val="10"/>
        <rFont val="Verdana"/>
        <family val="2"/>
      </rPr>
      <t>Indicador Variable acumulado y de eficacia</t>
    </r>
  </si>
  <si>
    <r>
      <t xml:space="preserve"># de seguimientos realizados según normatividad vigente
</t>
    </r>
    <r>
      <rPr>
        <b/>
        <sz val="10"/>
        <rFont val="Verdana"/>
        <family val="2"/>
      </rPr>
      <t>Indicador acumulado y de eficacia</t>
    </r>
  </si>
  <si>
    <r>
      <t xml:space="preserve"># Boletines de Autocontrol socializados con los funcionarios de la ADRES 
</t>
    </r>
    <r>
      <rPr>
        <b/>
        <sz val="10"/>
        <rFont val="Verdana"/>
        <family val="2"/>
      </rPr>
      <t>Indicador acumulado</t>
    </r>
  </si>
  <si>
    <t xml:space="preserve">Se modifica la periodicidad de la actividad relacionada con el Plan Anual de Auditorías y se generan las reprogramaciones para III y IV trimestre, teniendo en cuenta que la auditoria al proceso de Gestión Jurídica Cobro Coactivo, asignada inicialmente a Ligia Andrea Florez, pasa para ejecución en octubre de 2019, por concepto de asignación de otras actividades prioritarias a la funcionaria. </t>
  </si>
  <si>
    <t>Diego Santacruz
Jefe de Control Interno</t>
  </si>
  <si>
    <r>
      <t>20190630</t>
    </r>
    <r>
      <rPr>
        <sz val="11"/>
        <rFont val="Calibri"/>
        <family val="2"/>
        <scheme val="minor"/>
      </rPr>
      <t xml:space="preserve">. Para este trimestre, conforme las directrices dadas por la OAPCR se deben realizar una reunión de autocontrol y seguimiento a los procesos que evidencien monitoreo a los riesgos, indicadores, planes de mejoramiento, manuales y documentos asociados. Para lo cual, el pasado 11 de junio de 2019 se llevó a cabo dicha reunión cuyas conclusiones fueron incluidas dentro del acta que se tuvo dicho día. Esta reunión contó con la participación de 07 integrantes de la DGTIC, conforme al listado de asistencia que como evidencia también se relaciona. Ver Evidencias Productos\II trimestre\Transversal\11600-2-7-1. De igual manera, se relaciona, copia del acta de dicha reunión. </t>
    </r>
  </si>
  <si>
    <r>
      <t>20190630</t>
    </r>
    <r>
      <rPr>
        <sz val="12"/>
        <rFont val="Calibri"/>
        <family val="2"/>
        <scheme val="minor"/>
      </rPr>
      <t>. Para este trimestre, esta actividad no tenía alcance definido.</t>
    </r>
  </si>
  <si>
    <t>Priorización de Trámites
Racionalización de Tramites</t>
  </si>
  <si>
    <r>
      <rPr>
        <b/>
        <sz val="10"/>
        <rFont val="Verdana"/>
        <family val="2"/>
      </rPr>
      <t xml:space="preserve">Nota: </t>
    </r>
    <r>
      <rPr>
        <sz val="10"/>
        <rFont val="Verdana"/>
        <family val="2"/>
      </rPr>
      <t>Además de los riesgos relacionados para cada actividad, aplican los riesgos identificados y asignados en los contratos con personas naturales y jurídicas que apoyarán la ejecución de cada uno de estos proyectos.
Los ítems en rojo fueron modificados o incluidos o cambiaron las metas del I Trimestre.</t>
    </r>
  </si>
  <si>
    <t xml:space="preserve">Modelo operativo del saneamiento definitivo </t>
  </si>
  <si>
    <t>Proyectos de decreto y resolución del MSPS para la reglamentación del saneamiento definitivo con observaciones y/o aportes por parte de ADRES</t>
  </si>
  <si>
    <t>Documento con insumos, recomendaciones, observaciones o  propuestas metodológicas frente a la implementación del mecanismo de techos  o presupuesto máximos.</t>
  </si>
  <si>
    <t xml:space="preserve">Proyecto de resolución de la ADRES para adoptar los lineamientos y específicas técnicas y operativas para la implementación del mecanismo de techos  o presupuesto máximos. </t>
  </si>
  <si>
    <t>Apoyar al Ministerio de Salud y Protección Social en la estructuración del saneamiento definitivo de las cuentas de recobro relacionadas con los servicios y tecnologías de salud no financiados con cargo a la UPC del régimen contributivo.</t>
  </si>
  <si>
    <t>Apoyar al Ministerio de Salud y Protección Social en la definición de los techos o presupuesto máximos que la ADRES transferirá a las EPS para financiar y gestionar los servicios y tecnologías en salud no financiados con la UPC.</t>
  </si>
  <si>
    <t>11400-1-2</t>
  </si>
  <si>
    <t>11400-1-2-2</t>
  </si>
  <si>
    <t>11400-1-2-1</t>
  </si>
  <si>
    <t># Documento que contengan el Modelo operativo del saneamiento definitivo elaborados</t>
  </si>
  <si>
    <t># Documentos (Proyectos de decreto y resolución del MSPS) con observaciones y/o aportes por parte de ADRES elaborados</t>
  </si>
  <si>
    <t># Documento con insumos, recomendaciones, observaciones o  propuestas metodológicas frente a la implementación del mecanismo de techos  o presupuesto máximos, remitidos al MSPS</t>
  </si>
  <si>
    <t xml:space="preserve"># Proyecto de resolución de la ADRES para adoptar los lineamientos y específicas técnicas y operativas elaborados. </t>
  </si>
  <si>
    <t>Cristina Arango
Directora General</t>
  </si>
  <si>
    <t>Alvaro Rojas
Director de Liquidaciones y Garantías</t>
  </si>
  <si>
    <t>Se incluyeron en el Plan Misional las actividades 11400-1-1 y 11400-1-2 con sus respectivos productos, metas e indicadores motivados por la necesidad de alinear los instrumentos de planeación institucionales con las prioridades de política pública definidas en el nuevo Plan Nacional de Desarrollo 2018-2022;  específicamente para dar cumplimiento a los Artículos 237 (Sostenibilidad financiera del SGSSS) y 240 (Estrategia de Techos o presupuesto máximo) de la Ley 1955 de 2019.</t>
  </si>
  <si>
    <t>Se retiró la actividad 11700-1-57 por disposición del Comité Institucional de Gestión y Desempeño, en razón a que la Participación de la ADRES en ferias de atención al ciudadano depende de la programación del Departamento Nacional de Planeación y de la alineación de las necesidades de cobertura e impacto de la ADRES con esa programación, y en consecuencia se podría incluir dentro de la política de participación ciudadano, y en ese sentido, no es necesaria en el Plan de Acción de la Entidad.</t>
  </si>
  <si>
    <t>Se amplía 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t>
  </si>
  <si>
    <t>La dependencia responsable de la actividad 11700-1-65 modifica  el valor inicialmente indicado en el Plan de Acción por (12,128,354,642.8), teniendo en cuenta la información del PAA que se tomó como referencia para el Plan lo cual se evidencia en el archivo remitido por la OAP, donde se tuvo en cuenta las líneas que no están asociadas a otra actividad que deban reportar las diferentes dependencias &lt;N.A&gt; y la línea de la actividad 11700-1-1, suma que asciende a 17,349,588,037, pero se ajusta así:
(-) 185,000,000 (valor excluido de la línea por ser reportado en la 11700-1-1);
(-) 4,340,984,721 (se excluye valor pendiente PAA en presupuesto);
Total asignado para la actividad 11700-1-65-1: $12,823,603,316 (AC).
En la columna AO se ajusta el valor así (de acuerdo a las modificaciones realizadas al PAA se incluyen primero los valores que aumentaron y segundo los valores que disminuyeron por modificación o fueron eliminadas del PAA):
(+) 1,580,000 modificación línea de carnés;
(+) 2,784,753,022 modificación línea Microsoft cat1
(-) 400,000,000 eliminación de línea piezas publicitarias;
(-) 20,000,000 eliminación de línea capacitación en riesgos;
(-) 6,700,000 modificación línea nómina;
(-) 10,273,678 modificación línea Ing. SharePoint;
(-) 2,784,753,022 eliminación de línea Centro de Datos;
(-) 41,940,360 modificación línea documentum;</t>
  </si>
  <si>
    <t>El responsable de las líneas de acción 11400-1-1-5 y 11400-1-1-6 ajusta el valor total y trimestrales, toda vez que el valor total de los contratos del Plan Anual de Adquisiciones relacionados con prestaciones económicas y devolución de aportes se encontraba en la actividad 11400-1-1-5, y la mitad de ese valor corresponde a devolución de aportes.</t>
  </si>
  <si>
    <t>El responsable de las siguientes líneas de acción realiza los siguientes ajustes, en concordancia con los cambios del Plan Anual de Adquisiciones del Primer Trimestre:
*11900-1-5 descripción de actividad, valor total programado y consecuentes valores  programados para los trimestres
*11900-1-13 y 11900-1-14 valor total programado y consecuentes valores  programados para los trimestres
*11900-1-7 y 11900-1-8 se retiran.</t>
  </si>
  <si>
    <t>Se ajusta la redacción de los productos con códigos: 11200-1-4-1, 11200-1-5-1, 11200-1-6-1 y 11200-1-7-1 y sus respectivos indicadores, con el fin de clarificarlos más. Con respecto a la actividad 11200-1-6 se incluyó otro indicador y $10.000.000 para su ejecución. A la actividad y 11200-1-7 también se le incluyo un indicador y su correspondiente meta.</t>
  </si>
  <si>
    <t>Se ajustó la redacción de los siguientes ítems:
* Producto con código 11500-1-1-2-1 y su respectivo indicador
* Actividad con código 11500-1-1-5 unificando sus indicadores en uno solo que reúne los dos.
* Actividad con código 11500-1-1-7 y su correspondiente indicador
* Indicador de la actividad con código 11500-1-1-8</t>
  </si>
  <si>
    <t xml:space="preserve">Se modifican los indicadores de la actividades 11900-1-11 en atención a que el objeto del contrato es la representación judicial en los procesos penales y el indicador de calificación debe reflejar dicha representación.
En lo que atañe a las denuncias, como sus movimientos dependen de un tercero (Fiscalía) no es factible la intervención en la totalidad de denuncias si no reportan movimiento, razón por la cual es necesario cambiar el indicador bajo parámetros que efectivamente muestren la gestión que adelanta la OAJ. </t>
  </si>
  <si>
    <t>Carlos Cáceres
Coordinador Grupo Interno de Gestión del Talento Humano</t>
  </si>
  <si>
    <t>Se ajustaron las metas de II y III trimestre de la actividad con código 11800-1-3 en razón a que se espera culminar el 30 de julio la actividad “Implementar el SARLAFT” y depende de varios factores entre estos la disponibilidad de tiempo de las dependencias involucradas.</t>
  </si>
  <si>
    <t>Se da cumplimiento al reporte correspondiente al tercer trimestre de 2019, el viernes 18 de octubre de 2019.</t>
  </si>
  <si>
    <r>
      <t xml:space="preserve">Se dio cumplimiento al avance del 46% correspondiente a la realización de 4 informes de seguimientos y evaluaciones de control interno realizadas en el trimestre. En la ruta </t>
    </r>
    <r>
      <rPr>
        <b/>
        <sz val="10"/>
        <rFont val="Verdana"/>
        <family val="2"/>
      </rPr>
      <t>\ADRES\Plan de Acción 2019 - Oficina Control Interno\Evidencias Productos\III trimestre\11800-1-2-1,</t>
    </r>
    <r>
      <rPr>
        <sz val="10"/>
        <rFont val="Verdana"/>
        <family val="2"/>
      </rPr>
      <t xml:space="preserve"> se encuentran 4 carpetas con los respectivos informes y soportes de cumplimiento.
1. GESTIÓN DE TECNOLOGIAS: Gestión de Cambios.
2. GESTIÓN CONTABLE Y CONTROL DE RECURSOS: UGG (Agosto)
3.GESTION DE TALENTO HUMANO 
SELECCIÓN DE PLANTA DE PERSONAL
GENERACIÓN Y LIQUIDACIÓN DE NOMINA
4. GESTIÓN DE RENTAS CEDIDAS</t>
    </r>
  </si>
  <si>
    <r>
      <t xml:space="preserve">Se dio cumplimiento al avance del 80% correspondiente a la realización de 5 informes para dar respuesta a los Requerimientos Legales Internos. En la ruta </t>
    </r>
    <r>
      <rPr>
        <b/>
        <sz val="10"/>
        <rFont val="Verdana"/>
        <family val="2"/>
      </rPr>
      <t>\ADRES\Plan de Acción 2019 - Oficina Control Interno\Evidencias Productos\III trimestre\11800-1-3-1</t>
    </r>
    <r>
      <rPr>
        <sz val="10"/>
        <rFont val="Verdana"/>
        <family val="2"/>
      </rPr>
      <t>, se encuentran 5 carpetas con los respectivos informes y soportes de cumplimiento.
1.	Seguimiento a las medidas de austeridad en el gasto público en ADRES (Informe Julio).
2.	Seguimiento Plan Anticorrupción (Informe  Septiembre).
3.	 Informe cuatrimestral y pormenorizado del estado del control interno de ADRES (Julio).
4.	Informe de Seguimiento a la ejecución del Plan de Acción, Plan Estratégico y Tablero de Control (Informe Agosto).
5.	Verificación, Seguimiento a la Implementación de Modelo de Seguridad y Privacidad de la Información - MSPI. Ministerio de las TIC. (Informe Julio).</t>
    </r>
  </si>
  <si>
    <r>
      <t>Se dio cumplimiento al avance del 94% correspondiente a la realización de 5 informes para dar respuesta a los Requerimientos Legales Externos. En la ruta \</t>
    </r>
    <r>
      <rPr>
        <b/>
        <sz val="10"/>
        <rFont val="Verdana"/>
        <family val="2"/>
      </rPr>
      <t>ADRES\Plan de Acción 2019 - Oficina Control Interno\Evidencias Productos\III trimestre\11800-1-4-1</t>
    </r>
    <r>
      <rPr>
        <sz val="10"/>
        <rFont val="Verdana"/>
        <family val="2"/>
      </rPr>
      <t>, se encuentran 5 carpetas con los respectivos informes y soportes de cumplimiento.
1.	Seguimiento al Plan de Mejoramiento con la CGR, cargue al SIRECI (informe Julio). 
2.  Revisión y envío de la Gestión Contractual del Trimestre a la CGR, a través del SIRECI (Reporte Julio).
3.	Expedir certificación dirigida a  la AGENCIA NACIONAL DE DEFENSA JURIDICA DEL ESTADO en e-KOGUI. (Certificación septiembre).
4.	Informe del Estado de Ejecución del Presupuesto de la Entidad (Informe Septiembre) .
5.	Seguimiento y Evaluación Mapa de Riesgos Institucional y de corrupción (Informe Septiembre).</t>
    </r>
  </si>
  <si>
    <r>
      <t>Se da cumplimiento al avance del 100% correspondiente a la emisión de 1 informe de seguimiento al cumplimiento del Plan de Mejoramiento con la CGR, soportes que se encuentran en la ruta \</t>
    </r>
    <r>
      <rPr>
        <b/>
        <sz val="10"/>
        <rFont val="Verdana"/>
        <family val="2"/>
      </rPr>
      <t xml:space="preserve">ADRES\Plan de Acción 2019 - Oficina Control Interno\Evidencias Productos\III trimestre\11800-1-5-1. </t>
    </r>
    <r>
      <rPr>
        <sz val="10"/>
        <rFont val="Verdana"/>
        <family val="2"/>
      </rPr>
      <t xml:space="preserve">
* Informe Plan de Mejoramiento CGR II Semestre 2018
* Certificado_SIRECI Julio</t>
    </r>
  </si>
  <si>
    <r>
      <t xml:space="preserve">Se da cumplimiento al avance del 75% correspondiente a la emisión de 3 Boletines de autocontrol. En la ruta </t>
    </r>
    <r>
      <rPr>
        <b/>
        <sz val="10"/>
        <rFont val="Verdana"/>
        <family val="2"/>
      </rPr>
      <t>\ADRES\Plan de Acción 2019 - Oficina Control Interno\Evidencias Productos\III trimestre\11800-1-6-</t>
    </r>
    <r>
      <rPr>
        <sz val="10"/>
        <rFont val="Verdana"/>
        <family val="2"/>
      </rPr>
      <t xml:space="preserve">1 se encuentran los 3 boletines emitidos por la OCI correspondientes a los meses de julio, agosto y septiembre de 2019. 
1.Boletín No. 7 - MIPG y sus dimensiones .
2.Boletín No. 8 - Principios de MIPG.
3.Boletín No. 9 - CLASIFICACION DE LAS ACTIVIDADES DE CONTROL </t>
    </r>
  </si>
  <si>
    <t xml:space="preserve">
Seguimiento a Mapas de Riesgo realizado en carpeta TEAMS.</t>
  </si>
  <si>
    <r>
      <rPr>
        <b/>
        <sz val="10"/>
        <rFont val="Verdana"/>
        <family val="2"/>
      </rPr>
      <t>20190930</t>
    </r>
    <r>
      <rPr>
        <sz val="10"/>
        <rFont val="Verdana"/>
        <family val="2"/>
      </rPr>
      <t>.
Para el producto “Estadísticas de registros de las auditorias preventivas por entidad con errores”, se definió el indicador “# Registros corregidos en la BDUA / # Registros notificados en auditorias preventivas”. Por lo tanto, para el presente seguimiento se obtuvo un cumplimiento del 2.5%, el cual corresponde a: 
# Registros corregidos en la BDUA igual a 53.770
# Registros notificados en auditorias preventivas igual a 231.070
Teniendo en cuenta que la meta anual se definió como 10% y por lo tanto la meta trimestral quedo en 2.5 %, el comportamiento del indicador para este periodo de medición fue 100% frente a la meta. Sin embargo, teniendo en cuenta la dinámica del reporte de correcciones realizadas por las EPS se encuentra que adicionalmente al cumplimiento de la META se llevó a cabo la corrección de 47.994 registros más. 
El soporte de medición de la evidencia para la actual actividad se encuentra en Evidencia\III trimestre\Estratégico\11600-1-1-1-1. 
Ahora bien, teniendo en cuenta que esta actividad tiene asociados recursos financieros a continuación, se relaciona la ejecución de estos.
Se tiene definidos 3 contratistas, los cuales son:
•	Andrés Guillermo Bruce. Quien tiene el contrato 045 de 2019 y cuyo valor total es por $48.960.000 y valor mensual de $4.080.000.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AndrésGuillermoBruce.
•	Sergio Luis Antonio García. Quien tiene el contrato 046 de 2019 y cuyo valor total es por $48.960.000 y valor mensual de $4.080.00. Cuya fecha de ingreso fue el 29/01/2019. Para el seguimiento actual se ha pagado un total de $8.160.000 y se tiene por pagar un valor de $4.080.000. La evidencia de los pagos realizados y de las cuentas de cobro se encuentran dentro de la ruta Evidencia\III trimestre\Estratégico\11600-1-1-1-1\ SergioLuisAntonioGarcía.
•	William Andrés Páez. Quien tiene el contrato 061 de 2019 y cuyo valor total es por $48.960.000 y valor mensual de $4.080.000. Cuya fecha de ingreso fue el 13/02/2019. Para el seguimiento actual se ha pagado un total de $8.160.000 y se tiene por pagar un valor de $4.080.000. La evidencia de los pagos realizados y de las cuentas de cobro se encuentran dentro de la ruta Evidencia\III trimestre\Estratégico\11600-1-1-1-1\ WilliamAndrésPáez.
Por lo tanto, para el presente seguimiento, se tenía definido un total de $36.720.000, de los cuales hasta el momento se han causado obligaciones por un valor de $36.720.000 dando un cumplimiento de 100.00 %.</t>
    </r>
  </si>
  <si>
    <r>
      <rPr>
        <b/>
        <sz val="10"/>
        <rFont val="Verdana"/>
        <family val="2"/>
      </rPr>
      <t>20190930.</t>
    </r>
    <r>
      <rPr>
        <sz val="10"/>
        <rFont val="Verdana"/>
        <family val="2"/>
      </rPr>
      <t xml:space="preserve">
Para los productos “Apoyo técnico para respuestas a PQRSD relacionadas con BDUA”, se definió el indicador “# PQRSD BDUA atendidas en términos de ley en el trimestre / #PQRSD BDUA recibidas con fecha máxima de respuesta en el trimestre”. Por lo tanto, para el presente seguimiento se obtuvo un cumplimiento del 99.94%, el cual corresponde a: 
SGD
# PQRSD BDUA atendidas en términos de ley en el trimestre igual a 999
#PQRSD BDUA recibidas con fecha máxima de respuesta en el trimestre igual a 1.036 
CRM
# PQRSD BDUA atendidas en términos de ley en el trimestre igual a 980
#PQRSD BDUA recibidas con fecha máxima de respuesta en el trimestre igual a 1.069 
Teniendo en cuenta que la meta anual se definió como 100% y por lo tanto la meta trimestral quedo en 25%, el comportamiento del indicador para este periodo de medición fue 24.93%.
El soporte de medición de la evidencia para la actual actividad se encuentra en Evidencia\III trimestre\Estratégico\11600-1-1-1-4 y corresponde al archivo 11600-1-1-1-4.xlsx. </t>
    </r>
  </si>
  <si>
    <r>
      <rPr>
        <b/>
        <sz val="10"/>
        <rFont val="Verdana"/>
        <family val="2"/>
      </rPr>
      <t>20190930.</t>
    </r>
    <r>
      <rPr>
        <sz val="10"/>
        <rFont val="Verdana"/>
        <family val="2"/>
      </rPr>
      <t xml:space="preserve">
Para los productos “Apoyo en soporte, desarrollo y mantenimiento e integración de aplicativos misionales”, se definió el indicador “# Requerimientos de aplicaciones misionales atendidos en términos de ANS para el trimestre/ # Requerimientos de aplicaciones misionales programados en términos de ANS”. Por lo tanto, para el presente seguimiento se obtuvo un cumplimiento del 99.79%, el cual corresponde a: 
# Requerimientos de aplicaciones misionales atendidos en términos de ANS para el trimestre igual a 902 
# Requerimientos de aplicaciones misionales recibidos en términos de ANS igual a 1164 
Teniendo en cuenta que la meta anual se definió como 100% y por lo tanto la meta trimestral quedo en 25%, el comportamiento del indicador para este periodo de medición fue 19.37%.
El soporte de medición de la evidencia para la actual actividad se encuentra en Evidencia\III trimestre\Estratégico\11600-1-1-2-1. 
Ahora bien, teniendo en cuenta que esta actividad tiene asociados recursos financieros a continuación, se relaciona la ejecución de estos.
Se tiene definidos 4 contratistas, los cuales son:
•	Claudia Milena Soler. Quien tiene el contrato 0047 de 2019 y cuyo valor total es por $ 61.642.068 y valor mensual de $5.136.839. Cuya fecha de ingreso fue el 29/01/2019. Para el seguimiento actual se ha pagado un total de $ 10.273.678 y se tiene por pagar un valor de $5.136.839. La evidencia de los pagos realizados y de las cuentas de cobro se encuentran dentro de la ruta Evidencia\III trimestre\Estratégico\11600-1-1-2-1\ ClaudiaMilenaSoler.
•	Cristian Russi. Quien tiene el contrato 065 de 2019 y cuyo valor total es por $61.642.068 y valor mensual de $5.136.839. Cuya fecha de ingreso fue el 06/02/2019. Para el seguimiento actual se ha pagado un total de $ 10.273.678 y se tiene por pagar un valor de $5.136.839. La evidencia de los pagos realizados y de las cuentas de cobro se encuentran dentro de la ruta Evidencia\III trimestre\Estratégico\11600-1-1-2-1\ CristianRussi.
•	Jorge Suarez. Quien tiene el contrato 062 de 2019 y cuyo valor total es por $48.960.000 y valor mensual de $4.080.000. Cuya fecha de ingreso fue el 04/02/2019. Para el seguimiento actual se ha pagado un total de $8.160.000 y se tiene por pagar un valor de $4.080.000. La evidencia de los pagos realizados y de las cuentas de cobro se encuentran dentro de la ruta Evidencia\III trimestre\Estratégico\11600-1-1-2-1\ JorgeSuarez.
•	Yuly Margoth Otalora. Quien tiene el contrato 035 de 2019 y cuyo valor total es por $48.960.000 y valor mensual de $4.080.000. Cuya fecha de ingreso fue el 24/01/2019. Para el seguimiento actual se ha pagado un total de $8.160.000 y se tiene por pagar un valor de $4.080.000. La evidencia de los pagos realizados y de las cuentas de cobro se encuentran dentro de la ruta Evidencia\III trimestre\Estratégico\11600-1-1-2-1\ YulyMargothOtalora.
Adicionalmente, dentro de esta actividad y frente al plan de adquisiciones de la entidad se tenían 3 rubros:
•	Prestar servicios profesionales y asesoría especializada a la Dirección de Gestión de Tecnologías de Información y Comunicaciones en la implementación, soporte, mantenimiento, actualización e integración de los aplicativos que soportan las operaciones misionales de la Entidad. Por valor de $91.878.120. La cual hasta el momento no se han contratado y por consiguiente no se ha pagado valor alguno.
Por lo tanto, para el presente seguimiento, se tenía definido un total de $251.979.557, de los cuales hasta el momento se han causado obligaciones por un valor de $55.301.034.
Ahora bien, así como se informó en el seguimiento del trimestre anterior, cabe aclarar que conforme con el Plan Anual de Adquisiciones, se retiraron rubros por valor de $364.000.000 y $277.671.089, por lo tanto, la meta anual de la presente actividad debe ser $ 366.247.140 y una meta trimestral por valor de $91.561.785. 
Se solicita hacer el ajuste de los valores dentro del plan de acción.</t>
    </r>
  </si>
  <si>
    <r>
      <rPr>
        <b/>
        <sz val="10"/>
        <rFont val="Verdana"/>
        <family val="2"/>
      </rPr>
      <t>20190930</t>
    </r>
    <r>
      <rPr>
        <sz val="10"/>
        <rFont val="Verdana"/>
        <family val="2"/>
      </rPr>
      <t>. El día 30 de agosto de 2019, en compañía del proveedor ECOMIL se llevó acabo la reunión de inicio del proyecto de planeación, diagnóstico, alistamiento, implementación y monitoreo para la adopción del protocolo IPV6 para lo cual para el presente seguimiento se adjunta en la ruta se encuentran dentro de la ruta Evidencia\III trimestre\Transversal\ 11600-2-2-1 El archivo acta20190830_Inicio.pdf; así como, el cronograma de trabajo definido en común acuerdo entre las partes ver Evidencia\III trimestre\Transversal\ 11600-2-2-1.
Ahora bien, frente al pago, se indica que el proveedor ECOMIL tiene asignado contrato 154 de 2019 y cuyo valor total es por $196.161.810 M/CTE incluido IVA. Cuya fecha de inicio fue el 30/08/2019. Para el seguimiento actual se tiene por pagar un valor de $19.616.181. el cual corresponde al 10% del valor total del contrato, conforme al pliego de condiciones definido dentro de la etapa Precontractual. 
De igual manera, se confirma que se solicitó la liberación de recursos por un valor de $ 7.400.415,00, esto conforme al radicado número S11610040919021609I000003156700
La evidencia de los pagos realizados y de las cuentas de cobro se encuentran dentro de la ruta Evidencia\III trimestre\Transversal\ 11600-2-2-1.</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</si>
  <si>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</si>
  <si>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xml:space="preserve">. Para este trimestre, esta actividad no tenía alcance definido, frente al cumplimiento de la meta del indicador.
Sin embargo, se aclara que desde el pasado 16 de agosto se inicio la contratación de dos ingenieros, para lo cual se relaciona a continuación el avance frente a los pagos.
•	Carlos Guarín. Quien tiene el contrato 0147 de 2019 y cuyo valor total es por $62.475.000 y valor mensual de $12.495.000. Cuya fecha de ingreso fue el 16/08/2019. Para el seguimiento actual se ha pagado un total de $6.247.000. La evidencia de los pagos realizados y de las cuentas de cobro se encuentran dentro de la ruta Evidencia\III trimestre\Transversal\11600-2-5-1\ carlosGuarin.
•	Perla Rojas. Quien tiene el contrato 0147 de 2019 y cuyo valor total es por $52.500.000 y valor mensual de $10.500.000. Cuya fecha de ingreso fue el 27/08/2019. Para el seguimiento actual se ha pagado un total de $1.400.000. La evidencia de los pagos realizados y de las cuentas de cobro se encuentran dentro de la ruta Evidencia\III trimestre\Transversal\11600-2-5-1\ perlaRojas.
En el momento de generación del presente informe los ingenieros no habían radicado las cuentas correspondientes del mes de septiembre. </t>
    </r>
  </si>
  <si>
    <r>
      <rPr>
        <b/>
        <sz val="10"/>
        <rFont val="Verdana"/>
        <family val="2"/>
      </rPr>
      <t>20190930</t>
    </r>
    <r>
      <rPr>
        <sz val="10"/>
        <rFont val="Verdana"/>
        <family val="2"/>
      </rPr>
      <t xml:space="preserve">. Para este trimestre, conforme las directrices dadas por la OAPCR se debe realizar una reunión de autocontrol y seguimiento a los procesos que evidencien monitoreo a los riesgos, indicadores, planes de mejoramiento, manuales y documentos asociados. Para lo cual, el pasado 26 de septiembre de 2019 se llevó a cabo dicha reunión cuyas conclusiones fueron incluidas dentro del acta que se tuvo dicho día. Esta reunión contó con la participación de 04 integrantes de la DGTIC, conforme al listado de asistencia que como evidencia también se relaciona. Ver Evidencias Productos\III trimestre\Transversal\11600-2-7-1. De igual manera, se relaciona copia del acta de dicha reunión. </t>
    </r>
  </si>
  <si>
    <r>
      <rPr>
        <b/>
        <sz val="10"/>
        <rFont val="Verdana"/>
        <family val="2"/>
      </rPr>
      <t>20190930</t>
    </r>
    <r>
      <rPr>
        <sz val="10"/>
        <rFont val="Verdana"/>
        <family val="2"/>
      </rPr>
      <t>. Para este trimestre, esta actividad no tenía alcance definido</t>
    </r>
  </si>
  <si>
    <r>
      <rPr>
        <b/>
        <sz val="10"/>
        <rFont val="Verdana"/>
        <family val="2"/>
      </rPr>
      <t>20190930</t>
    </r>
    <r>
      <rPr>
        <sz val="10"/>
        <rFont val="Verdana"/>
        <family val="2"/>
      </rPr>
      <t>.
Conforme lo definido en el mes de julio (Ver: III trimestre\Transversal\11600-2-15-1\_PROCEDIMIENTOS_ - Cronograma definido.msg) se definió el cronograma de trabajo de los para la elaboración y aprobación de los procedimientos relacionados con Seguridad de la Información. Para lo cual, se precisó que para el tercer trimestre se tendrían elaborados 5 procedimientos. Los cuales eran:
1.	Procedimiento de mantenimiento de equipos
2.	Procedimiento de gestion de capacidad
3.	Procedimiento de gestión de usuarios y contraseñas (ingreso seguro a los sistemas de información)
4.	Procedimiento gestión de incidentes de seguridad
5.	Procedimiento Recuperación de desastres – DRP
Conforme a esta programación se indica que el pasado 19 de septiembre se remitieron a la OAPCR los procedimientos 3, 4 y 5 del anterior listado, los cuales ya se encontraban revisados de manera conjunta por los coordinadores y el director de la DGTIC y se encontraban listos para una vez ser validados por la OAPCR fueran aprobados. Así los procedimientos 1 y 2 fueron remitidos a la OAPCR para que se surta el mismo flujo de revisión y aprobación.</t>
    </r>
  </si>
  <si>
    <r>
      <rPr>
        <b/>
        <sz val="10"/>
        <rFont val="Verdana"/>
        <family val="2"/>
      </rPr>
      <t>20190930</t>
    </r>
    <r>
      <rPr>
        <sz val="10"/>
        <rFont val="Verdana"/>
        <family val="2"/>
      </rPr>
      <t>. Dentro del plan de capacitación y sensibilización se definió el modelo de sensibilización frente a Seguridad de la información que se llevará a cabo para 2019 Para lo cual, se definió realizar una sensibilización por trimestre en una duración estimada de 15 días. Para este trimestre, se realizó el material que se utilizó para tal fin, contando con el apoyo de Comunicación (dirección general) ver Evidencia\III trimestre\Transversal\11600-2-16.
Esta actividad no tiene relacionado recurso financiero.</t>
    </r>
  </si>
  <si>
    <t>Para este trimestre se cuenta con un cumplimiento del 42% con respecto al cronograma del SARLAFT  y del 87% en el acumulado del año.  Para la implementación del SARLAFT, se avanzó en la identificación de roles y responsabilidades, Polìticas, instrumentos, procedimientos, documentación y capacitación.</t>
  </si>
  <si>
    <t>Se apoyó en la elaboración del Plan de Continuidad del Negocio, el cual tiene como finalidad la definición de lineamientos para asegurar la continuidad del negocio en la ADRES. Junto a esto se presentaron documentos complementarios, los cuales son: 1) Plan de Recuperación de Desastres y 2) Plan de Continuidad del Negocio.
Las evidencias se encuentran en la carpeta 12000-1-2-1
1) Cronograma de actividades PCN
2) Plan de Continuidad del Negocio ADRES
3) Proyecto DRP
El acumulado total es el 100%, dado que se cumplio la ejecucuón de las 14 actividades programadas</t>
  </si>
  <si>
    <t>Actividad cumplida al 100% a la fecha.</t>
  </si>
  <si>
    <r>
      <t xml:space="preserve">Las políticas fueron presentadas y aprobadas en junta directiva del 15 de agosto y posteriormente fueron publicadas en la página Web de la ADRES en la ruta:  </t>
    </r>
    <r>
      <rPr>
        <sz val="10"/>
        <color theme="4"/>
        <rFont val="Verdana"/>
        <family val="2"/>
      </rPr>
      <t>Transparencia / 6. Planeación / Manuales Técnicos / Política de Administración de Riesgos.</t>
    </r>
    <r>
      <rPr>
        <sz val="10"/>
        <rFont val="Verdana"/>
        <family val="2"/>
      </rPr>
      <t xml:space="preserve">
Link de acceso directo: </t>
    </r>
    <r>
      <rPr>
        <u/>
        <sz val="10"/>
        <color theme="4"/>
        <rFont val="Verdana"/>
        <family val="2"/>
      </rPr>
      <t xml:space="preserve">https://www.adres.gov.co/Portals/0/ADRES/Planeación/ADRI-P01_Política%20de%20Administración%20de%20Riesgos.pdf?ver=2019-09-06-154115-530
</t>
    </r>
    <r>
      <rPr>
        <sz val="10"/>
        <rFont val="Verdana"/>
        <family val="2"/>
      </rPr>
      <t>El acta de la mencionada sesión de Junta Directiva, donde se evidencia la aprobación de las políticas se encuentra en la carpeta de la herramienta colaborativa correspondiente a este producto. Ruta:</t>
    </r>
    <r>
      <rPr>
        <sz val="10"/>
        <color theme="4"/>
        <rFont val="Verdana"/>
        <family val="2"/>
      </rPr>
      <t xml:space="preserve"> Oficina Asesora de Planeación / III Trimestre / 12000-1-5-1.</t>
    </r>
  </si>
  <si>
    <r>
      <t xml:space="preserve">La socialización de las políticas fue complementada en el III Trimestre con su publicación en el Boletín Sintonía ADRES del 24 de septiembre de 2019, enviado por correo electrónico a todos los colaboradores de la ADRES. Así mismo, a  30 de septiembre quedó aprobada la presentación de la Rendición de Cuentas Interna a efectuarse el 7 de octubre, en la cual se incluyó la  socialización de la política en el slide 103.  
Las evidencias se encuentran en la carpeta de la herramienta colaborativa correspondiente a este producto. Ruta: </t>
    </r>
    <r>
      <rPr>
        <sz val="10"/>
        <color theme="4"/>
        <rFont val="Verdana"/>
        <family val="2"/>
      </rPr>
      <t>Oficina Asesora de Planeación / III Trimestre / 12000-1-5-2</t>
    </r>
    <r>
      <rPr>
        <sz val="10"/>
        <rFont val="Verdana"/>
        <family val="2"/>
      </rPr>
      <t>.</t>
    </r>
  </si>
  <si>
    <r>
      <t xml:space="preserve">Para el tercer trimestre no se tiene programado entregable para esta actividad. 
En la sesión del Comité de Gestión y Desempeño efectuada el 10 de septiembre, se aprobó la ampliación del plazo establecido en Plan de Mejoramiento con la OCI, para la identificación de riesgos en la Entidad con corte al 31 de octubre, toda vez que la forma más eficiente de realizar el proceso de identificación de riesgos en la Entidad es generando inicialmente el levantamiento o actualización de los procedimientos, actividad que se encuentra en proceso.
En la carpeta de la herramienta colaborativa correspondiente a este producto, se encuentra el acta de la sesión del comité que soporta la modificación descrita. Ruta: </t>
    </r>
    <r>
      <rPr>
        <sz val="10"/>
        <color theme="4"/>
        <rFont val="Verdana"/>
        <family val="2"/>
      </rPr>
      <t>Oficina Asesora de Planeación / III Trimestre / 12000-1-6-1</t>
    </r>
  </si>
  <si>
    <t>Para el tercer trimestre no se tiene programado entregable para esta actividad.</t>
  </si>
  <si>
    <r>
      <t xml:space="preserve">El 12 de septiembre la OAPCR realizó la reunión de autocontrol del trimestre objeto de reporte. La evidencia se encuentra en la carpeta de la herramienta colaborativa correspondiente a este producto. Ruta: </t>
    </r>
    <r>
      <rPr>
        <sz val="10"/>
        <color theme="4"/>
        <rFont val="Verdana"/>
        <family val="2"/>
      </rPr>
      <t>Oficina Asesora de Planeación / III Trimestre / 12000-1-6-2.</t>
    </r>
  </si>
  <si>
    <t>En el trimestre se requirió realizar 7 solicitudes a las áreas. Los soportes están en la carpeta de evidencias.</t>
  </si>
  <si>
    <t>Se reportó por parte de los responsables avance con corte a agosto de 2019 de los 16 autodiagnósticos establecidos de MIPG. A la carpeta de evidencias se sube el soporte.</t>
  </si>
  <si>
    <r>
      <t xml:space="preserve">Para el tercer trimestre no se tiene programado entregable para esta actividad. 
En el tercer trimestre se ejecutaron $18.666.667 del contrato de prestación de servicio No. 143 de 2019 por concepto del apoyo para la elaboración del Plan Estratégico de la ADRES del periodo 2019 - 2023. Las evidencias de la ejecución presupuestal se encuentran en el Informe de cumplimiento de avance de obligaciones contractuales y pago correspondiente a los meses de agosto y septiembre, los cuales están ubicados en la  en la carpeta de la herramienta colaborativa correspondiente a este producto. Ruta: </t>
    </r>
    <r>
      <rPr>
        <sz val="10"/>
        <color theme="4"/>
        <rFont val="Verdana"/>
        <family val="2"/>
      </rPr>
      <t>Oficina Asesora de Planeación / III Trimestre / 12000-1-3-1.</t>
    </r>
  </si>
  <si>
    <t xml:space="preserve">Durante el tercer trimestre del año 2019 (julio a septiembre), se recibieron por parte de la Firma Auditora dos (2) paquetes de recobros (0418_1_1 y 1118_1). Los dos (2) paquetes fueron validados e informados por la Dirección de Otras Prestaciones a la Unión Temporal.
La ADRES mediante oficio identificado en el SGD con el número S11510120819041734S000026554800 de fecha 12 de agosto de 2019, efectuó la devolución de los paquetes 0418_1_1 y 1118_1 informando a la firma auditora, Unión Temporal Auditores de Salud (Contrato 080), las inconsistencias y las causas de la devolución de cada paquete.
</t>
  </si>
  <si>
    <t>Fueron validados por la Dirección de Otras Prestaciones de la ADRES 34 paquetes de reclamaciones de los 37 requeridos para validación.</t>
  </si>
  <si>
    <t xml:space="preserve">En el tercer trimestre de 2019, la Dirección de Otras Prestaciones efectuó el seguimiento de los paquetes de recobros y reclamaciones. El seguimiento fue registrado en el formato de Excel adoptado por esta Dirección. _x000D_
_x000D_
Los citados formatos se diligencian con las fechas de remisión, las fechas de revisión por parte de la ADRES, fechas de conciliación, cantidades, valores y observaciones derivadas del seguimiento._x000D_
</t>
  </si>
  <si>
    <t xml:space="preserve">Se solicitaron y se resolvieron los siguientes apoyos técnicos: en julio de 2019, se tramitaron 133 solicitudes de apoyos técnicos, en agosto 111 y en septiembre 101, para un total de 345 solicitudes de apoyos técnicos resueltos por la Dirección de Otras Prestaciones en el tercer trimestre de 2019._x000D_
 _x000D_
Se informa que el valor asignado para el desarrollo de la actividad en el primer trimestre corresponde al valor pagado a los contratistas (del 01 de abril al 30 de junio de 2019)_x000D_
</t>
  </si>
  <si>
    <t xml:space="preserve">Los avances realizados en el marco de la optimación y sistematización del proceso de auditoría integral de recobros y reclamaciones, se adelantaron las siguientes actividades: _x000D_
_x000D_
Recobros:_x000D_
_x000D_
Resultados de la prueba piloto y retroalimentación con las EPS. Inicio del Piloto II de la reingeniería de recobros, resultados y asistencias técnicas._x000D_
_x000D_
Se adjunta una presentación (PPT) en la cual se evidencia el avance de cada una de las etapas (diapositiva # 8, 9 y 10)_x000D_
_x000D_
Reclamaciones:_x000D_
_x000D_
En cuanto a reclamaciones, en virtud de la circular 005, a partir del 1 de agosto de 2019, se inició la transición para la radicación a través de la herramienta dispuesta en la WEB, recibiendo en la ventanilla de radicación de la ADRES los medios ópticos con los soportes de las reclamaciones, eliminando el documento físico en papel._x000D_
_x000D_
Se adjunta copia de la circular No. 005 con la cual se informó a las entidades reclamantes incluidas en el registro especial de prestadores de servicios de salud respecto de la radicación electrónica de reclamaciones._x000D_
</t>
  </si>
  <si>
    <t xml:space="preserve">En el tercer trimestre del año en curso se efectuaron los pagos de los paquetes ART112030915EPS037_01, ART112041015EPS037_01, GT010117EPS016_04, GT020216EPS016_10, GT030316EPS016_10, GT040416EPS016_10, GT050516EPS016_08, GT071116EPS016_01, GT051017 y GT061117_x000D_
_x000D_
Los memorandos de las ordenaciones corresponden a los números identificados en el SGD con los radicados S11210280619035955I000002880800 para los paquete ART112030915EPS037_01 y ART112041015EPS037_01, S11510010819091253I000003030500 para los giros de los paquetes GT010117EPS016_04, GT020216EPS016_10, GT030316EPS016_10, GT040416EPS016_10, GT050516EPS016_08, GT071116EPS016_01 y S11510080819074244I000003055100 para los paquetes por Glosa Trasversal GT051017 y GT061117_x000D_
</t>
  </si>
  <si>
    <t xml:space="preserve">Se efectuaron las publicaciones de los giros de recobros de los meses de julio, agosto y septiembre de 2019 en la página web de la ADRES, en donde se informaron los pagos de los giros previos, los giros de los desistimientos y los giros de los paquetes por Glosa Trasversal. </t>
  </si>
  <si>
    <t>Se ordenaron (35) paquetes de reclamaciones durante los meses de julio, agosto y septiembre de 2019 correspondientes a los números 28936, 28993, 29286, 29297, 29578, 29766, 30026, 30362, 30730, 31073, 30723, 30637, 30636, 30689, 31119, 31039, 31154, 31299, 31329, 31468, 31469, 31467, 31466, 31376, 31375, 31373, 31817, 31979, 31928, 32508, 32530, 32623, 32506, 32527 y 32579.</t>
  </si>
  <si>
    <t>Se efectuaron las publicaciones de los (35) paquetes de reclamaciones girados en el tercer trimestre del año.</t>
  </si>
  <si>
    <t>Se efectuó una reunión de autocontrol en la Dirección de Otras Prestaciones en la cual se revisaron los temas asociados a los Planes de Mejoramiento, los Manuales Técnicos de la DOP, Riegos, Plan de Acción e Indicadores.</t>
  </si>
  <si>
    <t>En el tercer trimestre del año se continuó la labor de adelantamiento de la reingeniería del proceso de reclamaciones dentro del cual se contempla la actualización del formulario FURPEN. Esta actualización se efectuará durante en el transcurso del año 2019.</t>
  </si>
  <si>
    <t xml:space="preserve">Mediante los memorandos identificados en el SGD con los números S11510280819021501I000003131400, S11510280819023535I000003131700, S11510270919095130I000003266900 y S11510270919101820I000003267200 se efectuaron las Ordenaciones del Gasto para el Giro Previo de Recobros de los meses de julio, agosto y septiembre de 2019. 
Adicionalmente, con el memorando identificado en el SGD con los números S11510300719072024I000003018600 se efectuó la ordenación del gasto para el Giro Previo (Ajustado) de Recobros de los meses de agosto, septiembre, octubre, noviembre y diciembre de 2018.
Para el giro previo ajustado de agosto a diciembre de 2018, se efectuaron dos ordenaciones adicionales correspondientes a las EPS Medimás y Saludvida, las cuales se identifican con los SGD S11510010819044528I000003032900 y S11510010819051125I000003033200.
En total se efectuaron 8 ordenaciones del gasto por concepto de giro previo de recobros.
</t>
  </si>
  <si>
    <t>Durante el III trimestre de 2019, la DGRFS elabora el "Documento Interno de Política de Inversiones" de la URA, para la aprobación de dicha política se creará el Comité de Inversiones y Riesgos de ADRES, igualmente se presenta propuesta de la metodología de cupos de contrapartes de la DGRFS, que delimita el conjunto de entidades con que la DGRFS puede operar, la definición de límites para dichas entidades y algunas consideraciones en caso de sobrepasos a estos límites. Se anexa a la carpeta compartida por la OAPCR: Presentación de la metodología y "Documento Interno de Política de Inversiones".</t>
  </si>
  <si>
    <t xml:space="preserve">Durante el III Trimestre de 2019, se realizaron los respectivos Informes de Ejecución Presupuestal de la URA, los cuales fueron enviados al Ministerio de Hacienda y Crédito Público, Ministerio de Salud y Protección Social, Departamento Nacional de Planeación, Oficina Asesora de Planeación y Control de Riesgos, adicionalmente a Comunicaciones ADRES, para publicación mensual en el link https://www.adres.gov.co/La-Entidad/Información-financiera/URA/Ejecución-presupuestal-URA. Como evidencia se anexa a la carpeta compartida por la OAPCR las ejecuciones presupuestales del III Trimestre de 2019, oficios remisorios de las EP al Ministerio de Hacienda y evidencia en word pantallazo publicación EP en la página de la ADRES._x000D_
</t>
  </si>
  <si>
    <t>Entre el trimestre de julio a septiembre de 2019, se registraron 126.402 partidas recaudadas, de las cuales se identificaron 126.375 durante el trimestre. La gestión en la identificación de las partidas recaudadas se efectúa aplicando las actividades contenidas en el Manual de Gestión de Recaudo y Fuentes de Financiación; lo cual ha permitido tener la identificación en el 99,98% en el trimestre. En este contexto, se anexa a la carpeta compartida por la OAPCR, la relación de registros de recaudos identificados Vs. Total de Registros recaudos en el II Trimestre._x000D_
_x000D_
Se anexa a la carpeta compartida por la OAPCR, las cuentas de cobros radicadas del trimestre, las cuales evidencian la ejecución de los recursos asignados y programados entre julio a septiembre de 2019.</t>
  </si>
  <si>
    <t xml:space="preserve">En el III Trimestre de2019 se recibieron Ordenes de Pago por parte del Grupo de Gestión de Contable, por un valor de $11.229.843.031.492,90 de las cuales de efectúa un total de Giros de 60.847 (cantidad evidenciada en el aplicativo ERP) por valor de $11.163.227.307.326,60, Se anexa a la carpeta compartida por la OAPCR, la relación de de pagos efectuados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</si>
  <si>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 xml:space="preserve">En el III trimestre se generaron 63 Boletines Diarios: 22 en julio, 20 en agosto y 21 en septiembre de 2019; donde se registran los recursos por transacciones bancarias, se anexa a la carpeta compartida por la OAPCR, la relación de boletines diarios realizados durante el III Trimestre de 2019._x000D_
_x000D_
Durante el IiI trimestre de 2019, se ejecutó los recursos asignados y programados a los contratistas del Grupo de Gestión de Pagos y Portafolio. Se anexa a la carpeta compartida por la OAPCR, los informes de cumplimiento de avance de obligaciones contractuales y pago y consolidado de pagos en formato Excel. </t>
  </si>
  <si>
    <t>Durante el III trimestre de 2019, se realizaron los respectivos Estados Financieros de la URA, los cuales se encuentran publicados en la página de la ADRES en el link https://www.adres.gov.co/La-Entidad/Información-financiera/URA/Estados-financieros, se anexa a la carpeta compartida por la OAPCR los Estados Financieros del III Trimestre de 2019  y evidencia en word pantallazo publicación EF en la página de la ADRES._x000D_
_x000D_
Durante el III trimestre de 2019, se ejecutó los recursos asignados y programados a los contratistas del Grupo de Gestión Contable y Control de Recursos. Se anexa a la carpeta compartida por la OAPCR, los informes de cumplimiento de avance de obligaciones contractuales y pago, consolidado de pagos en formato Excel.</t>
  </si>
  <si>
    <r>
      <rPr>
        <b/>
        <sz val="10"/>
        <rFont val="Verdana"/>
        <family val="2"/>
      </rPr>
      <t>20190930</t>
    </r>
    <r>
      <rPr>
        <sz val="10"/>
        <rFont val="Verdana"/>
        <family val="2"/>
      </rPr>
      <t>. Teniendo en cuenta los informes de auditoría de la Oficina de Control Interno frente al proceso de Gestión de Recaudo de la Dirección de Gestión Financiera de los Recursos de la Salud, en la cual se generaron las siguientes observaciones.
OBSERVACIÓN 7: Se identificó un nivel de riesgo alto al realizar las validaciones de manera manual en el Procedimiento MUI Web,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8: Al revisar los manuales de explotación y de usuario del aplicativo Modulo Único de Ingresos (MUI), herramienta utilizada por el proceso de recaudos para el desarrollo de sus actividades diarias y de propiedad de la ADRES, se evidenció que los manuales se encuentran desactualizados, con logos de FOSYGA y de fecha de actualización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MUI.
OBSERVACIÓN 11: Se identificó un nivel de riesgo alto al realizar las validaciones de manera manual, debido a que los cruces se realizan comparando cifras entre varios archivos, pero no existe una guía de criterios o pasos específicos, que indiquen al funcionario como realizar la actividad y tampoco se tiene establecido como organizar la evidencia de los cruces realizados, actividades que son realizadas a juicio del encargado.  Este tipo de riesgo debe ser contemplado en la Matriz de Riesgos del Proceso.
El Manual Operativo de Soporte a las Tecnologías en su procedimiento Gestión de Requerimientos, contempla la categorización de los requerimientos realizados por el proceso según el Catálogo de Servicios, por tal motivo, el desarrollo solicitado deberá ser incluido en el formato PLAN DE MEJORAMIENTO, donde la DIGTIC quede como responsable del desarrollo del requerimiento y tiempos de cumplimiento, para corregir estas observaciones.
OBSERVACIÓN 12: Al revisar el manual de usuario del aplicativo REX - Régimen de Excepción, herramienta utilizada por el proceso de recaudos para el desarrollo de sus actividades diarias y de propiedad de la ADRES, se evidenció que el manual se encuentra desactualizado, con logos de FOSYGA y de fecha de actualización de septiembre de 2017, tampoco se encuentran documentados los últimos desarrollos realizados en el aplicativo, quebrantando los controles de seguridad propuestos en la Guía No. 8 del Modelo de Seguridad y Privacidad de la Información de MIN TIC a través de la adopción de las buenas prácticas enunciadas en los numerales A.14.2.2 Procedimientos de control de cambios en sistemas, que indica que los cambios a los sistemas dentro del ciclo de vida de desarrollo se deberán controlar mediante el uso de procedimientos formales de control de cambios y poner a disposición de todos los usuarios que los necesiten, lo que no permite que exista un documento técnico actualizado para consulta y asesoría frente al aplicativo REX.
Para lo cual, en el año 2018 por parte del director de la DGTIC, se decide que dentro del plan de adquisiciones y el plan de acción de 2019 se tendría un presupuesto asignado para Contratar el servicio de documentación de los servicios TI y Sistemas de Información. 
Ahora bien, dentro de la planeación del “Plan de Acción” para 2019 se determinó el indicador “# Manuales documentados/ # manuales requeridos”; en el cual, se definió una meta del 100% con cumplimiento final en el IV trimestre de 2019. Los manuales que se habían definido como requeridos fueron:
•	Manual de usuario REX
•	Manual de explotación REX
•	Manual de usuario MUI
•	Manual de explotación MUI
Los cuales correspondían a los requeridos dentro del plan de mejoramiento entregado a la OCI y que conforme a la planeación debían ser entregados a finalizar el mes de julio.
Sin embargo, dentro de la definición de la línea del “Plan de Acción”, se definió un cumplimiento inicial para este trimestre del 20% previendo situaciones relacionadas al proceso de contratación que retrasaran el desarrollo de los manuales.
Ahora bien, ya en la ejecución se determinó hacer el desarrollo de los 4 manuales ya referenciados con recurso propio de la DGTIC; para lo cual, se logró el cumplimiento del 100% del desarrollo de la meta propuesta en el 3er trimestre y adicionalmente, no se empleó recursos económicos conforme a lo presupuestado.</t>
    </r>
  </si>
  <si>
    <r>
      <rPr>
        <b/>
        <sz val="10"/>
        <rFont val="Verdana"/>
        <family val="2"/>
      </rPr>
      <t>20190930</t>
    </r>
    <r>
      <rPr>
        <sz val="10"/>
        <rFont val="Verdana"/>
        <family val="2"/>
      </rPr>
      <t>. Para este trimestre, esta actividad no tenía alcance definido. Sin embargo, De manera colaborativa con la OAPCR se trabajó en la construcción de la Política Integral de Administración de Riesgos, en la cual se incluyen los riesgos de Corrupción, Operativos y de Seguridad de la información. La cual fue aprobada mediante el acta 03 del pasado 12 de junio de 2019 y fueron presentadas y aprobadas en junta directiva del 15 de agosto y posteriormente fueron publicadas en la página Web de la ADRES en la ruta:  Transparencia / 6. Planeación / Manuales Técnicos / Política de Administración de Riesgos.
Link de acceso directo: https://www.adres.gov.co/Portals/0/ADRES/Planeación/ADRI-P01_Política%20de%20Administración%20de%20Riesgos.pdf?ver=2019-09-06-154115-530
El acta de la mencionada sesión de Junta Directiva, donde se evidencia la aprobación de las políticas se encuentra en la carpeta de la herramienta colaborativa correspondiente a este producto. Ruta: Oficina Asesora de Planeación / III Trimestre / 12000-1-5-1.</t>
    </r>
  </si>
  <si>
    <t>Durante este trimestre no hubo avances respecto a esta actividad, ya que el proceso para el diseño, desarrollo, implementación y soporte técnico del nuevo portal web e intranet de la ADRES bajo la plataforma Microsoft SharePoint se declaró desierto luego de cumplir con el debido proceso en la plataforma SECOP</t>
  </si>
  <si>
    <t>En la carpeta se adjuntan evidencias del desarrollo de la actividad.</t>
  </si>
  <si>
    <t>En carpeta adjunta están los soportes de las actividades llevadas a cabo para el desarrollo de las piezas audiovisuales de la Rendición de Cuentas de la ADRES, así como su cubrimiento y trasmisión en línea.</t>
  </si>
  <si>
    <t>En carpeta se adjuntan las evidencias de la campaña de sensibilización sobre la importantancia de la rendición de cuentas. Además se desarrolló un formulario online para que los funcionarios y contratistas aportaran sus preguntas respecto a la gestión de ADRES. https://forms.office.com/Pages/ResponsePage.aspx?id=0EBigKM7AkGYTE9dbxs7xOyCRMq3eb5OmHt4WychfttUNko2VEFPVzlISk5VMzBTMTg4VU43WkJJVi4u</t>
  </si>
  <si>
    <t>En carpeta se adjuntan las evidencias de la campaña llevada a cabo para la Rendición de Cuentas de la ADRES. Además en el siguiente link se puede consultar la campaña a través de Twitter: https://twitter.com/search?q=%23RecursosQueSeConviertenEnSalud&amp;src=typed_query&amp;f=live</t>
  </si>
  <si>
    <t>En Carpeta se adjunta informe de Rendición de Cuentas y evidencia de su publicación en el sitio web de la entidad.</t>
  </si>
  <si>
    <t>En carpeta adjunta está el video de la transmisión y las fotos de la Audiencia Pública de Rendición de Cuentas de la ADRES</t>
  </si>
  <si>
    <t>Esta actividad no se desarrolló durante el tercer trimestre del año, ya que la audiencia quedó programada para el 07 de octubre de 2019.</t>
  </si>
  <si>
    <t>En carpeta adjunta se encuentran los soportes de las reuniones llevadas a cabo con líderes del sector salud y la Audiencia Pública de Rendición de Cuentas</t>
  </si>
  <si>
    <t>Durante este periodo no se desarrollaron actividades referentes. Estas serán presentadas en el IV trimestre.</t>
  </si>
  <si>
    <t>En carpeta adjunta se encuentran los soportes de los talleres de flujo de recursos llevados a cabo durante el tercer trimestre del año.</t>
  </si>
  <si>
    <t>Durante este trimestre no se llevaron a cabo actividades referentes a la estrategia de comunicación interna de la ADRES.</t>
  </si>
  <si>
    <t>En carpeta se adjunta documento con la estrategia de comunicación digital.</t>
  </si>
  <si>
    <t>Para el saneamiento de aportes patronales de régimen especial se generaron las notificaciones de deuda, de las actas de conciliación y se cargaron los anexos técnicos 3 y 4 en la plataforma PISIS de acuerdo con la Resolución 1545. En el saneamiento de aportes patronales de SGP continuó la conciliación de la cuentas SGP con las EPS logrando la conciliación de 12 de ellas.
Con cargo a esta actividad se ejecuta el contrato de prestación de servicios No. 036_2019.</t>
  </si>
  <si>
    <t>En el trimestre no se programó ninguna optimización.
Con cargo a esta actividad se ejecutan los contratos de prestación de servicios No. 094_2019, 0114_2019 y 0117_2019.</t>
  </si>
  <si>
    <t>Fueron efectuados ajustes  durante el trimestre, como la ejecución de procesos desde la intranet con ventana de monitoreo.
Fue creada la glosa GB114 (tipo de afiliado adicional no tiene días permitidos en la BDUA). También fue creada la glosa GB113 con el fin de que las cotizaciones recibidas por planillas tipo O y tipo U no sean compensados.
Fue ajustado el script de preliquidación para fallecidos y PR.
Con cargo a esta actividad se ejecuta el contrato de prestación de servicios No. 043_2019.</t>
  </si>
  <si>
    <t>Fueron ejecutados 12 procesos de compensación en los tiempos establecidos por norma.
Con cargo a esta actividad se ejecutan los contratos de prestación de servicios No. 040 y 042_2019.</t>
  </si>
  <si>
    <t>En el tercer trimestre fueron radicadas  852 solicitudes de prestaciones económicas de regímenes especiales o exceptuados, a 30 de septiembre 850 solicitudes se encontraban en términos de respuesta. 
Con cargo a esta actividad se ejecuta el contrato de prestación de servicios No.059_2019.</t>
  </si>
  <si>
    <t>En el tercer trimestre fueron radicadas  153 solicitudes de devolución de aportes de regímenes especiales o exceptuados, a 30 de septiembre 153 solicitudes se encontraban en términos de respuesta. 
Con cargo a esta actividad se ejecuta el contrato de prestación de servicios No. 060_2019.</t>
  </si>
  <si>
    <t>En el tercer trimestre se efectuaron tres (3) procesos de Liquidación Mensual de Afiliados, uno por mes, en los tiempos establecidos en la normativa vigente, se  generó la certificación y la bitácora de cada proceso como se evidencia en las evidencias de esta actividad.</t>
  </si>
  <si>
    <t>Fueron efectuados tres procesos de prestaciones económicas en los tiempos establecidos.</t>
  </si>
  <si>
    <t>Se ejecutó la auditoría ARS_BDEX003 en la cual se identificaron hallazgos para 46 EPS del régimen subsidiado y la auditoría ARCON_BDEX003 que generó hallazgos para 47 EPS del régimen contributivo.
A cada EPS se remitió una solicitud de aclaración según la normativa vigente. Ver anexo "11400-1-1-9.xlsx".</t>
  </si>
  <si>
    <t>Durante el periodo se elaboraron los siguientes documentos:  
1) Divergencia en los valores unitarios facturados de los medicamentos recobrados durante el año 2017 y 
2) Servicios y tecnologías no incluidas en el Plan de Beneficios en Salud con cargo a la UPC: Quiénes son sus beneficiarios?</t>
  </si>
  <si>
    <t xml:space="preserve">De acuerdo con la reunión sostenida con la Oficina Asesora de Planeación  se acordó que el indicador quedará  así:  Para el III trimestre la organización, digitalización y transferencia del archivo documental de gestión correspondiente a la serie tutelas de los meses de abril, mayo, junio y julio de 2018. El valor ejecutado corresponde al valor promedio mensual del contrato Interadministrativo N.088-2019 suscrito con Servicios Postales Nacionales 4-72 en el componente de archivo, se suben a la carpeta de evidencias los informes mensuales de  julio y agosto, septiembre esta pendiente finalizar tramite por un componente de envíos.. </t>
  </si>
  <si>
    <t>Se elaboran, validan  y firman las Tablas de Retención Documental V2, lasa cuales se adjuntan como evidencia.</t>
  </si>
  <si>
    <t xml:space="preserve">Se entrega resultado de las actividades encaminadas a determinar el valor aproximado de la valoración documental del archivo recibido de los anteriores administradores fiduciarios, documento denominado "INFORME FINAL ESTUDIO ECONÓMICO VALORECIÓN DOCUMENTAL.
Adicionalmente, se aoprtan las evidencias del proceso realizado (Reuniones, propuestas, invitaciones a participar, constancias de entrega).
</t>
  </si>
  <si>
    <t>N/A Reporte para el Trimestre.</t>
  </si>
  <si>
    <t>Se elabora proyecto del Plan Operativo de Gestión documetal dede el 2 de agosto de 2019, posteriormente se recibe retroalimentación del documento en septiembre 2, se realizan las modificaciones sugeridas y se remite el documento para aprobación de la Dirección DAF, se  anexa el documento.
A partir del 12 de agosto se adoptaron y estsan siendo utilizados los formatos para a disposición final de residuos solidos y peligrosos (se anexo formato).</t>
  </si>
  <si>
    <t>Se realiza actualización de la matriz de requisitos legales, la cual evidencia el documento en formato Excel y soporte de envío mediante correo electrónico al supervisor del contrato. Para el siguiente trimestre se continuará con la formalización ante la Oficina Asesora de Planeación y Control de Riesgos.
Producto evidenciado e informado mediante el documento: "Informe septiembre Contrato 70 de 2019".</t>
  </si>
  <si>
    <t>Desde el mes de febrero de 2019 se ha levantado la documentación necesaria que constituye el SG-SST en cumplimiento con la normatividad, de la cual, en el mes de junio fue enviada a la OAPCR toda esta información por parte del GIGTH (Ver correo electrónico). Posteriormente se inició el proceso de revisión, análisis y definición de estructura conforme a los lineamientos de la entidad; seguidamente la elaboración de ajustes solicitados sobre la metodología en cuanto a los formatos definidos por la OAPCR y ajustes conforme actualizaciones y requerimientos de la Resolución 0312 de 2019, de los cuales en el tercer trimestre se realizaron en conjunto con el supervisor del contrato 69 - 70 (ver informes, se relacionan actividades en las cuentas de cobro del los meses de Febrero, abril, mayo, junio, julio, septiembre); insumos que se encuentran en revisión por parte del Coordinador del Grupo Interno de Gestión del Talento Humano, (ver correo electrónico). De esta manera se contempla para el próximo trimestre, finalizar con el proceso de formalización de dicha documentación ante la OAPCR.
El 25 de octubre de 2019 se aclara el reporte de valores ejecutados para el plan de SG-SST</t>
  </si>
  <si>
    <t>Este producto fue elaborado, informado y cobrado (ver Informe septiembre Contrato 70 de 2019, se relaciona en cuenta de cobro del mes de abril y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</si>
  <si>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
Adicionalmente se relizó lo siguiente: Se verifica el programa de orden y aseo y se realizan inspecciones en piso 17 - 18 y archivo central, del cual se genera informe de orden y aseo. Se desarrolla SKETCH ORDEN Y ASEO, con el fin de socializar el programa de orden y aseo bajo metodología de las 5S. Se mantiene evidencia bajo registro fotográfico de las inspecciones.</t>
  </si>
  <si>
    <t>Este producto fue elaborado, informado y cobrado (ver Informe septiembre Contrato 70 de 2019). Las evidencias que soportan este producto fueron remitidas por la ARL POSITIVA durante el tercer trimestre de los corrientes.</t>
  </si>
  <si>
    <t>Este producto fue elaborado, informado y cobrado (ver Informe septiembre Contrato 70 de 2019, se relaciona en cuenta de cobro del mes de mayo). Consecuente con el producto "Realizar verificación y actualización de los documentos del SG-SST según requerimientos del decreto 1072 de 2015 y Resolución 1111 de 2017". Se contempla para el próximo trimestre, finalizar con el proceso de formalización de dicha documentación ante la OAPCR.</t>
  </si>
  <si>
    <t>No hay meta establecida para este trimestre.
En la solicitud de cambios del plan de acción realizado en el mes de mayo y junio de 2019, para este indicador se solicitó la meta de un (1) producto anual y se dejara en trimestre 3 de cumplimiento. De la cual esta línea, producto 11700-1-16-1, está repetida en la celda 188</t>
  </si>
  <si>
    <t xml:space="preserve">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 </t>
  </si>
  <si>
    <t>Ver control de cambios del plan de acción 2019: "Se retiran las actividades con códigos: 11700-1-17, 11700-1-18 y 11700-1-21 teniendo en cuenta que se dará cumplimiento mediante el contrato de prestación de servicios Número 69 y/o 70 de 2019. El rol de la entidad será hacer seguimiento"</t>
  </si>
  <si>
    <t xml:space="preserve">En el tercer trimestre de 2019, se presentaron tres (3) eventos de accidentes de trabajo, los cuales fueron investigados. (Ver informes, certificado, correos electrónicos). De lo anterior, soportado por los contratista de prestación de servicios mediante los informes de cumplimiento de obligaciones contractuales (Ver Informe septiembre Contrato 69 de 2019 e Informe septiembre Contrato 70 de 2019).
Este producto permitió evidenciar la forma adecuada de atender, gestionar y registrar un incidente laboral. </t>
  </si>
  <si>
    <t>Se realiza reunion con el COPASST, realizando seguimiento a inspecciones realizadas, relacionando compromisos para la siguiente reunion. Se realizó divulgación del programa de inspecciones y metodología para el desarrollo del mismo, así mismo se socializaron formatos y documento programa de inspecciones. (Ver listado de asistencia y material presentado; ver Informe septiembre Contrato 69 de 2019)</t>
  </si>
  <si>
    <t xml:space="preserve">Ver control de cambios del plan de acción 2019: "Se eliminan las actividades con códigos: 11700-1-22 y 11700-1-23 Dado que intervienen Entidades externas y adicionalmente para el presente año aún está en diseño la estructura de la SG-SST, por lo cual aún no se proyecta ni es procedente fijar fechas de auditorías internas ni a proveedores." </t>
  </si>
  <si>
    <t>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t>
  </si>
  <si>
    <t xml:space="preserve">Se solicitó al Director Administrativo y Financiero, la eliminación de esta línea sobre el Plan de Adquisiciones de la presente vigencia, del cual fue justificado y postergado para el próximo año. (Ver oficio con radicado No.  0000033414 del 8 de octubre de 2019 y ver correo electrónico)  </t>
  </si>
  <si>
    <t>El producto "Capacitación de Sistema de Seguridad Social realizada" continua con atraso, teniendo en cuenta que su consecución es de forma gratuita y el GIGTH dependende de la respuesta a las gestiones que se han adelantado así: Se enviaron correos electrónicos los días 13 de febrero, 28 de mayo y 20 de junio de 2019 al Director de Liquidaciones y Garantías solicitando información sobre contactos a los que se les pueda solicitar capacitación gratuita por austeridad del gasto. El 24 de julio, 27 de agosto y el 4 de septiembre se enviaron correos a la ESAP, solicitando capacitación para este tema, previa reunión de trabajo con el Departamento de Capacitación. A la fecha no se ha recibido respuesta a los requerimientos.
De acuerdo con lo anterior, se continúa postergando su ejecución (ver correos electrónicos y documento Excel con el seguimiento al cronograma de capacitaciones)</t>
  </si>
  <si>
    <t xml:space="preserve">En el tercer trimestre de 2019 se realizó de forma gratuita, la capacitación de Administración de personal sector publico y legislación laboral evidenciado mediante listados de asistencia, la cual fue desarrollada en las instalaciones de la ADRES a cargo de una funcionaria del Departamento de la  Función Pública (ver trazabilidad en el documento Excel con el seguimiento al cronograma de capacitaciones) </t>
  </si>
  <si>
    <t xml:space="preserve">En el tercer trimestre de 2019 se realizó de forma gratuita, la capacitación de Contratación Estatal evidenciado mediante correos electrónicos, la cual fue desarrollada en las instalaciones de la ESAP (ver trazabilidad en el documento Excel con el seguimiento al cronograma de capacitaciones) </t>
  </si>
  <si>
    <t>En el tercer trimestre de 2019 se realizaron tres (3) capacitaciones: i. Big Data, ii. Trabajo en Equipo y Comunicación Asertiva, iii. Código de Integridad (Ética) evidenciadas mediante listados de asistencia e informes de cumplimiento de obligaciones contractuales por parte del Operador Externo.</t>
  </si>
  <si>
    <t xml:space="preserve">En el tercer trimestre de 2019 se realizó la capacitación de Sostenibilidad Ambiental evidenciado mediante listados de asistencia, la cual fue desarrollada en las instalaciones de la ADRES a cargo de una contratista del Grupo Interno de la Gestión del Talento Humano, porfesional de Seguridad y Salud en el Trabajo (ver trazabilidad en el documento Excel con el seguimiento al cronograma de capacitaciones e Informe septiembre Contrato 70 de 2019) </t>
  </si>
  <si>
    <t>El producto "Capacitación de Buen Gobierno realizada" continua con atraso, teniendo en cuenta que su consecución es de forma gratuita y el GIGTH dependende de la respuesta a las gestiones que se han adelantado así: Se ha hecho seguimiento de programaciones en la página de la ESAP y no se refleja programación a través del vínculo  http://sirecec3.esap.edu.co/Cliente/CursosEsap?tipo=CA Se envió correo los días 19 de junio de 2019 y 11 y  27 de julio a Función Pública, sin que se haya obtenido respuesta a la fecha. 
De acuerdo con lo anterior, se continúa postergando su ejecución (ver correos electrónicos y documento Excel con el seguimiento al cronograma de capacitaciones)</t>
  </si>
  <si>
    <t>El producto "Capacitación de Gestión Documental realizada" continua con atraso, teniendo en cuenta que su consecución es de forma gratuita y el GIGTH dependende de la respuesta a las gestiones que se han adelantado así: Se enviaron solitudes a la ESAP mediante correos electrónicos de fechas 11 de abril, 19 de junio .6 y 27 de agosto de 2019. Ante la falta de respuesta, se envió solicitud al Archivo General de la Nación el 2 de septiembre de 2019. A la fecha no se ha recibido respuesta a la solicitud.
De acuerdo con lo anterior, se continúa postergando su ejecución (ver correos electrónicos y documento Excel con el seguimiento al cronograma de capacitaciones)</t>
  </si>
  <si>
    <t>En el tercer trimestre de 2019 se realizó de forma gratuita, la capacitación de Bilingüismo evidenciado mediante correos electrónicos, la cual fue desarrollada en las instalaciones de la ADRES a cargo de una funcionaria del Departamento de la  Función Pública y un funcionario del SENA, generado de un programa o convenido liderado por la DAFP (ver trazabilidad en el documento Excel con el seguimiento al cronograma de capacitaciones).
Este producto estaba programado para el último trimestre de del año, del cual se adelantó su ejecución a fin de ajustarse a la programación de la DAFP y con el propósito de generar resultados en la presente vigencia.</t>
  </si>
  <si>
    <t>El producto "Capacitación de Desarrollo Territorial y Nacional realizada" continua con atraso, teniendo en cuenta que su consecución es de forma gratuita y el GIGTH dependende de la respuesta a las gestiones que se han adelantado así: Se ha realizado solicitud a la DAPF, ante la falta de respuesta, se solicitó al Director Administrativo y Financiero, su eliminación debido a que la misma no aparece en los portafolios de servicios de la ESAP y el DAFP.   
De acuerdo con lo anterior, se continúa postergando su ejecución (ver correos electrónicos y documento Excel con el seguimiento al cronograma de capacitaciones)</t>
  </si>
  <si>
    <t>En el tercer trimestre de 2019 se realizó Inducción institucional, evidenciada a través de correos electrónicos. 
La cual permitió dar a conocer a los Servidores Públicos posesionados, las generalidades, aspectos informativos referente al funcionamiento de la ADRES, así como los lineamientos de tramites administrativos en el Grupo Interno de Gestión del Talento Humano y el link para consultar la estructura organizacional de la ADRES.</t>
  </si>
  <si>
    <t xml:space="preserve">La Reinducción necesita insumos por parte de todas la dependencias, por lo cual se ha realizado un proceso de actualización de información generada por varios actores del sistema en la ADRES; finalizará su recepción de información, consolidación y revisión a que haya lugar por parte del GIGTH y la Dirección Administrativa y Financiera en el último trimestre de la vigencia y posterior desarrollo a los servidores públicos de la Entidad. (ver correos electrónicos y documento Excel con el seguimiento al cronograma de capacitaciones) </t>
  </si>
  <si>
    <t>En atención a lo reportado del indicador de procesos "Cumplimiento del Plan Anual de Bienestar e Incentivos": En el tercer trimestre de la vigencia 2019, se evidenció un resultado del 42,9%, desarrollando tres (3) actividades (Ver registros fotográficos y correos electrónicos): 
1. Olimpiadas deportivas: Fútbol 5, Tenis de mesa, Bolos.
2. Día de la familia.
3. Pausas activas.
De las cuales se habían programado siete (7) actividades en el periodo, (Ver Seguimiento cronograma Bienestar e Incentivos 30 de septiembre de 2019) 1. Olimpiadas deportivas, 2. Cine, 3. Taller de Cocina, 4. Día de la Familia, 5. Pausas Activas, 6. Gimnasio, 7. Medición de clima laboral.
Cabe resaltar que en el reporte del trimestre anterior, se evidenció que la actividad Plan Prepensionados, se reprogramó para el último trimestre del año, por lo cual para el presente periodo no figura como "programada".
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
Las actividades de: Cine, Taller de Cocina y Gimnasio están contratadas con operador externo mediante contrato No. 121 de 2019, de los cuales, los supervisores realizaron seguimientos para garantizar su ejecución en el tercer trimestre, (a excepción de Taller de Cocina que se reprogramó) sin embargo, al no obtener resultados, se considera suscribir plan de mejoramiento en el mes de octubre de 2019 contemplando lo evidenciado en los periodos anteriores. (Ver acta de seguimiento, plan de mejoramiento y registro de materialización de riesgos). 
De lo anterior, por tal razón tampoco es posible evidenciar informes de supervisión a fin de soportar el valor asignado para el desarrollo de las mencionadas actividades.</t>
  </si>
  <si>
    <t>Para la medición del clima laboral se reprograma para el último trimestre de la vigencia, dado que en el periodo anterior se gestión con terceros a fin de poder obtenerla de forma gratuita, sin embargo al no alcanzar dicho propósito, la ADRES designa presupuesto para la ejecución de esta actividad, por lo tanto durante el segundo trimestre se logran evidencias solo de avances sobre la adjudicación de este proceso. (ver correos electrónicos).</t>
  </si>
  <si>
    <t xml:space="preserve">En la página web de la ADRES en el link de transparencia se evidencia el Manual de  Funciones actualizado (ver imagen y copia digital del acto administrativo), del cual fue comunicado a todos los servidores públicos mediante correo electrónico. Sin embargo, una vez socializada la actualización del manual, algunas dependencias de la ADRES generaron nuevas solicitudes a fin de ajustar fichas del mismo, por lo cual: El GIGTH está en proceso de actualización del Manual de Funciones acuerdo con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(ver correos electrónicos) </t>
  </si>
  <si>
    <t xml:space="preserve">El GIGTH está en proceso de actualización del Manual de Funciones acuerdo a los requerimientos enviados por la Oficina Asesora Jurídica, la Dirección de Liquidaciones y Garantías, la Dirección de Recursos Financieros de la Salud y la Dirección de Otras Prestaciones. Cumplida esa actividad, se procederá en el siguiente trimestre a la apertura de la OPEC y su actualización en el aplicativo SIMO. </t>
  </si>
  <si>
    <t>Se incluyen los informes de supervisión de JULIO, AGOSTO Y SEPTIEMBRE. Para este trimestre se suman los pagos realizados de los meses de Julio, agosto y septiembre por un valor de $133.987.440 los cuales contienen el incremento salarial del 2019 aprobados por el gobierno nacional. Se adjuntan los informes de supervisión. Se realizaron 20.331 atenciones por el call center con un nivel de abandono del 6,78% y un 93,22% orientaciones gestionadas acorde con los niveles de sercio acordados en el Acuerdo Marco.</t>
  </si>
  <si>
    <t>Para este período se realizaron 6 boletines de información de interés para los servidores públicos: trámite interno de las PQRSD, uso correcto de la herramienta del CRM  al dar respuesta por correo electrónico y se realizó capacitación a los funcionarios encargados del trámite de las PQRSD en la entidad sobre la R/668 y Control disciplinario, Información en el Boletín No. 4 10 de septiembre.</t>
  </si>
  <si>
    <t>Durante este período se realizaron dos reunión de planeación del CENTRO ESPECIALIZADO DE ATENCIÓN AL CIUDADANO del MinSalud y se participó en la mesa de trabajo de implementación de nuevo proyecto del Minsalud sobre  el Modelo de Servicio al Ciudadano sector salud y diligenciamiento de la ficha de caracterización del servicio de la ADRES, en el marco del proceso de co-creación del Modelo Integral de los Sistemas de Servicio al Ciudadano del Sector Salud. Viernes 9 de agosto. De igual manera se participó en la mesa de trabajo realizada en el Minsalud cuyo propósito fue revisar las inquietudes de los diferentes actores y de remover los obstáculos que puedan presentarse. Miércoles 25 de septiembre a las 8:30 a.m. en la Sala de Juntas de la Secretaría General. De igual manera se trataron aspectos relativos a la optimización de la App Clic Salud y a la integración de todas las entidades del sector, y al modelo de servicio al ciudadano.</t>
  </si>
  <si>
    <t>Para este período se realizaron las plantillas de respuesta de primer nivel de atención y se recibieron por parte de las direcciones las respuestas tipo de primer nivel que se darán a las peticiones  autorizadas por las áreas de la entidad para ser respondidas desde atención al ciudadano. Se adjunta archivo que contienen las plantillas de respuesta tipo de la entidad. De igual manera se diseñaron y mejoraron las plantillas de respuesta de radicación de reclamaciones personas naturales y las devoluciones de las mismas por no cumplir con los requisitos del formulario FURPEN. Lo anterior para atender contingencia de las radicaciones de las reclamaciones personas naturales asumida por la DAF Atención al Ciudadano.</t>
  </si>
  <si>
    <t>Elaboración informe trimestral de encuestas, el cual es socializado con la OAPCR con el fin de contar con herramientas para toma de decisiones y planeación de mejoramiento de los procesos de la entidad.</t>
  </si>
  <si>
    <t>Toda vez que por auteridad en el gasto, ajustes razonables y que la sede de la entidad no es propia, se realizaron algunas mejoras para el acceso a las personas en condición de discapacidad , como es la señalización del punto de atención prioritaria. De igual manera,  y con el fin de mejorar el acceso a la entidad de los usuarios que acuden a la entidad a notificarse de algun proceso que adelanta la ADRES,  la Oficina asesora Jurídica fue trasladada a una nueva sede, la cual cuenta con un sitio específico para la notificación de los ciudadanos y cumple con los requerimientos mínimos de acceso para personas en condición de discapacidad (Ascensores con sonido, nivel de altura de los botones pisos, señalización, etc.) De igual manera se generaron los habladores para los puestos de trabajo de las asesoras del punto de atención presencial, sobre la Protección de Datos personales. De otra parte, se mejoró la iluminación en la recepción de la ADRES y se señalizó la puerta de acceso con la cinta de identificación de la ADRES.</t>
  </si>
  <si>
    <t xml:space="preserve">Se elaboró informe y fue remitido a la OCI </t>
  </si>
  <si>
    <t xml:space="preserve">Se elaboró informe III trimestre de 2019  y fue remitido a la OCI </t>
  </si>
  <si>
    <t>En el periodo a reportar no se formalizó ninguna Licitación Pública, por lo que no fue necesaria la convocatoria a Veedurías.</t>
  </si>
  <si>
    <t>En el tercer trimestre se realizó reunión de autocontrol para los procedimientos de Gestión del Talento Humano con la participación del líder de proceso y los integrantes del mismo, evidenciado mediante listado de asistencia.</t>
  </si>
  <si>
    <t xml:space="preserve">Se evidencia un producto relacionado en el mes de agosto frente a ofertar vacantes a los servidores con derecho s de carrera admnistrativa.
Por otro lado, desde el GIGTH no se enviaron solicitudes de provisión de empleos a las dependencias, toda vez que cada dependencia por anticipado remitieron las solicitudes de provisión. También se dio cumplimiento al artículo 24 de la Ley 909 de 2004, modificado por el artículo 1º de la Ley 1960 de 2019, relativo al derecho preferencial de encargo para servidores de carrera administrativa. (ver correos electrónicos y soportes del proceso) </t>
  </si>
  <si>
    <t>Se realizaron 15 nombramientos (Ver Resoluciones), detallados de la siguiente manera:
Se realizaron en el mes de julio 4 nombramientos ordinarios, 1 nombramiento provisional, en el mes de agosto se realizó 1 nombramiento ordinario, 1 encargo en empleo de carrera administrativa, 1 nombramiento provisional,1 encargo en empleo de libre nombramiento, en el mes de septiembre se realizó 1 nombramiento provisional, 1 nombramiento ordinario, 1 nombramiento provisional, 3 encargos en carrera administrativa.
De lo anterior se evidencia una adecuada ejecución del Manual Operativo de Gestión del Talento Humano.</t>
  </si>
  <si>
    <t>Se realizaron 15 posesiones (Ver Actas), detallados de la siguiente manera:
En el mes de julio se realizaron 4 posesiones en empleos de libre nombramientos, 1 posesión en provisionalidad, en el mes de agosto se realizó 1 posesión en empleo de libre nombramiento, 1 posesión en encargo en empleo de carrera administrativa, 1 posesión en nombramiento provisional,1 posesión en encargo en empleo de libre nombramiento, en el mes de septiembre se realizó 1 posesión en nombramiento provisional, 1 posesión en  nombramiento ordinario, 1 posesión en nombramiento provisional, 3 posesiones en encargos en empleos de carrera administrativa.
De lo anterior se evidencia una adecuada ejecución del Manual Operativo de Gestión del Talento Humano.</t>
  </si>
  <si>
    <t>Esta linea se solicito modificar, teniendo en cuenta lo concertado frente al tema presupuestal.</t>
  </si>
  <si>
    <t>Se toman como referencias las versiones inicial y final del PAA para el periodo a reportar, esto es 03/07/19 y 30/09/19 respectivamente. Al finalizar el trimestre se tienen 170 lineas de las cuales se han usado 141 líneas con contrato suscrito y 1 línea con proceso desierto, como soporte de esto se carga copia de los PAA mencionados descargados de la página de Colombia Compra Eficiente. 
En el periodo se se suscribieron 38 contratos que se relacionan en el archivo cargado en las evidencias.
Adicionalmente se carga en las evidencias el correo electrónico enviado desde la Dirección Administrativa y Financiera como seguimiento al cumplimiento de ejecución del PAA por parte de las diferentes áreas de la entidad, tambien se cargan las 28 solicitudes de inclusión, modificación y/o eliminación de líneas del PAA, presentadas por las áreas rsponsables.</t>
  </si>
  <si>
    <t>Línea repetida en la celda 65 de esta versión de plan de acción 2019.
Este producto fue elaborado, informado y cobrado (ver Informe septiembre Contrato 69 de 2019). Consecuente con el producto "Realizar verificación y actualización de los documentos del SG-SST según requerimientos del decreto 1072 de 2015 y Resolución 1111 de 2017". Se contempla para el próximo trimestre, incluir este documento en el proceso de su formalización ante la OAPCR.</t>
  </si>
  <si>
    <t>No se estableció meta para este trimestre</t>
  </si>
  <si>
    <t>CON CORTE 27 DE JUNIO DE 2019 SE TERMINÓ ANTICIPADAMENTE EL CONTRATO 072 DE 2019, Y COMOQUIERA QUE DURANTE EL TRIMESTRE JULIO A SEPTIEMBRE LOS PROCESOS OBJETO DEL CONTRATO NO REPORTARON MOVIMIENTOS QUE GENERARAN EROGACIÓN PARA LA ADRES A TRAVES DE OTRO APODERADO, SE HA SATISFECHO LA REPRESENTACION EN LA MEDIDA EN QUE SE HA REQUERIDO. 
SE ADJUNTA SOPORTE DE TERMINACIÓN- CUENTA FINAL</t>
  </si>
  <si>
    <t>Se tramitaron 11 solicitudes de consulta, como se evidencia en el soporte anexo. Así mismo se hicieron 3 pagos equivalentes a 5.136.839 cada una</t>
  </si>
  <si>
    <t xml:space="preserve">SE REPORTA CUMPLIMIENTO EN LA MEDIDA EN QUE DURANTE EL TRIMESTRE AUNQUE SE ENTREGÓ UN PROCESO PARA SUSTENTAR RECURSO DE CASACIÓN, NO SE HA CORRIDO TRASLADO DEL TERMINO PARA SUSTENTARLO.  POR LO EXPUESTO, EL CONTRATO DEL DR. JOSE RICARDO HERRERA NO REPORTA CUENTAS DE COBRO HASTA LA FECHA. 
EN ESE ORDEN DE IDEAS SE ACLARA QUE NO SE CUENTA CON EVIDENCIA DE PRODUCTO </t>
  </si>
  <si>
    <t>LA FIRMA DE VIGILANCIA HA REPORTADO LA TOTALIDAD DE PROCESOS ENTREGADOS POR LOS APODERADOS DE LA ADRES TANTO EN VÍA JUDICIAL COMO ADMINISTRATIVA (SUPERINTENDENCIA NACIOAL DE SALUD) ES IMPORTANTE DESTACAR QUE LOS VALORES DE PAGO VARÍAN MES A MES, YA QUE DENTRO DE LAS OBLIGACIONES DE LA FIRMA SE ENCUENTRA LA DE REPORTAR PROCESOS QUE SE ENCUENTREN EN PROCESO DE NOTIFICACION, ASÍ COMO AQUELLOS EN LOS QUE SE EVIDENCIE QUE LA ADRES TIENE UN INTERÉS DIRECTO, POR TANTO LOS PROCESOS QUE SE REPORTAN EN LAS FACTURAS Y CUENTAS DE COBROS SON SUPERIORES EN NUMERO A LOS ENTREGADOS PARA VIGILANCIA. 
COMO SOPORTES MENSUALES SE ALLEGA  BASE DE DATOS DE PROCESOS JUDICIALES VIGILADOS /PROCESOS ENTREGADOS POR ADRES EN VÍA JUDICIAL Y LOS PROCESOS ADMINISTRATIVOS (SUPERINTENDENCIA ) ENTREGADOS Y VIGILADOS.  </t>
  </si>
  <si>
    <t xml:space="preserve">DURANTE EL TRIMESTRE SE REQUIRIÓ LA LIQUIDACIÓN DE 5 EXPEDIENTES, DE LOS CUALES 2 CORRESPONDEN A LIQUIDACIONES DE HONORARIOS DE PERITOS. 
COMO SOPORTES SE CARGA LA LIQUIDACIÓN REALIZADA EN CADA PROCESO, Y LAS CUENTAS DE COBRO ASÍ COMO CONSOLIDADO DE LA RELACIÓN DE PAGOS EFECTUADA EN EL TRIMESTRE. </t>
  </si>
  <si>
    <t xml:space="preserve">SE PROCEDE A CARGAR LA EVIDENCIA DE PROCESOS CREADOS EN EKOGUI Y EL CRUCE DE LA BASE DE AQUELLOS QUE FUERON REPARTIDOS DURANTE EL TRIMESTRE. 
AQUELLOS PROCESOS RESALTADOS EN COLOR GRIS NO SON SUCEPTIBLES DE CREAR HASTA QUE SE DEFINA EL CONFLICTO DE COMPETENCIA. </t>
  </si>
  <si>
    <t>SE REMTIÓ LA PROVISION CONTABLE A LA DIRECCION COMPETENTE</t>
  </si>
  <si>
    <t xml:space="preserve">DURANTE EL TRIMESTRE EL APODERADO PENALISTA ACUDIÓ A LAS AUDIENICAS EN LAS QUE SE REQUIRIÓ REPRESENTACIÓN JUDICIAL DE LA ENTIDAD EN SU CALIDAD DE VICTIMA Y ADIONALMENTE SE HIZO PARTE EN LAS MULTIPLES AUDIENCIAS QUE CURSAN ANTE LA FISCALÍA. </t>
  </si>
  <si>
    <t>DURANTE EL TRIMESTRE SE SOLICITARON 3 INFORMES, LOS CUALES FUERON SUMINISTRADOS EN OPORTUNIDAD</t>
  </si>
  <si>
    <t>SE ADJUNTA SOPORTE CONTENTIVO DE LA RELACION DE CONTESTACIONES EFECTUADAS EN EL TRIMESTRE, LAS CUENTAS DE COBRO RADICADAS Y LOS SOPORTES QUE DAN FE DEL CUMPLIMIENTO DE ESTA OBLIGACIÓN. SE ACLARA QUE SE RELACIONAN LAS DEMANDAS ASIGNADAS Y EN TERMINOS DE CONTESTACION EN EL TRIMESTRE</t>
  </si>
  <si>
    <t xml:space="preserve">EN LA ACTIVIDAD 11900-12-1 SE ADJUNTAN LAS CONTESTACIONES DE DEMANDA, Y ALLI OBRA UN ACAPITÉ DENOMINADO PRUEBAS DONDE LOS APODERADOS JUDICIALES RELACIONAN LAS QUE ALLEGAN CON LA CONTESTACION DE LA DEMANDA..
LOS SOPORTES DE PRUEBAS ALLEGADAS, SE EVIDENCIAN EN LOS PRODUCTOS DE LAS CUENTAS DE COBRO DE LOS CONTRATISTAS QUE SE ADJUNTAN Y EL SOPORTE DE PAGO EN LA RELACION SUMINISTRADA EN EXCEL POR EL AREA FINANCIERA QUE ATAÑE A LOS APODERADOS QUE HACEN PARTE DEL GRUPO DE REPRESENTACIÓN JUDICIAL.   </t>
  </si>
  <si>
    <t>SE PROCEDE AL CARGUE DE UNA RELACION DE LAS FICHAS SOMETIDAS A COMITÉ DE CONCILIACION DE LA ADRES EN EL TRIMESTRE OBJETO DE REVISION Y QUE ALUDEN A ASUNTOS PRE JUDICIALES
LOS SOPORTES FINANCIEROS SE ENCUENTRAN CARGADOS EN LA ACTIVIDAD 11900-12-1 DONDE IGUALMENTE SE ENCUENTRAN LAS CUENTAS RADICADAS POR LOS APODERADOS JUDICIALES</t>
  </si>
  <si>
    <t xml:space="preserve">SE PROCEDE AL CARGUE DE UNA RELACION DE LAS FICHAS SOMETIDAS A COMITÉ DE CONCILIACION DE LA ADRES EN EL TRIMESTRE OBJETO DE REVISION
LOS SOPORTES FINANCIEROS SE ENCUENTRAN CARGADOS EN LA ACTIVIDAD 11900-12-1 DONDE IGUALMENTE SE ENCUENTRAN LAS CUENTAS RADICADAS POR LOS APODERADOS JUDICIALES
</t>
  </si>
  <si>
    <t xml:space="preserve">EL CONTRATO CUYO OBJETO ERA BRINDAR APOYO EN EL COMITÉ DE CONCILIACIÓN DE ADRES, ESPECÍFICAMENTE EN LA SECRETARÍA TÉCNICA TERMINÓ, SIN EMBARGO SE CUENTA CON EL APOYO DE UNA FUNCIONARIA EN LAS ACTIVIDADES, Y LA OAJ IMPLEMENTÓ CAMBIOS EN EL MANUAL DE FUNCIONES PARA QUE UN FUNCIONARIO TENGA DEDICACIÓN EXCLUSIVA A LAS ACTIVIDADES DE COMITÉ </t>
  </si>
  <si>
    <t>DURANTE EL TRIMESTRE SE GARANTIZÓ EL ADECUADO REPARTO DE LOS DOCUMENTOS DISPUESTOS PARA TAL FIN. SE ALLEGA COMO SOPORTE RELACION DE LA GESTIÓN Y CUENTAS DEL CONTRATISTA</t>
  </si>
  <si>
    <t>Como soporte se encuentra la tabla estadística del Grupo, derivada de la información que arroja el SGD</t>
  </si>
  <si>
    <t>Los soportes de las reuniones realizadas se encuentran también en el calendario de Outlook del Jefe de la OAJ, así como de cada Coordinador y Líder de proceso</t>
  </si>
  <si>
    <r>
      <rPr>
        <b/>
        <sz val="10"/>
        <rFont val="Verdana"/>
        <family val="2"/>
      </rPr>
      <t xml:space="preserve">20190930.
</t>
    </r>
    <r>
      <rPr>
        <sz val="10"/>
        <rFont val="Verdana"/>
        <family val="2"/>
      </rPr>
      <t xml:space="preserve">Para los productos “Informes de auditorias correctivas según resolución 2199 de 2013 y 4894 de 2015” y “Depuración de registros de BDUA de acuerdo con solicitudes del MSPS, según resolución 2199 de 2013 y 4894 de 2015”, se definió el indicador “# de registro depurados por ADRES + # Registros correctos / # Número total de registros notificados en auditorias correctivas”. Por lo tanto, para el presente seguimiento se obtuvo un cumplimiento del 100%, el cual corresponde a: 
Auditoria de 4894 producto dentro del plan de acción: 11600-1-1-1-2
# de registro depurados por ADRES igual a 1323 
# Registros correctos igual a 0 
# Número total de registros notificados en auditorias correctivas igual a 1323
Auditoria de 2199 producto dentro del plan de acción: 11600-1-1-1-3
# de registro depurados por ADRES igual a 5.949
# Registros correctos igual a 11.231 
# Número total de registros notificados en auditorias correctivas igual a 17.180
Teniendo en cuenta que la meta anual se definió como 100% y por lo tanto la meta trimestral quedo en 25%, el comportamiento del indicador para este periodo de medición fue 25%.
El soporte de medición de la evidencia para la actual actividad se encuentra en Evidencia\III trimestre\Estratégico\11600-1-1-1-2. </t>
    </r>
  </si>
  <si>
    <t xml:space="preserve">En el tercer trimestre del 2019 se alcanzo un porcentaje de cumplimiento del Plan de Acción y Plan Estratégico Institucional del 84%, y un avance acumulado del 66%. A continuación, se presenta el resumen de cumplimiento de cada uno de los planes institucionales que conforman el Plan de Acción, para el tercer trimestre es el siguiente:
Se destaca la gestión realizada por la ADRES en el el desarrollo de las actividades asociadas al Plan de Seguridad y Privaci-dad de la Información, Plan de Tratamiento de Riesgos de Seguridad y Privacidad de la In-formación, el Plan Institucional de Archivos y las actividades institucionales que conforman el Plan de Acción de la Entidad, con resultados sobresalientes en sus indicadores de gestión. Así mismo, se presentan resultados satisfactorios en el Plan Anticorrupción y de Atención al Ciudadano, el Plan de Trabajo de Seguridad y Salud en el Trabajo, y el Plan de Adquisicio-nes. 
Los resultados obtenidos en los planes mencionados anteriormente impactan positivamente el cumplimiento y avance del objetivo estratégico: “Garantizar la adecuación institucional me-diante actividades transversales que complementen y sustenten el desempeño de los proce-sos misionales y estratégicos, así como el seguimiento continuo al cumplimiento de los objeti-vos de la Entidad”, cuyos resultados se presentan en la siguiente tabla.
De otro lado, el resultado del Plan Institucional de Capacitación se debe a la falta de ejecu-ción de las capacitaciones cuya consecución es de forma gratuita y depende de la respuesta a las gestiones que el Grupo Interno de Gestión de Talento Humano ha desarrollado con el propósito de conseguir las capacitaciones con estas características. Adicionalmente, se iden-tifican oportunidades de mejora para realizar la reinducción en el cuarto trimestre.
Con respecto al Plan de Bienestar e Incentivos, el Grupo Interno de Gestión de Talento Humano ha establecido acciones de mejoramiento para cumplir con las actividades previstas en lo que queda del año, entre ellas, la medición de clima, cuya contratación se está adelantan-do.
La ejecución del Plan de vacantes se ha visto impactada por las solicitudes de actualización del Manual de Funciones de parte de las áreas misionales, que ha retrasado la solicitud de apertura de la OPEC a la Comisión Nacional del Servicio Civil, por parte de la Dirección Ad-ministrativa y Financiera, y a su vez la actualización de la OPEC en el aplicativo SIMO.
Las situaciones descritas anteriormente impactan significativamente la ejecución del Plan Estratégico de Gestión del Talento Humano, el cual grupa éstos y los demás planes del resor-te del Grupo Interno de Gestión del Talento Humano. 
El Plan Estratégico de Tecnologías de la Información y las Comunicaciones no tenía metas previstas para el III trimestre.
La gestión y resultados de las áreas misionales de la ADRES impactan en el cumplimiento sobresaliente y el avance de los objetivos estratégicos relacionados con la calidad y oportunidad del aseguramiento y de las prestaciones excepcionales, con la optimización de los procesos de  recaudo, administración y pago de los recursos y con la gestión y el análisis de la información de la prescripción, suministro, de recobros, reclamaciones y del aseguramiento en salud, para contribuir con la adopción de mecanismos de control y la formulación de políticas públicas.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</si>
</sst>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 #,##0;[Red]\-&quot;$&quot;\ #,##0"/>
    <numFmt numFmtId="8" formatCode="&quot;$&quot;\ #,##0.00;[Red]\-&quot;$&quot;\ #,##0.0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0.0"/>
    <numFmt numFmtId="166" formatCode="0.0%"/>
    <numFmt numFmtId="167" formatCode="#,##0_ ;\-#,##0\ "/>
    <numFmt numFmtId="168" formatCode="_-&quot;$&quot;\ * #,##0.0_-;\-&quot;$&quot;\ * #,##0.0_-;_-&quot;$&quot;\ * &quot;-&quot;_-;_-@_-"/>
    <numFmt numFmtId="169" formatCode="_-&quot;$&quot;\ * #,##0.0_-;\-&quot;$&quot;\ * #,##0.0_-;_-&quot;$&quot;\ * &quot;-&quot;?_-;_-@_-"/>
    <numFmt numFmtId="170" formatCode="#,###\ &quot;COP&quot;"/>
    <numFmt numFmtId="171" formatCode="_-* #,##0.00_-;\-* #,##0.00_-;_-* &quot;-&quot;_-;_-@_-"/>
    <numFmt numFmtId="172" formatCode="0.00000%"/>
    <numFmt numFmtId="173" formatCode="0.0000%"/>
    <numFmt numFmtId="174" formatCode="_-[$$-409]* #,##0.00_ ;_-[$$-409]* \-#,##0.00\ ;_-[$$-409]* &quot;-&quot;??_ ;_-@_ "/>
    <numFmt numFmtId="175" formatCode="[$$-240A]\ #,##0.00"/>
    <numFmt numFmtId="176" formatCode="0.000000%"/>
    <numFmt numFmtId="177" formatCode="&quot;$&quot;\ #,##0"/>
  </numFmts>
  <fonts count="8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b/>
      <sz val="10"/>
      <color theme="1"/>
      <name val="Verdana"/>
      <family val="2"/>
    </font>
    <font>
      <sz val="9"/>
      <color indexed="81"/>
      <name val="Tahoma"/>
      <family val="2"/>
    </font>
    <font>
      <sz val="8"/>
      <color theme="1" tint="0.499984740745262"/>
      <name val="Calibri"/>
      <family val="2"/>
      <scheme val="minor"/>
    </font>
    <font>
      <sz val="9"/>
      <color theme="1"/>
      <name val="Calibri"/>
      <family val="2"/>
      <scheme val="minor"/>
    </font>
    <font>
      <b/>
      <sz val="9"/>
      <color rgb="FF000000"/>
      <name val="Calibri"/>
      <family val="2"/>
      <scheme val="minor"/>
    </font>
    <font>
      <sz val="10"/>
      <color theme="1"/>
      <name val="Arial"/>
      <family val="2"/>
    </font>
    <font>
      <u/>
      <sz val="10"/>
      <color theme="10"/>
      <name val="Arial"/>
      <family val="2"/>
    </font>
    <font>
      <sz val="11"/>
      <color indexed="8"/>
      <name val="Arial"/>
      <family val="2"/>
    </font>
    <font>
      <b/>
      <sz val="11"/>
      <color indexed="81"/>
      <name val="Tahoma"/>
      <family val="2"/>
    </font>
    <font>
      <b/>
      <sz val="10"/>
      <color indexed="81"/>
      <name val="Tahoma"/>
      <family val="2"/>
    </font>
    <font>
      <b/>
      <sz val="10"/>
      <name val="Arial"/>
      <family val="2"/>
    </font>
    <font>
      <u/>
      <sz val="11"/>
      <color theme="10"/>
      <name val="Calibri"/>
      <family val="2"/>
      <scheme val="minor"/>
    </font>
    <font>
      <sz val="11"/>
      <color theme="1"/>
      <name val="Arial"/>
      <family val="2"/>
    </font>
    <font>
      <b/>
      <sz val="12"/>
      <color theme="1"/>
      <name val="Arial"/>
      <family val="2"/>
    </font>
    <font>
      <b/>
      <sz val="11"/>
      <color theme="1"/>
      <name val="Arial"/>
      <family val="2"/>
    </font>
    <font>
      <sz val="10"/>
      <color theme="1"/>
      <name val="Verdana"/>
      <family val="2"/>
    </font>
    <font>
      <b/>
      <sz val="14"/>
      <color theme="1"/>
      <name val="Verdana"/>
      <family val="2"/>
    </font>
    <font>
      <b/>
      <u/>
      <sz val="10"/>
      <color rgb="FF175099"/>
      <name val="Verdana"/>
      <family val="2"/>
    </font>
    <font>
      <u/>
      <sz val="10"/>
      <color rgb="FF175099"/>
      <name val="Verdana"/>
      <family val="2"/>
    </font>
    <font>
      <b/>
      <sz val="10"/>
      <color theme="4"/>
      <name val="Verdana"/>
      <family val="2"/>
    </font>
    <font>
      <b/>
      <u/>
      <sz val="9"/>
      <color rgb="FF175099"/>
      <name val="Verdana"/>
      <family val="2"/>
    </font>
    <font>
      <b/>
      <sz val="9"/>
      <color indexed="8"/>
      <name val="Verdana"/>
      <family val="2"/>
    </font>
    <font>
      <b/>
      <sz val="10"/>
      <color indexed="8"/>
      <name val="Verdana"/>
      <family val="2"/>
    </font>
    <font>
      <sz val="10"/>
      <name val="Verdana"/>
      <family val="2"/>
    </font>
    <font>
      <sz val="11"/>
      <color rgb="FF000000"/>
      <name val="Arial"/>
      <family val="2"/>
    </font>
    <font>
      <b/>
      <sz val="11"/>
      <color rgb="FF000000"/>
      <name val="Arial"/>
      <family val="2"/>
    </font>
    <font>
      <b/>
      <sz val="14"/>
      <color theme="1"/>
      <name val="Calibri"/>
      <family val="2"/>
      <scheme val="minor"/>
    </font>
    <font>
      <sz val="11"/>
      <color theme="0"/>
      <name val="Calibri"/>
      <family val="2"/>
      <scheme val="minor"/>
    </font>
    <font>
      <sz val="11"/>
      <color theme="1"/>
      <name val="Verdana"/>
      <family val="2"/>
    </font>
    <font>
      <b/>
      <sz val="12"/>
      <color theme="1"/>
      <name val="Verdana"/>
      <family val="2"/>
    </font>
    <font>
      <b/>
      <sz val="10"/>
      <name val="Verdana"/>
      <family val="2"/>
    </font>
    <font>
      <b/>
      <u/>
      <sz val="10"/>
      <color theme="1"/>
      <name val="Verdana"/>
      <family val="2"/>
    </font>
    <font>
      <b/>
      <sz val="10"/>
      <color theme="0"/>
      <name val="Verdana"/>
      <family val="2"/>
    </font>
    <font>
      <sz val="10"/>
      <color theme="1" tint="0.499984740745262"/>
      <name val="Verdana"/>
      <family val="2"/>
    </font>
    <font>
      <b/>
      <sz val="10"/>
      <color rgb="FF000000"/>
      <name val="Verdana"/>
      <family val="2"/>
    </font>
    <font>
      <sz val="14"/>
      <color theme="1"/>
      <name val="Verdana"/>
      <family val="2"/>
    </font>
    <font>
      <sz val="10"/>
      <color theme="0"/>
      <name val="Verdana"/>
      <family val="2"/>
    </font>
    <font>
      <b/>
      <sz val="9"/>
      <color theme="0"/>
      <name val="Verdana"/>
      <family val="2"/>
    </font>
    <font>
      <b/>
      <sz val="8"/>
      <color theme="0"/>
      <name val="Verdana"/>
      <family val="2"/>
    </font>
    <font>
      <sz val="11"/>
      <color indexed="8"/>
      <name val="Verdana"/>
      <family val="2"/>
    </font>
    <font>
      <sz val="11"/>
      <color theme="0"/>
      <name val="Verdana"/>
      <family val="2"/>
    </font>
    <font>
      <sz val="14"/>
      <color indexed="8"/>
      <name val="Verdana"/>
      <family val="2"/>
    </font>
    <font>
      <sz val="10"/>
      <color indexed="8"/>
      <name val="Verdana"/>
      <family val="2"/>
    </font>
    <font>
      <b/>
      <sz val="14"/>
      <color indexed="8"/>
      <name val="Verdana"/>
      <family val="2"/>
    </font>
    <font>
      <b/>
      <sz val="20"/>
      <color indexed="8"/>
      <name val="Verdana"/>
      <family val="2"/>
    </font>
    <font>
      <b/>
      <sz val="20"/>
      <color theme="0"/>
      <name val="Verdana"/>
      <family val="2"/>
    </font>
    <font>
      <b/>
      <sz val="20"/>
      <name val="Verdana"/>
      <family val="2"/>
    </font>
    <font>
      <b/>
      <sz val="16"/>
      <color indexed="8"/>
      <name val="Verdana"/>
      <family val="2"/>
    </font>
    <font>
      <b/>
      <sz val="16"/>
      <name val="Verdana"/>
      <family val="2"/>
    </font>
    <font>
      <b/>
      <sz val="16"/>
      <color theme="0"/>
      <name val="Verdana"/>
      <family val="2"/>
    </font>
    <font>
      <b/>
      <sz val="11"/>
      <color indexed="18"/>
      <name val="Verdana"/>
      <family val="2"/>
    </font>
    <font>
      <b/>
      <sz val="12"/>
      <color indexed="8"/>
      <name val="Verdana"/>
      <family val="2"/>
    </font>
    <font>
      <b/>
      <sz val="11"/>
      <color indexed="8"/>
      <name val="Verdana"/>
      <family val="2"/>
    </font>
    <font>
      <sz val="12"/>
      <name val="Verdana"/>
      <family val="2"/>
    </font>
    <font>
      <sz val="12"/>
      <color indexed="8"/>
      <name val="Verdana"/>
      <family val="2"/>
    </font>
    <font>
      <sz val="11"/>
      <color rgb="FF175099"/>
      <name val="Verdana"/>
      <family val="2"/>
    </font>
    <font>
      <sz val="16"/>
      <color indexed="8"/>
      <name val="Verdana"/>
      <family val="2"/>
    </font>
    <font>
      <sz val="11"/>
      <name val="Verdana"/>
      <family val="2"/>
    </font>
    <font>
      <sz val="11"/>
      <color rgb="FF00B050"/>
      <name val="Verdana"/>
      <family val="2"/>
    </font>
    <font>
      <b/>
      <sz val="12"/>
      <color indexed="9"/>
      <name val="Verdana"/>
      <family val="2"/>
    </font>
    <font>
      <b/>
      <sz val="10"/>
      <color indexed="9"/>
      <name val="Verdana"/>
      <family val="2"/>
    </font>
    <font>
      <b/>
      <sz val="12"/>
      <color theme="0"/>
      <name val="Verdana"/>
      <family val="2"/>
    </font>
    <font>
      <b/>
      <sz val="12"/>
      <color indexed="18"/>
      <name val="Verdana"/>
      <family val="2"/>
    </font>
    <font>
      <b/>
      <sz val="16"/>
      <color indexed="9"/>
      <name val="Verdana"/>
      <family val="2"/>
    </font>
    <font>
      <b/>
      <sz val="14"/>
      <color indexed="9"/>
      <name val="Verdana"/>
      <family val="2"/>
    </font>
    <font>
      <sz val="9"/>
      <color theme="1"/>
      <name val="Verdana"/>
      <family val="2"/>
    </font>
    <font>
      <b/>
      <sz val="14"/>
      <color theme="0"/>
      <name val="Verdana"/>
      <family val="2"/>
    </font>
    <font>
      <b/>
      <sz val="11"/>
      <color theme="0"/>
      <name val="Calibri"/>
      <family val="2"/>
      <scheme val="minor"/>
    </font>
    <font>
      <sz val="14"/>
      <name val="Verdana"/>
      <family val="2"/>
    </font>
    <font>
      <b/>
      <sz val="14"/>
      <name val="Verdana"/>
      <family val="2"/>
    </font>
    <font>
      <sz val="11"/>
      <name val="Calibri"/>
      <family val="2"/>
      <scheme val="minor"/>
    </font>
    <font>
      <sz val="12"/>
      <color indexed="81"/>
      <name val="Tahoma"/>
      <family val="2"/>
    </font>
    <font>
      <sz val="14"/>
      <color indexed="81"/>
      <name val="Tahoma"/>
      <family val="2"/>
    </font>
    <font>
      <b/>
      <sz val="9"/>
      <color indexed="81"/>
      <name val="Tahoma"/>
      <family val="2"/>
    </font>
    <font>
      <b/>
      <i/>
      <sz val="10"/>
      <name val="Verdana"/>
      <family val="2"/>
    </font>
    <font>
      <i/>
      <sz val="10"/>
      <name val="Verdana"/>
      <family val="2"/>
    </font>
    <font>
      <sz val="10"/>
      <color rgb="FFFF0000"/>
      <name val="Verdana"/>
      <family val="2"/>
    </font>
    <font>
      <i/>
      <sz val="9"/>
      <color theme="1"/>
      <name val="Verdana"/>
      <family val="2"/>
    </font>
    <font>
      <sz val="11"/>
      <color rgb="FFFF0000"/>
      <name val="Calibri"/>
      <family val="2"/>
      <scheme val="minor"/>
    </font>
    <font>
      <b/>
      <sz val="11"/>
      <color rgb="FFFF0000"/>
      <name val="Calibri"/>
      <family val="2"/>
      <scheme val="minor"/>
    </font>
    <font>
      <b/>
      <sz val="11"/>
      <name val="Calibri"/>
      <family val="2"/>
      <scheme val="minor"/>
    </font>
    <font>
      <sz val="12"/>
      <name val="Calibri"/>
      <family val="2"/>
      <scheme val="minor"/>
    </font>
    <font>
      <sz val="10"/>
      <color theme="4"/>
      <name val="Verdana"/>
      <family val="2"/>
    </font>
    <font>
      <u/>
      <sz val="10"/>
      <color theme="4"/>
      <name val="Verdana"/>
      <family val="2"/>
    </font>
  </fonts>
  <fills count="22">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5"/>
        <bgColor indexed="64"/>
      </patternFill>
    </fill>
    <fill>
      <patternFill patternType="solid">
        <fgColor rgb="FFFFFF00"/>
        <bgColor indexed="64"/>
      </patternFill>
    </fill>
    <fill>
      <patternFill patternType="solid">
        <fgColor rgb="FF92D050"/>
        <bgColor indexed="64"/>
      </patternFill>
    </fill>
    <fill>
      <patternFill patternType="solid">
        <fgColor rgb="FFDBE5F1"/>
        <bgColor indexed="64"/>
      </patternFill>
    </fill>
    <fill>
      <patternFill patternType="solid">
        <fgColor rgb="FF808080"/>
        <bgColor indexed="64"/>
      </patternFill>
    </fill>
    <fill>
      <patternFill patternType="solid">
        <fgColor theme="3" tint="0.39997558519241921"/>
        <bgColor indexed="64"/>
      </patternFill>
    </fill>
    <fill>
      <patternFill patternType="solid">
        <fgColor rgb="FFFF0000"/>
        <bgColor indexed="64"/>
      </patternFill>
    </fill>
    <fill>
      <patternFill patternType="solid">
        <fgColor indexed="30"/>
        <bgColor indexed="64"/>
      </patternFill>
    </fill>
    <fill>
      <patternFill patternType="solid">
        <fgColor indexed="9"/>
        <bgColor indexed="64"/>
      </patternFill>
    </fill>
    <fill>
      <patternFill patternType="solid">
        <fgColor indexed="44"/>
        <bgColor indexed="64"/>
      </patternFill>
    </fill>
    <fill>
      <patternFill patternType="solid">
        <fgColor theme="2" tint="-9.9978637043366805E-2"/>
        <bgColor indexed="64"/>
      </patternFill>
    </fill>
    <fill>
      <patternFill patternType="solid">
        <fgColor rgb="FF175099"/>
        <bgColor indexed="64"/>
      </patternFill>
    </fill>
    <fill>
      <patternFill patternType="solid">
        <fgColor rgb="FF00ACCA"/>
        <bgColor indexed="64"/>
      </patternFill>
    </fill>
    <fill>
      <patternFill patternType="solid">
        <fgColor rgb="FF00B05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s>
  <cellStyleXfs count="37">
    <xf numFmtId="0" fontId="0" fillId="0" borderId="0"/>
    <xf numFmtId="9" fontId="1" fillId="0" borderId="0" applyFont="0" applyFill="0" applyBorder="0" applyAlignment="0" applyProtection="0"/>
    <xf numFmtId="0" fontId="3" fillId="0" borderId="0"/>
    <xf numFmtId="41" fontId="1" fillId="0" borderId="0" applyFont="0" applyFill="0" applyBorder="0" applyAlignment="0" applyProtection="0"/>
    <xf numFmtId="0" fontId="5" fillId="8" borderId="0" applyNumberFormat="0" applyBorder="0" applyProtection="0">
      <alignment horizontal="center" vertical="center"/>
    </xf>
    <xf numFmtId="42" fontId="1" fillId="0" borderId="0" applyFont="0" applyFill="0" applyBorder="0" applyAlignment="0" applyProtection="0"/>
    <xf numFmtId="0" fontId="5" fillId="9" borderId="1" applyNumberFormat="0" applyProtection="0">
      <alignment horizontal="left" vertical="center" wrapText="1"/>
    </xf>
    <xf numFmtId="0" fontId="10" fillId="0" borderId="0"/>
    <xf numFmtId="164" fontId="10"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0" fontId="11" fillId="0" borderId="0" applyNumberFormat="0" applyFill="0" applyBorder="0" applyAlignment="0" applyProtection="0"/>
    <xf numFmtId="43" fontId="10" fillId="0" borderId="0" applyFont="0" applyFill="0" applyBorder="0" applyAlignment="0" applyProtection="0"/>
    <xf numFmtId="0" fontId="16" fillId="0" borderId="0" applyNumberFormat="0" applyFill="0" applyBorder="0" applyAlignment="0" applyProtection="0"/>
    <xf numFmtId="49" fontId="20" fillId="0" borderId="0" applyFill="0" applyBorder="0" applyProtection="0">
      <alignment horizontal="left" vertical="center"/>
    </xf>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3" fontId="20" fillId="0" borderId="0" applyFill="0" applyBorder="0" applyProtection="0">
      <alignment horizontal="right" vertical="center"/>
    </xf>
  </cellStyleXfs>
  <cellXfs count="1523">
    <xf numFmtId="0" fontId="0" fillId="0" borderId="0" xfId="0"/>
    <xf numFmtId="0" fontId="0" fillId="0" borderId="1" xfId="0" applyBorder="1"/>
    <xf numFmtId="0" fontId="0" fillId="0" borderId="1" xfId="0" applyBorder="1" applyAlignment="1">
      <alignment vertical="top" wrapText="1"/>
    </xf>
    <xf numFmtId="0" fontId="0" fillId="0" borderId="3" xfId="0" applyBorder="1" applyAlignment="1"/>
    <xf numFmtId="0" fontId="0" fillId="0" borderId="0" xfId="0" applyAlignment="1">
      <alignment horizontal="center"/>
    </xf>
    <xf numFmtId="41" fontId="0" fillId="0" borderId="0" xfId="0" applyNumberFormat="1"/>
    <xf numFmtId="0" fontId="0" fillId="0" borderId="0" xfId="0" applyFill="1"/>
    <xf numFmtId="0" fontId="0" fillId="0" borderId="0" xfId="0" applyFill="1" applyAlignment="1">
      <alignment horizontal="justify" vertical="center"/>
    </xf>
    <xf numFmtId="0" fontId="12" fillId="0" borderId="0" xfId="0" applyFont="1"/>
    <xf numFmtId="0" fontId="2" fillId="0" borderId="0" xfId="0" applyFont="1" applyAlignment="1">
      <alignment horizontal="center"/>
    </xf>
    <xf numFmtId="0" fontId="0" fillId="0" borderId="0" xfId="0" applyFill="1" applyAlignment="1">
      <alignment horizontal="center"/>
    </xf>
    <xf numFmtId="0" fontId="4" fillId="0" borderId="0" xfId="0" applyFont="1"/>
    <xf numFmtId="0" fontId="0" fillId="0" borderId="0" xfId="0" applyFont="1"/>
    <xf numFmtId="0" fontId="17" fillId="0" borderId="0" xfId="0" applyFont="1"/>
    <xf numFmtId="9" fontId="10" fillId="0" borderId="0" xfId="0" applyNumberFormat="1" applyFont="1"/>
    <xf numFmtId="0" fontId="10" fillId="0" borderId="0" xfId="0" applyFont="1"/>
    <xf numFmtId="0" fontId="19" fillId="0" borderId="0" xfId="0" applyFont="1"/>
    <xf numFmtId="9" fontId="4" fillId="0" borderId="0" xfId="0" applyNumberFormat="1" applyFont="1"/>
    <xf numFmtId="0" fontId="18" fillId="0" borderId="0" xfId="0" applyFont="1" applyAlignment="1">
      <alignment horizontal="left"/>
    </xf>
    <xf numFmtId="0" fontId="5" fillId="0" borderId="0" xfId="0" applyFont="1" applyFill="1" applyBorder="1" applyAlignment="1">
      <alignment vertical="center" wrapText="1"/>
    </xf>
    <xf numFmtId="0" fontId="5" fillId="2" borderId="10" xfId="0" applyFont="1" applyFill="1" applyBorder="1" applyAlignment="1">
      <alignment horizontal="center" vertical="center"/>
    </xf>
    <xf numFmtId="0" fontId="5" fillId="2" borderId="25" xfId="0" applyFont="1" applyFill="1" applyBorder="1" applyAlignment="1">
      <alignment vertical="center"/>
    </xf>
    <xf numFmtId="0" fontId="20" fillId="0" borderId="0" xfId="0" applyFont="1"/>
    <xf numFmtId="0" fontId="22" fillId="0" borderId="0" xfId="13" applyFont="1"/>
    <xf numFmtId="0" fontId="23" fillId="0" borderId="0" xfId="13" applyFont="1"/>
    <xf numFmtId="0" fontId="24" fillId="0" borderId="0" xfId="0" applyFont="1"/>
    <xf numFmtId="0" fontId="25" fillId="0" borderId="0" xfId="13" applyFont="1"/>
    <xf numFmtId="0" fontId="18" fillId="0" borderId="0" xfId="0" applyFont="1" applyAlignment="1">
      <alignment horizontal="left"/>
    </xf>
    <xf numFmtId="0" fontId="2" fillId="4" borderId="1" xfId="0" applyFont="1" applyFill="1" applyBorder="1" applyAlignment="1">
      <alignment horizontal="center" vertical="center"/>
    </xf>
    <xf numFmtId="0" fontId="0" fillId="0" borderId="0" xfId="0" applyAlignment="1">
      <alignment vertical="center"/>
    </xf>
    <xf numFmtId="0" fontId="2" fillId="4" borderId="1" xfId="0" applyFont="1" applyFill="1" applyBorder="1" applyAlignment="1">
      <alignment horizontal="center" vertical="center" wrapText="1"/>
    </xf>
    <xf numFmtId="0" fontId="0" fillId="0" borderId="0" xfId="0" applyBorder="1"/>
    <xf numFmtId="0" fontId="0" fillId="0" borderId="1" xfId="0" applyBorder="1" applyAlignment="1">
      <alignment vertical="top"/>
    </xf>
    <xf numFmtId="0" fontId="0" fillId="0" borderId="4" xfId="0" applyBorder="1" applyAlignment="1">
      <alignment vertical="top" wrapText="1"/>
    </xf>
    <xf numFmtId="0" fontId="0" fillId="2" borderId="6" xfId="0" applyFill="1" applyBorder="1" applyAlignment="1">
      <alignment vertical="top" wrapText="1"/>
    </xf>
    <xf numFmtId="0" fontId="0" fillId="2" borderId="8" xfId="0" applyFill="1" applyBorder="1" applyAlignment="1">
      <alignment vertical="top" wrapText="1"/>
    </xf>
    <xf numFmtId="0" fontId="0" fillId="6" borderId="1" xfId="0" applyFill="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vertical="top" wrapText="1"/>
    </xf>
    <xf numFmtId="0" fontId="0" fillId="2" borderId="12" xfId="0" applyFill="1" applyBorder="1" applyAlignment="1">
      <alignment vertical="top" wrapText="1"/>
    </xf>
    <xf numFmtId="0" fontId="0" fillId="0" borderId="6" xfId="0" applyBorder="1" applyAlignment="1">
      <alignment vertical="top" wrapText="1"/>
    </xf>
    <xf numFmtId="0" fontId="0" fillId="0" borderId="8" xfId="0" applyBorder="1" applyAlignment="1">
      <alignment vertical="top" wrapText="1"/>
    </xf>
    <xf numFmtId="0" fontId="0" fillId="0" borderId="12" xfId="0" applyBorder="1" applyAlignment="1">
      <alignment vertical="top" wrapText="1"/>
    </xf>
    <xf numFmtId="0" fontId="0" fillId="6" borderId="8" xfId="0" applyFill="1" applyBorder="1" applyAlignment="1">
      <alignment vertical="top" wrapText="1"/>
    </xf>
    <xf numFmtId="0" fontId="0" fillId="0" borderId="0" xfId="0" applyFill="1" applyBorder="1" applyAlignment="1">
      <alignment vertical="top"/>
    </xf>
    <xf numFmtId="0" fontId="0" fillId="0" borderId="16" xfId="0" applyBorder="1" applyAlignment="1">
      <alignment vertical="top" wrapText="1"/>
    </xf>
    <xf numFmtId="0" fontId="0" fillId="0" borderId="10" xfId="0" applyBorder="1" applyAlignment="1">
      <alignment vertical="top" wrapText="1"/>
    </xf>
    <xf numFmtId="0" fontId="0" fillId="6" borderId="12" xfId="0" applyFill="1" applyBorder="1" applyAlignment="1">
      <alignment vertical="top" wrapText="1"/>
    </xf>
    <xf numFmtId="0" fontId="0" fillId="6" borderId="10" xfId="0" applyFill="1" applyBorder="1" applyAlignment="1">
      <alignment vertical="top" wrapText="1"/>
    </xf>
    <xf numFmtId="0" fontId="0" fillId="0" borderId="67" xfId="0" applyBorder="1" applyAlignment="1">
      <alignment vertical="top" wrapText="1"/>
    </xf>
    <xf numFmtId="0" fontId="0" fillId="0" borderId="53" xfId="0" applyBorder="1" applyAlignment="1">
      <alignment vertical="top" wrapText="1"/>
    </xf>
    <xf numFmtId="0" fontId="2" fillId="0" borderId="0" xfId="0" applyFont="1" applyFill="1" applyBorder="1" applyAlignment="1">
      <alignment horizontal="center" vertical="center" wrapText="1"/>
    </xf>
    <xf numFmtId="0" fontId="20" fillId="0" borderId="1" xfId="0" applyFont="1" applyFill="1" applyBorder="1" applyAlignment="1">
      <alignment horizontal="justify" vertical="center" wrapText="1"/>
    </xf>
    <xf numFmtId="0" fontId="0" fillId="2" borderId="7" xfId="0" applyFill="1" applyBorder="1" applyAlignment="1">
      <alignment vertical="center" wrapText="1"/>
    </xf>
    <xf numFmtId="0" fontId="0" fillId="2" borderId="11" xfId="0" applyFill="1" applyBorder="1" applyAlignment="1">
      <alignment vertical="center" wrapText="1"/>
    </xf>
    <xf numFmtId="0" fontId="0" fillId="0" borderId="54" xfId="0" applyBorder="1"/>
    <xf numFmtId="0" fontId="0" fillId="0" borderId="1" xfId="0" applyBorder="1" applyAlignment="1">
      <alignment horizontal="justify" vertical="center" wrapText="1"/>
    </xf>
    <xf numFmtId="0" fontId="0" fillId="0" borderId="17" xfId="0" applyFill="1" applyBorder="1" applyAlignment="1">
      <alignment horizontal="justify" vertical="center" wrapText="1"/>
    </xf>
    <xf numFmtId="0" fontId="18" fillId="0" borderId="0" xfId="0" applyFont="1" applyAlignment="1">
      <alignment horizontal="left"/>
    </xf>
    <xf numFmtId="0" fontId="0" fillId="0" borderId="0" xfId="0" applyAlignment="1">
      <alignment horizontal="center"/>
    </xf>
    <xf numFmtId="0" fontId="20" fillId="0" borderId="1" xfId="0" applyFont="1" applyFill="1" applyBorder="1" applyAlignment="1">
      <alignment horizontal="center" vertical="center"/>
    </xf>
    <xf numFmtId="9" fontId="20" fillId="0" borderId="1" xfId="0" applyNumberFormat="1" applyFont="1" applyFill="1" applyBorder="1" applyAlignment="1">
      <alignment horizontal="right" vertical="center"/>
    </xf>
    <xf numFmtId="42" fontId="0" fillId="0" borderId="0" xfId="0" applyNumberFormat="1"/>
    <xf numFmtId="0" fontId="0" fillId="0" borderId="1" xfId="0" applyBorder="1" applyAlignment="1">
      <alignment wrapText="1"/>
    </xf>
    <xf numFmtId="0" fontId="0" fillId="0" borderId="17" xfId="0" applyFill="1" applyBorder="1" applyAlignment="1">
      <alignment vertical="top" wrapText="1"/>
    </xf>
    <xf numFmtId="9" fontId="28" fillId="0" borderId="1" xfId="0" applyNumberFormat="1" applyFont="1" applyFill="1" applyBorder="1" applyAlignment="1">
      <alignment horizontal="justify" vertical="center"/>
    </xf>
    <xf numFmtId="1" fontId="28" fillId="0" borderId="1" xfId="0" applyNumberFormat="1" applyFont="1" applyFill="1" applyBorder="1" applyAlignment="1">
      <alignment horizontal="right" vertical="center"/>
    </xf>
    <xf numFmtId="1" fontId="28" fillId="0" borderId="1" xfId="1" applyNumberFormat="1" applyFont="1" applyFill="1" applyBorder="1" applyAlignment="1">
      <alignment horizontal="right" vertical="center"/>
    </xf>
    <xf numFmtId="9" fontId="28" fillId="0" borderId="1" xfId="1" applyNumberFormat="1" applyFont="1" applyFill="1" applyBorder="1" applyAlignment="1">
      <alignment vertical="center"/>
    </xf>
    <xf numFmtId="0" fontId="28" fillId="0" borderId="1" xfId="0" applyFont="1" applyFill="1" applyBorder="1"/>
    <xf numFmtId="0" fontId="28" fillId="0" borderId="0" xfId="0" applyFont="1" applyFill="1"/>
    <xf numFmtId="9" fontId="28" fillId="0" borderId="1" xfId="1" applyFont="1" applyFill="1" applyBorder="1" applyAlignment="1">
      <alignment horizontal="justify" vertical="center" wrapText="1"/>
    </xf>
    <xf numFmtId="42" fontId="28" fillId="0" borderId="1" xfId="1" applyNumberFormat="1" applyFont="1" applyFill="1" applyBorder="1" applyAlignment="1">
      <alignment horizontal="right" vertical="center"/>
    </xf>
    <xf numFmtId="0" fontId="20" fillId="0" borderId="1" xfId="0" applyFont="1" applyFill="1" applyBorder="1" applyAlignment="1">
      <alignment horizontal="right" vertical="center"/>
    </xf>
    <xf numFmtId="1" fontId="20" fillId="0" borderId="1" xfId="0" applyNumberFormat="1" applyFont="1" applyFill="1" applyBorder="1" applyAlignment="1">
      <alignment horizontal="right" vertical="center"/>
    </xf>
    <xf numFmtId="42" fontId="20" fillId="0" borderId="1" xfId="5" applyFont="1" applyFill="1" applyBorder="1" applyAlignment="1">
      <alignment horizontal="right" vertical="center"/>
    </xf>
    <xf numFmtId="0" fontId="20" fillId="0" borderId="1" xfId="0" applyFont="1" applyFill="1" applyBorder="1" applyAlignment="1">
      <alignment horizontal="justify" vertical="center"/>
    </xf>
    <xf numFmtId="9" fontId="20" fillId="0" borderId="1" xfId="1" applyNumberFormat="1" applyFont="1" applyFill="1" applyBorder="1" applyAlignment="1">
      <alignment horizontal="right" vertical="center"/>
    </xf>
    <xf numFmtId="0" fontId="20" fillId="0" borderId="0" xfId="0" applyFont="1" applyFill="1"/>
    <xf numFmtId="0" fontId="28" fillId="0" borderId="1" xfId="0" applyNumberFormat="1" applyFont="1" applyFill="1" applyBorder="1" applyAlignment="1">
      <alignment horizontal="justify" vertical="center" wrapText="1"/>
    </xf>
    <xf numFmtId="9" fontId="28" fillId="15" borderId="1" xfId="1" applyNumberFormat="1" applyFont="1" applyFill="1" applyBorder="1" applyAlignment="1">
      <alignment horizontal="right" vertical="center" wrapText="1"/>
    </xf>
    <xf numFmtId="0" fontId="28" fillId="15" borderId="0" xfId="0" applyFont="1" applyFill="1"/>
    <xf numFmtId="9" fontId="28" fillId="3" borderId="1" xfId="1" applyNumberFormat="1" applyFont="1" applyFill="1" applyBorder="1" applyAlignment="1">
      <alignment horizontal="right" vertical="center" wrapText="1"/>
    </xf>
    <xf numFmtId="0" fontId="28" fillId="3" borderId="0" xfId="0" applyFont="1" applyFill="1"/>
    <xf numFmtId="9" fontId="28" fillId="0" borderId="1" xfId="3" applyNumberFormat="1" applyFont="1" applyFill="1" applyBorder="1" applyAlignment="1">
      <alignment horizontal="right" vertical="center"/>
    </xf>
    <xf numFmtId="0" fontId="2" fillId="0" borderId="0" xfId="0" applyFont="1"/>
    <xf numFmtId="42" fontId="0" fillId="0" borderId="0" xfId="5" applyFont="1"/>
    <xf numFmtId="168" fontId="0" fillId="0" borderId="0" xfId="5" applyNumberFormat="1" applyFont="1"/>
    <xf numFmtId="42" fontId="2" fillId="0" borderId="0" xfId="5" applyFont="1"/>
    <xf numFmtId="42" fontId="2" fillId="0" borderId="0" xfId="0" applyNumberFormat="1" applyFont="1"/>
    <xf numFmtId="168" fontId="2" fillId="0" borderId="0" xfId="0" applyNumberFormat="1" applyFont="1"/>
    <xf numFmtId="169" fontId="0" fillId="0" borderId="0" xfId="0" applyNumberFormat="1"/>
    <xf numFmtId="168" fontId="2" fillId="0" borderId="0" xfId="5" applyNumberFormat="1" applyFont="1"/>
    <xf numFmtId="169" fontId="2" fillId="0" borderId="0" xfId="0" applyNumberFormat="1" applyFont="1"/>
    <xf numFmtId="166" fontId="28" fillId="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1" fontId="28" fillId="0" borderId="1" xfId="1" applyNumberFormat="1" applyFont="1" applyFill="1" applyBorder="1" applyAlignment="1">
      <alignment horizontal="right" vertical="center" wrapText="1"/>
    </xf>
    <xf numFmtId="0" fontId="20" fillId="0" borderId="1" xfId="0" applyFont="1" applyFill="1" applyBorder="1" applyAlignment="1">
      <alignment vertical="center" wrapText="1"/>
    </xf>
    <xf numFmtId="0" fontId="29" fillId="0" borderId="0" xfId="0" applyFont="1" applyAlignment="1">
      <alignment horizontal="left" vertical="center" wrapText="1" readingOrder="1"/>
    </xf>
    <xf numFmtId="0" fontId="31" fillId="0" borderId="0" xfId="0" applyFont="1"/>
    <xf numFmtId="42" fontId="0" fillId="0" borderId="0" xfId="5" applyNumberFormat="1" applyFont="1"/>
    <xf numFmtId="0" fontId="0" fillId="0" borderId="0" xfId="0" applyAlignment="1">
      <alignment horizontal="right"/>
    </xf>
    <xf numFmtId="0" fontId="30" fillId="0" borderId="35" xfId="0" applyFont="1" applyBorder="1" applyAlignment="1">
      <alignment horizontal="left" vertical="center" wrapText="1" readingOrder="1"/>
    </xf>
    <xf numFmtId="42" fontId="2" fillId="0" borderId="42" xfId="0" applyNumberFormat="1" applyFont="1" applyBorder="1"/>
    <xf numFmtId="42" fontId="31" fillId="0" borderId="36" xfId="0" applyNumberFormat="1" applyFont="1" applyBorder="1"/>
    <xf numFmtId="0" fontId="2" fillId="0" borderId="42" xfId="0" applyFont="1" applyBorder="1" applyAlignment="1">
      <alignment horizontal="right"/>
    </xf>
    <xf numFmtId="0" fontId="31" fillId="0" borderId="36" xfId="0" applyFont="1" applyBorder="1" applyAlignment="1">
      <alignment horizontal="right"/>
    </xf>
    <xf numFmtId="0" fontId="0" fillId="0" borderId="1" xfId="0" applyBorder="1" applyAlignment="1">
      <alignment horizontal="right"/>
    </xf>
    <xf numFmtId="42" fontId="0" fillId="0" borderId="1" xfId="5" applyFont="1" applyBorder="1" applyAlignment="1">
      <alignment horizontal="right"/>
    </xf>
    <xf numFmtId="0" fontId="0" fillId="0" borderId="1" xfId="0" applyFill="1" applyBorder="1" applyAlignment="1">
      <alignment horizontal="right"/>
    </xf>
    <xf numFmtId="0" fontId="29" fillId="0" borderId="7" xfId="0" applyFont="1" applyBorder="1" applyAlignment="1">
      <alignment horizontal="left" vertical="center" wrapText="1" readingOrder="1"/>
    </xf>
    <xf numFmtId="0" fontId="0" fillId="0" borderId="8" xfId="0" applyBorder="1" applyAlignment="1">
      <alignment horizontal="right"/>
    </xf>
    <xf numFmtId="42" fontId="0" fillId="0" borderId="8" xfId="5" applyFont="1" applyBorder="1" applyAlignment="1">
      <alignment horizontal="right"/>
    </xf>
    <xf numFmtId="0" fontId="29" fillId="0" borderId="9" xfId="0" applyFont="1" applyBorder="1" applyAlignment="1">
      <alignment horizontal="left" vertical="center" wrapText="1" readingOrder="1"/>
    </xf>
    <xf numFmtId="0" fontId="0" fillId="0" borderId="25" xfId="0" applyBorder="1" applyAlignment="1">
      <alignment horizontal="right"/>
    </xf>
    <xf numFmtId="0" fontId="0" fillId="0" borderId="25" xfId="0" applyFill="1" applyBorder="1" applyAlignment="1">
      <alignment horizontal="right"/>
    </xf>
    <xf numFmtId="0" fontId="0" fillId="0" borderId="10" xfId="0" applyBorder="1" applyAlignment="1">
      <alignment horizontal="right"/>
    </xf>
    <xf numFmtId="0" fontId="2" fillId="0" borderId="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42" fontId="0" fillId="7" borderId="0" xfId="5" applyFont="1" applyFill="1"/>
    <xf numFmtId="0" fontId="32" fillId="16" borderId="1" xfId="0" applyFont="1" applyFill="1" applyBorder="1" applyAlignment="1">
      <alignment vertical="center"/>
    </xf>
    <xf numFmtId="0" fontId="28" fillId="0" borderId="0" xfId="0" applyFont="1" applyFill="1" applyAlignment="1">
      <alignment horizontal="center" vertical="center"/>
    </xf>
    <xf numFmtId="0" fontId="32" fillId="3" borderId="1" xfId="0" applyFont="1" applyFill="1" applyBorder="1" applyAlignment="1">
      <alignment vertical="center"/>
    </xf>
    <xf numFmtId="0" fontId="28" fillId="0" borderId="1" xfId="0" applyFont="1" applyFill="1" applyBorder="1" applyAlignment="1">
      <alignment horizontal="center" vertical="center" wrapText="1"/>
    </xf>
    <xf numFmtId="42" fontId="28" fillId="0" borderId="1" xfId="5" applyFont="1" applyFill="1" applyBorder="1" applyAlignment="1">
      <alignment horizontal="right" wrapText="1"/>
    </xf>
    <xf numFmtId="166" fontId="28" fillId="0" borderId="1" xfId="1" applyNumberFormat="1" applyFont="1" applyFill="1" applyBorder="1" applyAlignment="1">
      <alignment horizontal="right" vertical="center"/>
    </xf>
    <xf numFmtId="0" fontId="20" fillId="0" borderId="1" xfId="0" applyFont="1" applyFill="1" applyBorder="1" applyAlignment="1">
      <alignment horizontal="right"/>
    </xf>
    <xf numFmtId="42" fontId="28" fillId="0" borderId="0" xfId="0" applyNumberFormat="1" applyFont="1" applyFill="1"/>
    <xf numFmtId="0" fontId="33" fillId="0" borderId="0" xfId="0" applyFont="1" applyFill="1"/>
    <xf numFmtId="0" fontId="33" fillId="0" borderId="0" xfId="0" applyFont="1"/>
    <xf numFmtId="0" fontId="34" fillId="0" borderId="0" xfId="0" applyFont="1" applyAlignment="1">
      <alignment horizontal="left"/>
    </xf>
    <xf numFmtId="0" fontId="33" fillId="0" borderId="0" xfId="0" applyFont="1" applyAlignment="1">
      <alignment horizontal="center"/>
    </xf>
    <xf numFmtId="0" fontId="5" fillId="0" borderId="0" xfId="0" applyFont="1" applyAlignment="1">
      <alignment horizontal="left"/>
    </xf>
    <xf numFmtId="0" fontId="36" fillId="0" borderId="0" xfId="0" applyFont="1"/>
    <xf numFmtId="41" fontId="20" fillId="0" borderId="0" xfId="0" applyNumberFormat="1" applyFont="1"/>
    <xf numFmtId="0" fontId="20" fillId="0" borderId="0" xfId="0" applyFont="1" applyAlignment="1">
      <alignment horizontal="center"/>
    </xf>
    <xf numFmtId="0" fontId="37" fillId="16" borderId="13" xfId="0" applyFont="1" applyFill="1" applyBorder="1" applyAlignment="1">
      <alignment horizontal="center" vertical="center" wrapText="1"/>
    </xf>
    <xf numFmtId="0" fontId="37" fillId="16" borderId="26"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28" xfId="0" applyFont="1" applyFill="1" applyBorder="1" applyAlignment="1">
      <alignment horizontal="center" vertical="center" wrapText="1"/>
    </xf>
    <xf numFmtId="0" fontId="37" fillId="17" borderId="26" xfId="0" applyFont="1" applyFill="1" applyBorder="1" applyAlignment="1">
      <alignment horizontal="center" vertical="center" wrapText="1"/>
    </xf>
    <xf numFmtId="0" fontId="37" fillId="5" borderId="26" xfId="0" applyFont="1" applyFill="1" applyBorder="1" applyAlignment="1">
      <alignment horizontal="center" vertical="center" wrapText="1"/>
    </xf>
    <xf numFmtId="0" fontId="20" fillId="0" borderId="0" xfId="0" applyFont="1" applyFill="1" applyAlignment="1">
      <alignment horizontal="center"/>
    </xf>
    <xf numFmtId="41" fontId="20" fillId="0" borderId="0" xfId="0" applyNumberFormat="1" applyFont="1" applyFill="1"/>
    <xf numFmtId="0" fontId="20" fillId="0" borderId="0" xfId="0" applyFont="1" applyFill="1" applyAlignment="1">
      <alignment horizontal="justify" vertical="center"/>
    </xf>
    <xf numFmtId="0" fontId="5" fillId="0" borderId="0" xfId="0" applyFont="1"/>
    <xf numFmtId="42" fontId="5" fillId="0" borderId="0" xfId="0" applyNumberFormat="1" applyFont="1"/>
    <xf numFmtId="42" fontId="20" fillId="0" borderId="0" xfId="0" applyNumberFormat="1" applyFont="1"/>
    <xf numFmtId="42" fontId="20" fillId="0" borderId="0" xfId="0" applyNumberFormat="1" applyFont="1" applyFill="1"/>
    <xf numFmtId="42" fontId="20" fillId="0" borderId="0" xfId="5" applyFont="1"/>
    <xf numFmtId="42" fontId="20" fillId="0" borderId="1" xfId="0" applyNumberFormat="1" applyFont="1" applyFill="1" applyBorder="1" applyAlignment="1">
      <alignment horizontal="right" vertical="center"/>
    </xf>
    <xf numFmtId="9" fontId="20" fillId="0" borderId="1" xfId="1" applyNumberFormat="1" applyFont="1" applyFill="1" applyBorder="1" applyAlignment="1">
      <alignment horizontal="right" vertical="center" wrapText="1"/>
    </xf>
    <xf numFmtId="0" fontId="41" fillId="3" borderId="1" xfId="0" applyFont="1" applyFill="1" applyBorder="1" applyAlignment="1">
      <alignment vertical="center"/>
    </xf>
    <xf numFmtId="0" fontId="41" fillId="16" borderId="1" xfId="0" applyFont="1" applyFill="1" applyBorder="1" applyAlignment="1">
      <alignment vertical="center"/>
    </xf>
    <xf numFmtId="0" fontId="20" fillId="0" borderId="1" xfId="0" applyFont="1" applyFill="1" applyBorder="1" applyAlignment="1">
      <alignment horizontal="center"/>
    </xf>
    <xf numFmtId="0" fontId="20" fillId="0" borderId="0" xfId="0" applyFont="1" applyFill="1" applyAlignment="1">
      <alignment horizontal="center" vertical="center"/>
    </xf>
    <xf numFmtId="9" fontId="28" fillId="0" borderId="1" xfId="0" applyNumberFormat="1" applyFont="1" applyFill="1" applyBorder="1" applyAlignment="1">
      <alignment horizontal="right" vertical="center" wrapText="1"/>
    </xf>
    <xf numFmtId="42" fontId="28" fillId="0" borderId="1" xfId="27" applyFont="1" applyFill="1" applyBorder="1" applyAlignment="1">
      <alignment horizontal="right" vertical="center" wrapText="1"/>
    </xf>
    <xf numFmtId="9" fontId="28" fillId="0" borderId="1" xfId="1" applyFont="1" applyFill="1" applyBorder="1" applyAlignment="1">
      <alignment horizontal="right" vertical="center" wrapText="1"/>
    </xf>
    <xf numFmtId="1" fontId="28" fillId="0" borderId="1" xfId="0" applyNumberFormat="1" applyFont="1" applyFill="1" applyBorder="1" applyAlignment="1">
      <alignment horizontal="right" vertical="center" wrapText="1"/>
    </xf>
    <xf numFmtId="0" fontId="5" fillId="0" borderId="0" xfId="0" applyFont="1" applyAlignment="1">
      <alignment horizontal="left"/>
    </xf>
    <xf numFmtId="0" fontId="41" fillId="0" borderId="0" xfId="0" applyFont="1" applyFill="1"/>
    <xf numFmtId="0" fontId="5" fillId="0" borderId="0" xfId="0" applyFont="1" applyAlignment="1">
      <alignment horizontal="left"/>
    </xf>
    <xf numFmtId="0" fontId="28" fillId="0" borderId="18" xfId="0" applyFont="1" applyFill="1" applyBorder="1" applyAlignment="1">
      <alignment horizontal="justify" vertical="center"/>
    </xf>
    <xf numFmtId="0" fontId="20" fillId="0" borderId="1" xfId="0" applyFont="1" applyFill="1" applyBorder="1" applyAlignment="1">
      <alignment horizontal="center" vertical="center" wrapText="1"/>
    </xf>
    <xf numFmtId="0" fontId="2" fillId="0" borderId="0" xfId="0" applyFont="1" applyAlignment="1">
      <alignment horizontal="center"/>
    </xf>
    <xf numFmtId="0" fontId="37" fillId="17" borderId="69" xfId="0" applyFont="1" applyFill="1" applyBorder="1" applyAlignment="1">
      <alignment horizontal="center" vertical="center" wrapText="1"/>
    </xf>
    <xf numFmtId="168" fontId="0" fillId="7" borderId="0" xfId="5" applyNumberFormat="1" applyFont="1" applyFill="1"/>
    <xf numFmtId="0" fontId="5" fillId="0" borderId="2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44" fillId="0" borderId="0" xfId="0" applyFont="1"/>
    <xf numFmtId="1" fontId="44" fillId="0" borderId="0" xfId="0" applyNumberFormat="1" applyFont="1"/>
    <xf numFmtId="0" fontId="45" fillId="0" borderId="0" xfId="0" applyFont="1" applyFill="1"/>
    <xf numFmtId="0" fontId="44" fillId="0" borderId="0" xfId="0" applyFont="1" applyFill="1"/>
    <xf numFmtId="0" fontId="44" fillId="0" borderId="0" xfId="0" applyFont="1" applyFill="1" applyBorder="1"/>
    <xf numFmtId="0" fontId="45" fillId="0" borderId="0" xfId="0" applyFont="1"/>
    <xf numFmtId="0" fontId="46" fillId="0" borderId="0" xfId="0" applyFont="1" applyBorder="1" applyAlignment="1">
      <alignment horizontal="left"/>
    </xf>
    <xf numFmtId="9" fontId="44" fillId="0" borderId="0" xfId="0" applyNumberFormat="1" applyFont="1"/>
    <xf numFmtId="0" fontId="33" fillId="13" borderId="0" xfId="0" applyFont="1" applyFill="1"/>
    <xf numFmtId="0" fontId="47" fillId="13" borderId="0" xfId="0" applyFont="1" applyFill="1"/>
    <xf numFmtId="0" fontId="46" fillId="13" borderId="0" xfId="0" applyFont="1" applyFill="1"/>
    <xf numFmtId="1" fontId="44" fillId="0" borderId="0" xfId="0" applyNumberFormat="1" applyFont="1" applyFill="1"/>
    <xf numFmtId="166" fontId="49" fillId="0" borderId="0" xfId="1" applyNumberFormat="1" applyFont="1" applyFill="1" applyBorder="1" applyAlignment="1">
      <alignment horizontal="right" vertical="center"/>
    </xf>
    <xf numFmtId="0" fontId="50" fillId="0" borderId="0" xfId="0" applyFont="1" applyFill="1" applyBorder="1" applyAlignment="1">
      <alignment horizontal="right"/>
    </xf>
    <xf numFmtId="0" fontId="48" fillId="0" borderId="0" xfId="0" applyFont="1" applyFill="1" applyBorder="1" applyAlignment="1">
      <alignment horizontal="center" vertical="center"/>
    </xf>
    <xf numFmtId="9" fontId="51" fillId="13" borderId="36" xfId="1" applyFont="1" applyFill="1" applyBorder="1" applyAlignment="1">
      <alignment horizontal="right" vertical="center"/>
    </xf>
    <xf numFmtId="166" fontId="49" fillId="17" borderId="15" xfId="1" applyNumberFormat="1" applyFont="1" applyFill="1" applyBorder="1" applyAlignment="1">
      <alignment horizontal="right" vertical="center"/>
    </xf>
    <xf numFmtId="9" fontId="51" fillId="18" borderId="36" xfId="1" applyFont="1" applyFill="1" applyBorder="1" applyAlignment="1">
      <alignment horizontal="right" vertical="center"/>
    </xf>
    <xf numFmtId="9" fontId="51" fillId="13" borderId="42" xfId="1" applyFont="1" applyFill="1" applyBorder="1" applyAlignment="1">
      <alignment horizontal="right" vertical="center"/>
    </xf>
    <xf numFmtId="9" fontId="51" fillId="13" borderId="68" xfId="1" applyFont="1" applyFill="1" applyBorder="1" applyAlignment="1">
      <alignment horizontal="right" vertical="center"/>
    </xf>
    <xf numFmtId="166" fontId="49" fillId="17" borderId="35" xfId="1" applyNumberFormat="1" applyFont="1" applyFill="1" applyBorder="1" applyAlignment="1">
      <alignment horizontal="right" vertical="center"/>
    </xf>
    <xf numFmtId="0" fontId="44" fillId="0" borderId="0" xfId="0" applyFont="1" applyBorder="1"/>
    <xf numFmtId="9" fontId="52" fillId="14" borderId="36" xfId="1" applyFont="1" applyFill="1" applyBorder="1" applyAlignment="1">
      <alignment horizontal="center" vertical="center"/>
    </xf>
    <xf numFmtId="166" fontId="52" fillId="14" borderId="35" xfId="1" applyNumberFormat="1" applyFont="1" applyFill="1" applyBorder="1" applyAlignment="1">
      <alignment horizontal="center" vertical="center"/>
    </xf>
    <xf numFmtId="166" fontId="52" fillId="14" borderId="30" xfId="1" applyNumberFormat="1" applyFont="1" applyFill="1" applyBorder="1" applyAlignment="1">
      <alignment horizontal="center" vertical="center"/>
    </xf>
    <xf numFmtId="0" fontId="52" fillId="14" borderId="36" xfId="1" applyNumberFormat="1" applyFont="1" applyFill="1" applyBorder="1" applyAlignment="1">
      <alignment horizontal="center" vertical="center"/>
    </xf>
    <xf numFmtId="9" fontId="53" fillId="13" borderId="42" xfId="1" applyFont="1" applyFill="1" applyBorder="1" applyAlignment="1">
      <alignment horizontal="right" vertical="center"/>
    </xf>
    <xf numFmtId="166" fontId="52" fillId="17" borderId="35" xfId="1" applyNumberFormat="1" applyFont="1" applyFill="1" applyBorder="1" applyAlignment="1">
      <alignment horizontal="right" vertical="center"/>
    </xf>
    <xf numFmtId="0" fontId="54" fillId="0" borderId="0" xfId="0" applyFont="1" applyFill="1" applyBorder="1" applyAlignment="1">
      <alignment horizontal="right"/>
    </xf>
    <xf numFmtId="9" fontId="53" fillId="13" borderId="36" xfId="1" applyFont="1" applyFill="1" applyBorder="1" applyAlignment="1">
      <alignment horizontal="right" vertical="center"/>
    </xf>
    <xf numFmtId="9" fontId="53" fillId="13" borderId="68" xfId="1" applyFont="1" applyFill="1" applyBorder="1" applyAlignment="1">
      <alignment horizontal="right" vertical="center"/>
    </xf>
    <xf numFmtId="0" fontId="55" fillId="0" borderId="21" xfId="0" applyFont="1" applyBorder="1" applyAlignment="1">
      <alignment horizontal="center" vertical="center" wrapText="1"/>
    </xf>
    <xf numFmtId="9" fontId="56" fillId="13" borderId="0" xfId="0" applyNumberFormat="1" applyFont="1" applyFill="1" applyBorder="1" applyAlignment="1">
      <alignment horizontal="center" vertical="center"/>
    </xf>
    <xf numFmtId="9" fontId="56" fillId="13" borderId="21" xfId="0" applyNumberFormat="1" applyFont="1" applyFill="1" applyBorder="1" applyAlignment="1">
      <alignment horizontal="center" vertical="center"/>
    </xf>
    <xf numFmtId="0" fontId="44" fillId="0" borderId="0" xfId="0" applyFont="1" applyFill="1" applyBorder="1" applyAlignment="1">
      <alignment horizontal="center"/>
    </xf>
    <xf numFmtId="0" fontId="55" fillId="0" borderId="40" xfId="0" applyFont="1" applyBorder="1" applyAlignment="1">
      <alignment horizontal="center" vertical="center" wrapText="1"/>
    </xf>
    <xf numFmtId="0" fontId="55" fillId="0" borderId="22"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9" fontId="58" fillId="13" borderId="67" xfId="1" applyFont="1" applyFill="1" applyBorder="1" applyAlignment="1">
      <alignment horizontal="right" vertical="center"/>
    </xf>
    <xf numFmtId="9" fontId="58" fillId="13" borderId="2" xfId="1" applyFont="1" applyFill="1" applyBorder="1" applyAlignment="1">
      <alignment horizontal="right" vertical="center"/>
    </xf>
    <xf numFmtId="0" fontId="45" fillId="0" borderId="0" xfId="0" applyFont="1" applyFill="1" applyBorder="1" applyAlignment="1">
      <alignment horizontal="right"/>
    </xf>
    <xf numFmtId="9" fontId="59" fillId="13" borderId="7" xfId="1" applyFont="1" applyFill="1" applyBorder="1" applyAlignment="1">
      <alignment horizontal="right" vertical="center"/>
    </xf>
    <xf numFmtId="0" fontId="60" fillId="0" borderId="8" xfId="0" applyFont="1" applyBorder="1" applyAlignment="1">
      <alignment horizontal="justify" vertical="center" wrapText="1"/>
    </xf>
    <xf numFmtId="9" fontId="58" fillId="18" borderId="8" xfId="1" applyFont="1" applyFill="1" applyBorder="1" applyAlignment="1">
      <alignment horizontal="right" vertical="center"/>
    </xf>
    <xf numFmtId="9" fontId="58" fillId="18" borderId="54" xfId="1" applyFont="1" applyFill="1" applyBorder="1" applyAlignment="1">
      <alignment horizontal="right" vertical="center"/>
    </xf>
    <xf numFmtId="1" fontId="59" fillId="13" borderId="37" xfId="1" applyNumberFormat="1" applyFont="1" applyFill="1" applyBorder="1" applyAlignment="1">
      <alignment horizontal="right" vertical="center"/>
    </xf>
    <xf numFmtId="1" fontId="59" fillId="13" borderId="7" xfId="1" applyNumberFormat="1" applyFont="1" applyFill="1" applyBorder="1" applyAlignment="1">
      <alignment horizontal="right" vertical="center"/>
    </xf>
    <xf numFmtId="0" fontId="60" fillId="0" borderId="16" xfId="0" applyFont="1" applyBorder="1" applyAlignment="1">
      <alignment horizontal="justify" vertical="center" wrapText="1"/>
    </xf>
    <xf numFmtId="0" fontId="55" fillId="0" borderId="0" xfId="0" applyFont="1" applyBorder="1" applyAlignment="1">
      <alignment horizontal="center" vertical="center" wrapText="1"/>
    </xf>
    <xf numFmtId="9" fontId="56" fillId="13" borderId="44"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60" fillId="0" borderId="8" xfId="0" applyFont="1" applyFill="1" applyBorder="1" applyAlignment="1">
      <alignment horizontal="justify" vertical="center" wrapText="1"/>
    </xf>
    <xf numFmtId="0" fontId="55" fillId="0" borderId="2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23" xfId="0" applyNumberFormat="1" applyFont="1" applyBorder="1" applyAlignment="1">
      <alignment horizontal="center" vertical="center" wrapText="1"/>
    </xf>
    <xf numFmtId="0" fontId="55" fillId="0" borderId="44" xfId="0" applyNumberFormat="1" applyFont="1" applyBorder="1" applyAlignment="1">
      <alignment horizontal="center" vertical="center" wrapText="1"/>
    </xf>
    <xf numFmtId="0" fontId="55" fillId="0" borderId="22" xfId="0" applyNumberFormat="1" applyFont="1" applyBorder="1" applyAlignment="1">
      <alignment horizontal="center" vertical="center" wrapText="1"/>
    </xf>
    <xf numFmtId="0" fontId="55" fillId="0" borderId="41" xfId="0" applyNumberFormat="1" applyFont="1" applyBorder="1" applyAlignment="1">
      <alignment horizontal="center" vertical="center" wrapText="1"/>
    </xf>
    <xf numFmtId="0" fontId="55" fillId="0" borderId="21" xfId="0" applyNumberFormat="1" applyFont="1" applyBorder="1" applyAlignment="1">
      <alignment horizontal="center" vertical="center" wrapText="1"/>
    </xf>
    <xf numFmtId="0" fontId="55" fillId="0" borderId="40" xfId="0" applyNumberFormat="1" applyFont="1" applyBorder="1" applyAlignment="1">
      <alignment horizontal="center" vertical="center" wrapText="1"/>
    </xf>
    <xf numFmtId="166" fontId="52" fillId="0" borderId="0" xfId="1" applyNumberFormat="1" applyFont="1" applyFill="1" applyBorder="1" applyAlignment="1">
      <alignment horizontal="center" vertical="center"/>
    </xf>
    <xf numFmtId="1" fontId="52" fillId="0" borderId="0" xfId="1" applyNumberFormat="1" applyFont="1" applyFill="1" applyBorder="1" applyAlignment="1">
      <alignment horizontal="center" vertical="center"/>
    </xf>
    <xf numFmtId="9" fontId="56" fillId="13" borderId="41" xfId="0" applyNumberFormat="1" applyFont="1" applyFill="1" applyBorder="1" applyAlignment="1">
      <alignment horizontal="center" vertical="center"/>
    </xf>
    <xf numFmtId="166" fontId="52" fillId="13" borderId="0" xfId="1" applyNumberFormat="1" applyFont="1" applyFill="1" applyBorder="1" applyAlignment="1">
      <alignment horizontal="center" vertical="center"/>
    </xf>
    <xf numFmtId="1" fontId="52" fillId="13" borderId="0" xfId="1" applyNumberFormat="1" applyFont="1" applyFill="1" applyBorder="1" applyAlignment="1">
      <alignment horizontal="center" vertical="center"/>
    </xf>
    <xf numFmtId="0" fontId="61" fillId="13" borderId="0" xfId="0" applyFont="1" applyFill="1" applyBorder="1" applyAlignment="1">
      <alignment horizontal="center"/>
    </xf>
    <xf numFmtId="1" fontId="56" fillId="13" borderId="22" xfId="1" applyNumberFormat="1" applyFont="1" applyFill="1" applyBorder="1" applyAlignment="1">
      <alignment horizontal="center" vertical="center"/>
    </xf>
    <xf numFmtId="1" fontId="56" fillId="13" borderId="32" xfId="1" applyNumberFormat="1" applyFont="1" applyFill="1" applyBorder="1" applyAlignment="1">
      <alignment horizontal="center" vertical="center"/>
    </xf>
    <xf numFmtId="166" fontId="52" fillId="13" borderId="21" xfId="1" applyNumberFormat="1" applyFont="1" applyFill="1" applyBorder="1" applyAlignment="1">
      <alignment horizontal="center" vertical="center"/>
    </xf>
    <xf numFmtId="9" fontId="52" fillId="14" borderId="40" xfId="1" applyFont="1" applyFill="1" applyBorder="1" applyAlignment="1">
      <alignment horizontal="center" vertical="center"/>
    </xf>
    <xf numFmtId="166" fontId="52" fillId="14" borderId="33" xfId="1" applyNumberFormat="1" applyFont="1" applyFill="1" applyBorder="1" applyAlignment="1">
      <alignment horizontal="center" vertical="center"/>
    </xf>
    <xf numFmtId="166" fontId="52" fillId="14" borderId="0" xfId="1" applyNumberFormat="1" applyFont="1" applyFill="1" applyBorder="1" applyAlignment="1">
      <alignment horizontal="center" vertical="center"/>
    </xf>
    <xf numFmtId="166" fontId="52" fillId="13" borderId="40" xfId="1" applyNumberFormat="1" applyFont="1" applyFill="1" applyBorder="1" applyAlignment="1">
      <alignment horizontal="center" vertical="center"/>
    </xf>
    <xf numFmtId="166" fontId="52" fillId="0" borderId="21" xfId="1" applyNumberFormat="1" applyFont="1" applyFill="1" applyBorder="1" applyAlignment="1">
      <alignment horizontal="center" vertical="center"/>
    </xf>
    <xf numFmtId="9" fontId="52" fillId="0" borderId="40" xfId="1" applyFont="1" applyFill="1" applyBorder="1" applyAlignment="1">
      <alignment horizontal="center" vertical="center"/>
    </xf>
    <xf numFmtId="166" fontId="52" fillId="0" borderId="33" xfId="1" applyNumberFormat="1" applyFont="1" applyFill="1" applyBorder="1" applyAlignment="1">
      <alignment horizontal="center" vertical="center"/>
    </xf>
    <xf numFmtId="166" fontId="52" fillId="0" borderId="40" xfId="1" applyNumberFormat="1" applyFont="1" applyFill="1" applyBorder="1" applyAlignment="1">
      <alignment horizontal="center" vertical="center"/>
    </xf>
    <xf numFmtId="9" fontId="58" fillId="13" borderId="1" xfId="1" applyFont="1" applyFill="1" applyBorder="1" applyAlignment="1">
      <alignment horizontal="right" vertical="center"/>
    </xf>
    <xf numFmtId="9" fontId="58" fillId="13" borderId="24" xfId="1" applyFont="1" applyFill="1" applyBorder="1" applyAlignment="1">
      <alignment horizontal="right" vertical="center"/>
    </xf>
    <xf numFmtId="9" fontId="56" fillId="13" borderId="21" xfId="1" applyFont="1" applyFill="1" applyBorder="1" applyAlignment="1">
      <alignment horizontal="center" vertical="center"/>
    </xf>
    <xf numFmtId="9" fontId="58" fillId="13" borderId="65" xfId="1" applyFont="1" applyFill="1" applyBorder="1" applyAlignment="1">
      <alignment horizontal="right" vertical="center"/>
    </xf>
    <xf numFmtId="9" fontId="58" fillId="13" borderId="55" xfId="1" applyFont="1" applyFill="1" applyBorder="1" applyAlignment="1">
      <alignment horizontal="right" vertical="center"/>
    </xf>
    <xf numFmtId="9" fontId="59" fillId="13" borderId="5" xfId="1" applyFont="1" applyFill="1" applyBorder="1" applyAlignment="1">
      <alignment horizontal="right" vertical="center"/>
    </xf>
    <xf numFmtId="0" fontId="44" fillId="0" borderId="0" xfId="0" applyFont="1" applyAlignment="1">
      <alignment horizontal="center" vertical="center" wrapText="1"/>
    </xf>
    <xf numFmtId="49" fontId="64" fillId="12" borderId="32" xfId="0" applyNumberFormat="1" applyFont="1" applyFill="1" applyBorder="1" applyAlignment="1">
      <alignment horizontal="center" vertical="center" wrapText="1"/>
    </xf>
    <xf numFmtId="3" fontId="64" fillId="0" borderId="0" xfId="0" applyNumberFormat="1" applyFont="1" applyFill="1" applyBorder="1" applyAlignment="1">
      <alignment horizontal="center" vertical="center" wrapText="1"/>
    </xf>
    <xf numFmtId="1" fontId="44" fillId="0" borderId="0" xfId="0" applyNumberFormat="1" applyFont="1" applyAlignment="1">
      <alignment horizontal="center" vertical="center" wrapText="1"/>
    </xf>
    <xf numFmtId="49" fontId="64" fillId="12" borderId="0" xfId="0" applyNumberFormat="1" applyFont="1" applyFill="1" applyBorder="1" applyAlignment="1">
      <alignment horizontal="center" vertical="center" wrapText="1"/>
    </xf>
    <xf numFmtId="49" fontId="64" fillId="16" borderId="13" xfId="0" applyNumberFormat="1" applyFont="1" applyFill="1" applyBorder="1" applyAlignment="1">
      <alignment horizontal="center" vertical="center" wrapText="1"/>
    </xf>
    <xf numFmtId="3" fontId="66" fillId="0" borderId="0" xfId="0" applyNumberFormat="1" applyFont="1" applyFill="1" applyBorder="1" applyAlignment="1">
      <alignment horizontal="center" vertical="center" wrapText="1"/>
    </xf>
    <xf numFmtId="3" fontId="67" fillId="0" borderId="0" xfId="0" applyNumberFormat="1" applyFont="1" applyFill="1" applyBorder="1" applyAlignment="1">
      <alignment horizontal="center" vertical="center" wrapText="1"/>
    </xf>
    <xf numFmtId="3" fontId="64" fillId="16" borderId="21" xfId="0" applyNumberFormat="1" applyFont="1" applyFill="1" applyBorder="1" applyAlignment="1">
      <alignment horizontal="center" vertical="center" wrapText="1"/>
    </xf>
    <xf numFmtId="3" fontId="64" fillId="16" borderId="13" xfId="0" applyNumberFormat="1" applyFont="1" applyFill="1" applyBorder="1" applyAlignment="1">
      <alignment horizontal="center" vertical="center" wrapText="1"/>
    </xf>
    <xf numFmtId="0" fontId="44" fillId="0" borderId="0" xfId="0" applyFont="1" applyFill="1" applyBorder="1" applyAlignment="1">
      <alignment horizontal="centerContinuous" vertical="center"/>
    </xf>
    <xf numFmtId="0" fontId="59" fillId="0" borderId="0" xfId="0" applyFont="1" applyBorder="1" applyAlignment="1"/>
    <xf numFmtId="0" fontId="70" fillId="0" borderId="0" xfId="0" applyFont="1" applyBorder="1" applyAlignment="1">
      <alignment vertical="center"/>
    </xf>
    <xf numFmtId="0" fontId="20" fillId="0" borderId="10" xfId="0" applyFont="1" applyBorder="1" applyAlignment="1">
      <alignment vertical="center"/>
    </xf>
    <xf numFmtId="9" fontId="39" fillId="10" borderId="9" xfId="0" applyNumberFormat="1" applyFont="1" applyFill="1" applyBorder="1" applyAlignment="1">
      <alignment horizontal="center" vertical="center" wrapText="1" readingOrder="1"/>
    </xf>
    <xf numFmtId="0" fontId="39" fillId="10" borderId="9" xfId="0" applyFont="1" applyFill="1" applyBorder="1" applyAlignment="1">
      <alignment horizontal="center" vertical="center" wrapText="1" readingOrder="1"/>
    </xf>
    <xf numFmtId="9" fontId="44" fillId="0" borderId="0" xfId="1" applyFont="1" applyFill="1" applyBorder="1"/>
    <xf numFmtId="9" fontId="44" fillId="0" borderId="0" xfId="0" applyNumberFormat="1" applyFont="1" applyFill="1" applyBorder="1"/>
    <xf numFmtId="0" fontId="20" fillId="0" borderId="8" xfId="0" applyFont="1" applyBorder="1" applyAlignment="1">
      <alignment vertical="center"/>
    </xf>
    <xf numFmtId="9" fontId="39" fillId="7" borderId="7" xfId="0" applyNumberFormat="1" applyFont="1" applyFill="1" applyBorder="1" applyAlignment="1">
      <alignment horizontal="center" vertical="center" wrapText="1" readingOrder="1"/>
    </xf>
    <xf numFmtId="0" fontId="39" fillId="6" borderId="7" xfId="0" applyFont="1" applyFill="1" applyBorder="1" applyAlignment="1">
      <alignment horizontal="center" vertical="center" wrapText="1" readingOrder="1"/>
    </xf>
    <xf numFmtId="0" fontId="67" fillId="0" borderId="0" xfId="0" applyFont="1" applyBorder="1"/>
    <xf numFmtId="10" fontId="44" fillId="0" borderId="0" xfId="0" applyNumberFormat="1" applyFont="1" applyFill="1" applyBorder="1"/>
    <xf numFmtId="0" fontId="39" fillId="5" borderId="7" xfId="0" applyFont="1" applyFill="1" applyBorder="1" applyAlignment="1">
      <alignment horizontal="center" vertical="center" wrapText="1" readingOrder="1"/>
    </xf>
    <xf numFmtId="0" fontId="39" fillId="11" borderId="7" xfId="0" applyFont="1" applyFill="1" applyBorder="1" applyAlignment="1">
      <alignment horizontal="center" vertical="center" wrapText="1" readingOrder="1"/>
    </xf>
    <xf numFmtId="0" fontId="20" fillId="0" borderId="16" xfId="0" applyFont="1" applyBorder="1" applyAlignment="1">
      <alignment vertical="center"/>
    </xf>
    <xf numFmtId="0" fontId="38" fillId="0" borderId="37" xfId="0" applyFont="1" applyBorder="1" applyAlignment="1">
      <alignment horizontal="center" vertical="center"/>
    </xf>
    <xf numFmtId="0" fontId="21" fillId="0" borderId="0" xfId="0" applyFont="1" applyAlignment="1">
      <alignment horizontal="center" vertical="center"/>
    </xf>
    <xf numFmtId="0" fontId="71" fillId="0" borderId="0" xfId="0" applyFont="1" applyAlignment="1">
      <alignment horizontal="center" vertical="center"/>
    </xf>
    <xf numFmtId="1" fontId="12" fillId="0" borderId="0" xfId="0" applyNumberFormat="1" applyFont="1"/>
    <xf numFmtId="0" fontId="27" fillId="0" borderId="56" xfId="0" applyFont="1" applyBorder="1" applyAlignment="1">
      <alignment horizontal="center"/>
    </xf>
    <xf numFmtId="0" fontId="35" fillId="2" borderId="0" xfId="2" applyFont="1" applyFill="1" applyBorder="1" applyAlignment="1">
      <alignment horizontal="center" vertical="center"/>
    </xf>
    <xf numFmtId="0" fontId="20" fillId="0" borderId="0" xfId="0" applyFont="1" applyBorder="1" applyAlignment="1">
      <alignment vertical="center"/>
    </xf>
    <xf numFmtId="3" fontId="64" fillId="16" borderId="33" xfId="0" applyNumberFormat="1" applyFont="1" applyFill="1" applyBorder="1" applyAlignment="1">
      <alignment horizontal="center" vertical="center" wrapText="1"/>
    </xf>
    <xf numFmtId="0" fontId="44" fillId="0" borderId="19" xfId="0" applyFont="1" applyBorder="1" applyAlignment="1">
      <alignment horizontal="justify" vertical="center" wrapText="1"/>
    </xf>
    <xf numFmtId="0" fontId="44" fillId="0" borderId="20" xfId="0" applyFont="1" applyBorder="1" applyAlignment="1">
      <alignment horizontal="justify" vertical="center" wrapText="1"/>
    </xf>
    <xf numFmtId="0" fontId="44" fillId="0" borderId="2" xfId="0" applyFont="1" applyBorder="1" applyAlignment="1">
      <alignment horizontal="justify" vertical="center" wrapText="1"/>
    </xf>
    <xf numFmtId="9" fontId="58" fillId="18" borderId="2" xfId="1" applyFont="1" applyFill="1" applyBorder="1" applyAlignment="1">
      <alignment horizontal="right" vertical="center"/>
    </xf>
    <xf numFmtId="0" fontId="44" fillId="0" borderId="24" xfId="0" applyFont="1" applyBorder="1" applyAlignment="1">
      <alignment horizontal="justify" vertical="center" wrapText="1"/>
    </xf>
    <xf numFmtId="49" fontId="64" fillId="16" borderId="30" xfId="0" applyNumberFormat="1" applyFont="1" applyFill="1" applyBorder="1" applyAlignment="1">
      <alignment horizontal="center" vertical="center" wrapText="1"/>
    </xf>
    <xf numFmtId="0" fontId="45" fillId="0" borderId="0" xfId="0" applyFont="1" applyFill="1" applyBorder="1"/>
    <xf numFmtId="0" fontId="45" fillId="0" borderId="0" xfId="0" applyFont="1" applyBorder="1"/>
    <xf numFmtId="49" fontId="64" fillId="16" borderId="71" xfId="0" applyNumberFormat="1" applyFont="1" applyFill="1" applyBorder="1" applyAlignment="1">
      <alignment horizontal="center" vertical="center" wrapText="1"/>
    </xf>
    <xf numFmtId="9" fontId="58" fillId="18" borderId="55" xfId="1" applyFont="1" applyFill="1" applyBorder="1" applyAlignment="1">
      <alignment horizontal="right" vertical="center"/>
    </xf>
    <xf numFmtId="9" fontId="58" fillId="18" borderId="6" xfId="1" applyFont="1" applyFill="1" applyBorder="1" applyAlignment="1">
      <alignment horizontal="right" vertical="center"/>
    </xf>
    <xf numFmtId="0" fontId="44" fillId="0" borderId="17"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center" vertical="center" wrapText="1"/>
    </xf>
    <xf numFmtId="9" fontId="58" fillId="18" borderId="16"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60" fillId="0" borderId="16" xfId="0" applyFont="1" applyFill="1" applyBorder="1" applyAlignment="1">
      <alignment horizontal="justify" vertical="center" wrapText="1"/>
    </xf>
    <xf numFmtId="0" fontId="44" fillId="0" borderId="4" xfId="0" applyFont="1" applyFill="1" applyBorder="1" applyAlignment="1">
      <alignment horizontal="justify" vertical="center" wrapText="1"/>
    </xf>
    <xf numFmtId="0" fontId="44" fillId="0" borderId="1"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44" fillId="0" borderId="1" xfId="0" applyFont="1" applyBorder="1" applyAlignment="1">
      <alignment horizontal="justify" vertical="center" wrapText="1"/>
    </xf>
    <xf numFmtId="0" fontId="2" fillId="0" borderId="0" xfId="0" applyFont="1" applyAlignment="1">
      <alignment horizontal="center"/>
    </xf>
    <xf numFmtId="0" fontId="0" fillId="0" borderId="0" xfId="0" applyBorder="1" applyAlignment="1">
      <alignment horizontal="center"/>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4" fillId="0" borderId="1" xfId="0" applyFont="1" applyBorder="1" applyAlignment="1">
      <alignment horizontal="justify"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9" fillId="13" borderId="37"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16" xfId="1" applyFont="1" applyFill="1" applyBorder="1" applyAlignment="1">
      <alignment horizontal="right" vertical="center"/>
    </xf>
    <xf numFmtId="0" fontId="28" fillId="0" borderId="1" xfId="0" applyFont="1" applyFill="1" applyBorder="1" applyAlignment="1">
      <alignment vertical="center" wrapText="1"/>
    </xf>
    <xf numFmtId="0" fontId="44" fillId="0" borderId="54" xfId="0" applyFont="1" applyBorder="1" applyAlignment="1">
      <alignment horizontal="center" vertical="center" wrapText="1"/>
    </xf>
    <xf numFmtId="0" fontId="44" fillId="0" borderId="19" xfId="0" applyFont="1" applyBorder="1" applyAlignment="1">
      <alignment horizontal="center" vertical="center" wrapText="1"/>
    </xf>
    <xf numFmtId="0" fontId="62" fillId="0" borderId="1" xfId="0" applyFont="1" applyBorder="1" applyAlignment="1">
      <alignment horizontal="justify" vertical="center" wrapText="1"/>
    </xf>
    <xf numFmtId="0" fontId="44" fillId="0" borderId="2" xfId="0" applyFont="1" applyFill="1" applyBorder="1" applyAlignment="1">
      <alignment horizontal="center" vertical="center" wrapText="1"/>
    </xf>
    <xf numFmtId="0" fontId="44" fillId="0" borderId="2" xfId="0" applyFont="1" applyBorder="1" applyAlignment="1">
      <alignment horizontal="center" vertical="center" wrapText="1"/>
    </xf>
    <xf numFmtId="0" fontId="60" fillId="0" borderId="8" xfId="0" applyFont="1" applyBorder="1" applyAlignment="1">
      <alignment horizontal="center" vertical="center" wrapText="1"/>
    </xf>
    <xf numFmtId="0" fontId="44" fillId="0" borderId="0" xfId="0" applyFont="1" applyAlignment="1">
      <alignment horizontal="right"/>
    </xf>
    <xf numFmtId="0" fontId="44" fillId="0" borderId="17" xfId="0" applyFont="1" applyFill="1" applyBorder="1" applyAlignment="1">
      <alignment horizontal="center" vertical="center" wrapText="1"/>
    </xf>
    <xf numFmtId="0" fontId="44" fillId="0" borderId="17" xfId="0" applyFont="1" applyBorder="1" applyAlignment="1">
      <alignment horizontal="center" vertical="center" wrapText="1"/>
    </xf>
    <xf numFmtId="0" fontId="44" fillId="0" borderId="17" xfId="0" applyFont="1" applyFill="1" applyBorder="1" applyAlignment="1">
      <alignment horizontal="justify"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0" fontId="55" fillId="0" borderId="22" xfId="0" applyFont="1" applyBorder="1" applyAlignment="1">
      <alignment horizontal="center" vertical="center" wrapText="1"/>
    </xf>
    <xf numFmtId="9" fontId="56" fillId="13" borderId="22" xfId="1" applyFont="1" applyFill="1" applyBorder="1" applyAlignment="1">
      <alignment horizontal="center" vertical="center"/>
    </xf>
    <xf numFmtId="0" fontId="55" fillId="0" borderId="41" xfId="0" applyFont="1" applyBorder="1" applyAlignment="1">
      <alignment horizontal="center" vertical="center" wrapText="1"/>
    </xf>
    <xf numFmtId="0" fontId="27" fillId="0" borderId="25" xfId="0" applyFont="1" applyBorder="1" applyAlignment="1">
      <alignment horizontal="center"/>
    </xf>
    <xf numFmtId="9" fontId="51" fillId="11" borderId="36" xfId="1" applyFont="1" applyFill="1" applyBorder="1" applyAlignment="1">
      <alignment horizontal="right" vertical="center"/>
    </xf>
    <xf numFmtId="3" fontId="69" fillId="16" borderId="45" xfId="0" applyNumberFormat="1" applyFont="1" applyFill="1" applyBorder="1" applyAlignment="1">
      <alignment horizontal="center" vertical="center" wrapText="1"/>
    </xf>
    <xf numFmtId="0" fontId="40" fillId="0" borderId="0" xfId="0" applyFont="1" applyAlignment="1">
      <alignment horizontal="justify" vertical="center" wrapText="1"/>
    </xf>
    <xf numFmtId="9" fontId="69" fillId="16" borderId="21" xfId="1" applyFont="1" applyFill="1" applyBorder="1" applyAlignment="1">
      <alignment horizontal="center" vertical="center" wrapText="1"/>
    </xf>
    <xf numFmtId="0" fontId="40" fillId="0" borderId="0" xfId="0" applyFont="1"/>
    <xf numFmtId="0" fontId="40" fillId="0" borderId="52" xfId="0" applyFont="1" applyBorder="1" applyAlignment="1">
      <alignment horizontal="justify" vertical="center" wrapText="1"/>
    </xf>
    <xf numFmtId="9" fontId="73" fillId="13" borderId="52" xfId="1" applyFont="1" applyFill="1" applyBorder="1" applyAlignment="1">
      <alignment horizontal="center" vertical="center"/>
    </xf>
    <xf numFmtId="9" fontId="71" fillId="13" borderId="60" xfId="1" applyFont="1" applyFill="1" applyBorder="1" applyAlignment="1">
      <alignment horizontal="center" vertical="center"/>
    </xf>
    <xf numFmtId="9" fontId="71" fillId="13" borderId="24" xfId="1" applyFont="1" applyFill="1" applyBorder="1" applyAlignment="1">
      <alignment horizontal="center" vertical="center"/>
    </xf>
    <xf numFmtId="9" fontId="71" fillId="13" borderId="6" xfId="1" applyFont="1" applyFill="1" applyBorder="1" applyAlignment="1">
      <alignment horizontal="center" vertical="center"/>
    </xf>
    <xf numFmtId="9" fontId="73" fillId="13" borderId="5" xfId="1" applyNumberFormat="1" applyFont="1" applyFill="1" applyBorder="1" applyAlignment="1">
      <alignment horizontal="center" vertical="center"/>
    </xf>
    <xf numFmtId="9" fontId="71" fillId="13" borderId="5" xfId="1" applyNumberFormat="1" applyFont="1" applyFill="1" applyBorder="1" applyAlignment="1">
      <alignment horizontal="center" vertical="center"/>
    </xf>
    <xf numFmtId="9" fontId="71" fillId="13" borderId="24" xfId="1" applyNumberFormat="1" applyFont="1" applyFill="1" applyBorder="1" applyAlignment="1">
      <alignment horizontal="center" vertical="center"/>
    </xf>
    <xf numFmtId="9" fontId="71" fillId="13" borderId="6" xfId="1" applyNumberFormat="1" applyFont="1" applyFill="1" applyBorder="1" applyAlignment="1">
      <alignment horizontal="center" vertical="center"/>
    </xf>
    <xf numFmtId="9" fontId="74" fillId="13" borderId="52" xfId="1" applyFont="1" applyFill="1" applyBorder="1" applyAlignment="1">
      <alignment horizontal="center" vertical="center"/>
    </xf>
    <xf numFmtId="9" fontId="73" fillId="13" borderId="62" xfId="1" applyFont="1" applyFill="1" applyBorder="1" applyAlignment="1">
      <alignment horizontal="center" vertical="center"/>
    </xf>
    <xf numFmtId="9" fontId="71" fillId="13" borderId="55" xfId="1" applyNumberFormat="1" applyFont="1" applyFill="1" applyBorder="1" applyAlignment="1">
      <alignment horizontal="center" vertical="center"/>
    </xf>
    <xf numFmtId="0" fontId="40" fillId="0" borderId="0" xfId="0" applyFont="1" applyAlignment="1">
      <alignment horizontal="center"/>
    </xf>
    <xf numFmtId="9" fontId="71" fillId="13" borderId="5" xfId="1" applyFont="1" applyFill="1" applyBorder="1" applyAlignment="1">
      <alignment horizontal="center" vertical="center"/>
    </xf>
    <xf numFmtId="9" fontId="74" fillId="0" borderId="52" xfId="1" applyFont="1" applyFill="1" applyBorder="1" applyAlignment="1">
      <alignment horizontal="center" vertical="center"/>
    </xf>
    <xf numFmtId="0" fontId="40" fillId="0" borderId="48" xfId="0" applyFont="1" applyBorder="1" applyAlignment="1">
      <alignment horizontal="justify" vertical="center" wrapText="1"/>
    </xf>
    <xf numFmtId="9" fontId="73" fillId="13" borderId="48" xfId="1" applyFont="1" applyFill="1" applyBorder="1" applyAlignment="1">
      <alignment horizontal="center" vertical="center"/>
    </xf>
    <xf numFmtId="9" fontId="71" fillId="13" borderId="39" xfId="1" applyFont="1" applyFill="1" applyBorder="1" applyAlignment="1">
      <alignment horizontal="center" vertical="center"/>
    </xf>
    <xf numFmtId="9" fontId="71" fillId="13" borderId="1" xfId="1" applyFont="1" applyFill="1" applyBorder="1" applyAlignment="1">
      <alignment horizontal="center" vertical="center"/>
    </xf>
    <xf numFmtId="9" fontId="71" fillId="13" borderId="8" xfId="1" applyFont="1" applyFill="1" applyBorder="1" applyAlignment="1">
      <alignment horizontal="center" vertical="center"/>
    </xf>
    <xf numFmtId="9" fontId="73" fillId="13" borderId="37" xfId="1" applyNumberFormat="1" applyFont="1" applyFill="1" applyBorder="1" applyAlignment="1">
      <alignment horizontal="center" vertical="center"/>
    </xf>
    <xf numFmtId="9" fontId="71" fillId="13" borderId="7" xfId="1" applyNumberFormat="1" applyFont="1" applyFill="1" applyBorder="1" applyAlignment="1">
      <alignment horizontal="center" vertical="center"/>
    </xf>
    <xf numFmtId="9" fontId="71" fillId="13" borderId="1" xfId="1" applyNumberFormat="1" applyFont="1" applyFill="1" applyBorder="1" applyAlignment="1">
      <alignment horizontal="center" vertical="center"/>
    </xf>
    <xf numFmtId="9" fontId="71" fillId="13" borderId="8" xfId="1" applyNumberFormat="1" applyFont="1" applyFill="1" applyBorder="1" applyAlignment="1">
      <alignment horizontal="center" vertical="center"/>
    </xf>
    <xf numFmtId="9" fontId="74" fillId="13" borderId="48" xfId="1" applyNumberFormat="1" applyFont="1" applyFill="1" applyBorder="1" applyAlignment="1">
      <alignment horizontal="center" vertical="center"/>
    </xf>
    <xf numFmtId="9" fontId="73" fillId="13" borderId="46" xfId="1" applyFont="1" applyFill="1" applyBorder="1" applyAlignment="1">
      <alignment horizontal="center" vertical="center"/>
    </xf>
    <xf numFmtId="9" fontId="71" fillId="13" borderId="54" xfId="1" applyNumberFormat="1" applyFont="1" applyFill="1" applyBorder="1" applyAlignment="1">
      <alignment horizontal="center" vertical="center"/>
    </xf>
    <xf numFmtId="9" fontId="71" fillId="13" borderId="7" xfId="1" applyFont="1" applyFill="1" applyBorder="1" applyAlignment="1">
      <alignment horizontal="center" vertical="center"/>
    </xf>
    <xf numFmtId="0" fontId="40" fillId="0" borderId="49" xfId="0" applyFont="1" applyBorder="1" applyAlignment="1">
      <alignment horizontal="justify" vertical="center" wrapText="1"/>
    </xf>
    <xf numFmtId="9" fontId="73" fillId="13" borderId="49" xfId="1" applyFont="1" applyFill="1" applyBorder="1" applyAlignment="1">
      <alignment horizontal="center" vertical="center"/>
    </xf>
    <xf numFmtId="9" fontId="71" fillId="13" borderId="61" xfId="1" applyFont="1" applyFill="1" applyBorder="1" applyAlignment="1">
      <alignment horizontal="center" vertical="center"/>
    </xf>
    <xf numFmtId="9" fontId="71" fillId="13" borderId="25" xfId="1" applyFont="1" applyFill="1" applyBorder="1" applyAlignment="1">
      <alignment horizontal="center" vertical="center"/>
    </xf>
    <xf numFmtId="9" fontId="71" fillId="13" borderId="10" xfId="1" applyFont="1" applyFill="1" applyBorder="1" applyAlignment="1">
      <alignment horizontal="center" vertical="center"/>
    </xf>
    <xf numFmtId="9" fontId="73" fillId="13" borderId="15" xfId="1" applyFont="1" applyFill="1" applyBorder="1" applyAlignment="1">
      <alignment horizontal="center" vertical="center"/>
    </xf>
    <xf numFmtId="9" fontId="71" fillId="13" borderId="9" xfId="1" applyNumberFormat="1" applyFont="1" applyFill="1" applyBorder="1" applyAlignment="1">
      <alignment horizontal="center" vertical="center"/>
    </xf>
    <xf numFmtId="9" fontId="71" fillId="13" borderId="25" xfId="1" applyNumberFormat="1" applyFont="1" applyFill="1" applyBorder="1" applyAlignment="1">
      <alignment horizontal="center" vertical="center"/>
    </xf>
    <xf numFmtId="9" fontId="71" fillId="13" borderId="10" xfId="1" applyNumberFormat="1" applyFont="1" applyFill="1" applyBorder="1" applyAlignment="1">
      <alignment horizontal="center" vertical="center"/>
    </xf>
    <xf numFmtId="9" fontId="74" fillId="13" borderId="49" xfId="1" applyNumberFormat="1" applyFont="1" applyFill="1" applyBorder="1" applyAlignment="1">
      <alignment horizontal="center" vertical="center"/>
    </xf>
    <xf numFmtId="9" fontId="73" fillId="13" borderId="63" xfId="1" applyFont="1" applyFill="1" applyBorder="1" applyAlignment="1">
      <alignment horizontal="center" vertical="center"/>
    </xf>
    <xf numFmtId="9" fontId="71" fillId="13" borderId="56" xfId="1" applyNumberFormat="1" applyFont="1" applyFill="1" applyBorder="1" applyAlignment="1">
      <alignment horizontal="center" vertical="center"/>
    </xf>
    <xf numFmtId="9" fontId="71" fillId="13" borderId="9" xfId="1" applyFont="1" applyFill="1" applyBorder="1" applyAlignment="1">
      <alignment horizontal="center" vertical="center"/>
    </xf>
    <xf numFmtId="0" fontId="40" fillId="0" borderId="23" xfId="0" applyFont="1" applyBorder="1" applyAlignment="1">
      <alignment horizontal="justify" vertical="center" wrapText="1"/>
    </xf>
    <xf numFmtId="0" fontId="75" fillId="0" borderId="0" xfId="0" applyFont="1"/>
    <xf numFmtId="0" fontId="72" fillId="0" borderId="0" xfId="0" applyFont="1" applyBorder="1" applyAlignment="1">
      <alignment horizontal="center"/>
    </xf>
    <xf numFmtId="3" fontId="64" fillId="16" borderId="45" xfId="0" applyNumberFormat="1" applyFont="1" applyFill="1" applyBorder="1" applyAlignment="1">
      <alignment horizontal="center" vertical="center" wrapText="1"/>
    </xf>
    <xf numFmtId="9" fontId="74" fillId="13" borderId="45" xfId="1" applyFont="1" applyFill="1" applyBorder="1" applyAlignment="1">
      <alignment horizontal="center" vertical="center"/>
    </xf>
    <xf numFmtId="9" fontId="71" fillId="13" borderId="71" xfId="1" applyFont="1" applyFill="1" applyBorder="1" applyAlignment="1">
      <alignment horizontal="center" vertical="center"/>
    </xf>
    <xf numFmtId="9" fontId="71" fillId="13" borderId="42" xfId="1" applyFont="1" applyFill="1" applyBorder="1" applyAlignment="1">
      <alignment horizontal="center" vertical="center"/>
    </xf>
    <xf numFmtId="9" fontId="71" fillId="13" borderId="36" xfId="1" applyFont="1" applyFill="1" applyBorder="1" applyAlignment="1">
      <alignment horizontal="center" vertical="center"/>
    </xf>
    <xf numFmtId="9" fontId="74" fillId="13" borderId="45" xfId="1" applyNumberFormat="1" applyFont="1" applyFill="1" applyBorder="1" applyAlignment="1">
      <alignment horizontal="center" vertical="center"/>
    </xf>
    <xf numFmtId="9" fontId="71" fillId="13" borderId="35" xfId="1" applyNumberFormat="1" applyFont="1" applyFill="1" applyBorder="1" applyAlignment="1">
      <alignment horizontal="center" vertical="center"/>
    </xf>
    <xf numFmtId="9" fontId="71" fillId="13" borderId="42" xfId="1" applyNumberFormat="1" applyFont="1" applyFill="1" applyBorder="1" applyAlignment="1">
      <alignment horizontal="center" vertical="center"/>
    </xf>
    <xf numFmtId="9" fontId="71" fillId="13" borderId="36" xfId="1" applyNumberFormat="1" applyFont="1" applyFill="1" applyBorder="1" applyAlignment="1">
      <alignment horizontal="center" vertical="center"/>
    </xf>
    <xf numFmtId="9" fontId="74" fillId="13" borderId="29" xfId="1" applyFont="1" applyFill="1" applyBorder="1" applyAlignment="1">
      <alignment horizontal="center" vertical="center"/>
    </xf>
    <xf numFmtId="0" fontId="21" fillId="0" borderId="0" xfId="0" applyFont="1" applyAlignment="1">
      <alignment horizontal="center"/>
    </xf>
    <xf numFmtId="9" fontId="74" fillId="13" borderId="29" xfId="1" applyNumberFormat="1" applyFont="1" applyFill="1" applyBorder="1" applyAlignment="1">
      <alignment horizontal="center" vertical="center"/>
    </xf>
    <xf numFmtId="9" fontId="71" fillId="13" borderId="35" xfId="1" applyFont="1" applyFill="1" applyBorder="1" applyAlignment="1">
      <alignment horizontal="center" vertical="center"/>
    </xf>
    <xf numFmtId="9" fontId="71" fillId="13" borderId="0" xfId="1" applyNumberFormat="1" applyFont="1" applyFill="1" applyBorder="1" applyAlignment="1">
      <alignment horizontal="center" vertical="center"/>
    </xf>
    <xf numFmtId="9" fontId="74" fillId="13" borderId="0" xfId="1" applyNumberFormat="1" applyFont="1" applyFill="1" applyBorder="1" applyAlignment="1">
      <alignment horizontal="center" vertical="center"/>
    </xf>
    <xf numFmtId="10" fontId="0" fillId="0" borderId="0" xfId="0" applyNumberFormat="1"/>
    <xf numFmtId="0" fontId="40" fillId="0" borderId="50" xfId="0" applyFont="1" applyBorder="1" applyAlignment="1">
      <alignment horizontal="justify" vertical="center" wrapText="1"/>
    </xf>
    <xf numFmtId="9" fontId="74" fillId="13" borderId="52" xfId="1" applyNumberFormat="1" applyFont="1" applyFill="1" applyBorder="1" applyAlignment="1">
      <alignment horizontal="center" vertical="center"/>
    </xf>
    <xf numFmtId="9" fontId="74" fillId="13" borderId="48" xfId="1" applyFont="1" applyFill="1" applyBorder="1" applyAlignment="1">
      <alignment horizontal="center" vertical="center"/>
    </xf>
    <xf numFmtId="9" fontId="74" fillId="13" borderId="49" xfId="1" applyFont="1" applyFill="1" applyBorder="1" applyAlignment="1">
      <alignment horizontal="center" vertical="center"/>
    </xf>
    <xf numFmtId="0" fontId="40" fillId="0" borderId="57" xfId="0" applyFont="1" applyBorder="1"/>
    <xf numFmtId="9" fontId="40" fillId="0" borderId="0" xfId="0" applyNumberFormat="1" applyFont="1" applyAlignment="1">
      <alignment horizontal="center"/>
    </xf>
    <xf numFmtId="0" fontId="40" fillId="0" borderId="0" xfId="0" applyFont="1" applyBorder="1" applyAlignment="1">
      <alignment horizontal="justify" vertical="center" wrapText="1"/>
    </xf>
    <xf numFmtId="9" fontId="74" fillId="13" borderId="70" xfId="1" applyFont="1" applyFill="1" applyBorder="1" applyAlignment="1">
      <alignment horizontal="center" vertical="center"/>
    </xf>
    <xf numFmtId="9" fontId="74" fillId="13" borderId="46" xfId="1" applyFont="1" applyFill="1" applyBorder="1" applyAlignment="1">
      <alignment horizontal="center" vertical="center"/>
    </xf>
    <xf numFmtId="0" fontId="40" fillId="0" borderId="51" xfId="0" applyFont="1" applyBorder="1" applyAlignment="1">
      <alignment horizontal="justify" vertical="center" wrapText="1"/>
    </xf>
    <xf numFmtId="0" fontId="40" fillId="0" borderId="59" xfId="0" applyFont="1" applyBorder="1" applyAlignment="1">
      <alignment horizontal="justify" vertical="center" wrapText="1"/>
    </xf>
    <xf numFmtId="9" fontId="74" fillId="13" borderId="63" xfId="1" applyFont="1" applyFill="1" applyBorder="1" applyAlignment="1">
      <alignment horizontal="center" vertical="center"/>
    </xf>
    <xf numFmtId="0" fontId="61" fillId="0" borderId="0" xfId="0" applyFont="1"/>
    <xf numFmtId="0" fontId="52" fillId="0" borderId="0" xfId="0" applyFont="1" applyAlignment="1">
      <alignment horizontal="center"/>
    </xf>
    <xf numFmtId="0" fontId="48" fillId="13" borderId="0" xfId="0" applyFont="1" applyFill="1"/>
    <xf numFmtId="0" fontId="46" fillId="0" borderId="0" xfId="0" applyFont="1"/>
    <xf numFmtId="42" fontId="46" fillId="0" borderId="0" xfId="0" applyNumberFormat="1" applyFont="1" applyBorder="1" applyAlignment="1">
      <alignment horizontal="left"/>
    </xf>
    <xf numFmtId="171" fontId="2" fillId="0" borderId="0" xfId="3" applyNumberFormat="1" applyFont="1" applyFill="1" applyBorder="1"/>
    <xf numFmtId="42" fontId="46" fillId="0" borderId="0" xfId="0" applyNumberFormat="1" applyFont="1"/>
    <xf numFmtId="42" fontId="44" fillId="0" borderId="0" xfId="0" applyNumberFormat="1" applyFont="1"/>
    <xf numFmtId="9" fontId="52" fillId="5" borderId="45" xfId="1" applyNumberFormat="1" applyFont="1" applyFill="1" applyBorder="1"/>
    <xf numFmtId="9" fontId="52" fillId="0" borderId="0" xfId="1" applyNumberFormat="1" applyFont="1" applyFill="1" applyBorder="1"/>
    <xf numFmtId="9" fontId="52" fillId="7" borderId="45" xfId="1" applyFont="1" applyFill="1" applyBorder="1"/>
    <xf numFmtId="9" fontId="52" fillId="0" borderId="0" xfId="1" applyFont="1" applyFill="1" applyBorder="1"/>
    <xf numFmtId="1" fontId="59" fillId="13" borderId="14" xfId="1" applyNumberFormat="1" applyFont="1" applyFill="1" applyBorder="1" applyAlignment="1">
      <alignment horizontal="right" vertical="center"/>
    </xf>
    <xf numFmtId="9" fontId="58" fillId="13" borderId="20" xfId="1" applyFont="1" applyFill="1" applyBorder="1" applyAlignment="1">
      <alignment horizontal="right" vertical="center"/>
    </xf>
    <xf numFmtId="9" fontId="58" fillId="18" borderId="19" xfId="1" applyFont="1" applyFill="1" applyBorder="1" applyAlignment="1">
      <alignment horizontal="right" vertical="center"/>
    </xf>
    <xf numFmtId="9" fontId="58" fillId="13" borderId="41" xfId="1" applyFont="1" applyFill="1" applyBorder="1" applyAlignment="1">
      <alignment horizontal="right" vertical="center"/>
    </xf>
    <xf numFmtId="0" fontId="44" fillId="17" borderId="1" xfId="0" applyFont="1" applyFill="1" applyBorder="1" applyAlignment="1">
      <alignment horizontal="justify" vertical="center" wrapText="1"/>
    </xf>
    <xf numFmtId="0" fontId="5" fillId="0" borderId="1" xfId="0" applyFont="1" applyBorder="1" applyAlignment="1">
      <alignment horizontal="center"/>
    </xf>
    <xf numFmtId="0" fontId="20" fillId="0" borderId="1" xfId="0" applyFont="1" applyBorder="1" applyAlignment="1">
      <alignment horizontal="center" vertical="center"/>
    </xf>
    <xf numFmtId="0" fontId="20" fillId="0" borderId="1" xfId="0" applyFont="1" applyBorder="1" applyAlignment="1">
      <alignment horizontal="justify" vertical="center"/>
    </xf>
    <xf numFmtId="0" fontId="20" fillId="0" borderId="1" xfId="0" applyFont="1" applyBorder="1" applyAlignment="1">
      <alignment horizontal="justify" vertical="center" wrapText="1"/>
    </xf>
    <xf numFmtId="0" fontId="0" fillId="0" borderId="0" xfId="0" applyFill="1" applyBorder="1"/>
    <xf numFmtId="0" fontId="20" fillId="0" borderId="0" xfId="0" applyFont="1" applyFill="1" applyBorder="1" applyAlignment="1">
      <alignment horizontal="justify" vertical="center" wrapText="1"/>
    </xf>
    <xf numFmtId="0" fontId="37" fillId="16" borderId="21" xfId="0" applyFont="1" applyFill="1" applyBorder="1" applyAlignment="1">
      <alignment horizontal="center" vertical="center" wrapText="1"/>
    </xf>
    <xf numFmtId="0" fontId="18" fillId="0" borderId="0" xfId="0" applyFont="1" applyAlignment="1">
      <alignment horizontal="left"/>
    </xf>
    <xf numFmtId="0" fontId="20" fillId="0" borderId="1" xfId="0" applyFont="1" applyFill="1" applyBorder="1" applyAlignment="1">
      <alignment horizontal="justify" vertical="center" wrapText="1"/>
    </xf>
    <xf numFmtId="172" fontId="20" fillId="0" borderId="0" xfId="1" applyNumberFormat="1" applyFont="1"/>
    <xf numFmtId="0" fontId="0" fillId="0" borderId="1" xfId="0" applyFill="1" applyBorder="1"/>
    <xf numFmtId="0" fontId="28" fillId="0" borderId="1" xfId="0" applyFont="1" applyFill="1" applyBorder="1" applyAlignment="1">
      <alignment vertical="center"/>
    </xf>
    <xf numFmtId="9" fontId="28" fillId="0" borderId="1" xfId="0" applyNumberFormat="1" applyFont="1" applyFill="1" applyBorder="1" applyAlignment="1">
      <alignment vertical="center"/>
    </xf>
    <xf numFmtId="10" fontId="28" fillId="6" borderId="1" xfId="1" applyNumberFormat="1" applyFont="1" applyFill="1" applyBorder="1" applyAlignment="1">
      <alignment horizontal="center" vertical="center"/>
    </xf>
    <xf numFmtId="9" fontId="28" fillId="6" borderId="1" xfId="1" applyNumberFormat="1" applyFont="1" applyFill="1" applyBorder="1" applyAlignment="1">
      <alignment vertical="center" wrapText="1"/>
    </xf>
    <xf numFmtId="9" fontId="28" fillId="0" borderId="1" xfId="1" applyNumberFormat="1" applyFont="1" applyFill="1" applyBorder="1" applyAlignment="1">
      <alignment horizontal="left" vertical="center" wrapText="1"/>
    </xf>
    <xf numFmtId="1" fontId="28" fillId="0" borderId="1" xfId="1" applyNumberFormat="1" applyFont="1" applyBorder="1" applyAlignment="1">
      <alignment horizontal="right" vertical="center"/>
    </xf>
    <xf numFmtId="9" fontId="28" fillId="0" borderId="1" xfId="1" applyFont="1" applyBorder="1" applyAlignment="1">
      <alignment horizontal="right" vertical="center"/>
    </xf>
    <xf numFmtId="0" fontId="28" fillId="0" borderId="1" xfId="0" applyFont="1" applyBorder="1" applyAlignment="1">
      <alignment horizontal="right"/>
    </xf>
    <xf numFmtId="9" fontId="28" fillId="0" borderId="1" xfId="1" applyFont="1" applyBorder="1" applyAlignment="1">
      <alignment horizontal="justify" vertical="top" wrapText="1"/>
    </xf>
    <xf numFmtId="9" fontId="28" fillId="0" borderId="1" xfId="1" applyFont="1" applyBorder="1" applyAlignment="1">
      <alignment vertical="center" wrapText="1"/>
    </xf>
    <xf numFmtId="9" fontId="28" fillId="0" borderId="1" xfId="1" applyFont="1" applyBorder="1" applyAlignment="1">
      <alignment horizontal="justify" vertical="center" wrapText="1"/>
    </xf>
    <xf numFmtId="0" fontId="28" fillId="0" borderId="1" xfId="0" applyFont="1" applyBorder="1" applyAlignment="1">
      <alignment horizontal="right" vertical="center"/>
    </xf>
    <xf numFmtId="1" fontId="28" fillId="0" borderId="1" xfId="1" applyNumberFormat="1" applyFont="1" applyBorder="1" applyAlignment="1">
      <alignment horizontal="center" vertical="center"/>
    </xf>
    <xf numFmtId="9" fontId="28" fillId="0" borderId="1" xfId="0" applyNumberFormat="1" applyFont="1" applyBorder="1" applyAlignment="1">
      <alignment horizontal="center" vertical="center"/>
    </xf>
    <xf numFmtId="9" fontId="28" fillId="0" borderId="1" xfId="1" applyFont="1" applyBorder="1" applyAlignment="1">
      <alignment horizontal="left" vertical="center" wrapText="1"/>
    </xf>
    <xf numFmtId="9" fontId="28" fillId="0" borderId="1" xfId="0" applyNumberFormat="1" applyFont="1" applyBorder="1" applyAlignment="1">
      <alignment horizontal="right" vertical="center"/>
    </xf>
    <xf numFmtId="174" fontId="28" fillId="0" borderId="1" xfId="0" applyNumberFormat="1" applyFont="1" applyBorder="1" applyAlignment="1">
      <alignment vertical="center"/>
    </xf>
    <xf numFmtId="9" fontId="28" fillId="0" borderId="1" xfId="1" applyNumberFormat="1" applyFont="1" applyFill="1" applyBorder="1" applyAlignment="1">
      <alignment vertical="center" wrapText="1"/>
    </xf>
    <xf numFmtId="0" fontId="20" fillId="0" borderId="1" xfId="0" applyFont="1" applyBorder="1" applyAlignment="1">
      <alignment horizontal="right"/>
    </xf>
    <xf numFmtId="9" fontId="20" fillId="0" borderId="1" xfId="1" applyFont="1" applyBorder="1" applyAlignment="1">
      <alignment horizontal="right" vertical="center"/>
    </xf>
    <xf numFmtId="9" fontId="28" fillId="0" borderId="1" xfId="1"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Border="1" applyAlignment="1">
      <alignment horizontal="justify" vertical="center" wrapText="1"/>
    </xf>
    <xf numFmtId="9" fontId="58" fillId="18"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41" fontId="28" fillId="0" borderId="1" xfId="3" applyFont="1" applyFill="1" applyBorder="1" applyAlignment="1">
      <alignment horizontal="right" vertical="center"/>
    </xf>
    <xf numFmtId="9" fontId="28" fillId="0" borderId="1" xfId="1" applyNumberFormat="1" applyFont="1" applyFill="1" applyBorder="1" applyAlignment="1">
      <alignment horizontal="justify" vertical="center"/>
    </xf>
    <xf numFmtId="0" fontId="28" fillId="0" borderId="1" xfId="0" applyFont="1" applyBorder="1" applyAlignment="1">
      <alignment horizontal="justify" vertical="center" wrapText="1"/>
    </xf>
    <xf numFmtId="42" fontId="28" fillId="0" borderId="1" xfId="5" applyFont="1" applyBorder="1" applyAlignment="1">
      <alignment horizontal="justify" vertical="center" wrapText="1"/>
    </xf>
    <xf numFmtId="10" fontId="28" fillId="0" borderId="1" xfId="0" applyNumberFormat="1" applyFont="1" applyFill="1" applyBorder="1" applyAlignment="1">
      <alignment horizontal="center" vertical="center"/>
    </xf>
    <xf numFmtId="42" fontId="28" fillId="0" borderId="1" xfId="5" applyFont="1" applyBorder="1" applyAlignment="1">
      <alignment horizontal="justify" vertical="center"/>
    </xf>
    <xf numFmtId="9" fontId="28" fillId="0" borderId="1" xfId="1" applyFont="1" applyBorder="1" applyAlignment="1">
      <alignment horizontal="justify" vertical="center"/>
    </xf>
    <xf numFmtId="42" fontId="28" fillId="0" borderId="1" xfId="5" applyFont="1" applyBorder="1" applyAlignment="1">
      <alignment horizontal="left" vertical="center" wrapText="1"/>
    </xf>
    <xf numFmtId="9" fontId="28" fillId="0" borderId="1" xfId="1" applyFont="1" applyFill="1" applyBorder="1" applyAlignment="1">
      <alignment horizontal="justify" vertical="center"/>
    </xf>
    <xf numFmtId="9" fontId="71" fillId="13" borderId="13" xfId="1" applyNumberFormat="1" applyFont="1" applyFill="1" applyBorder="1" applyAlignment="1">
      <alignment horizontal="center" vertical="center"/>
    </xf>
    <xf numFmtId="9" fontId="71" fillId="13" borderId="26" xfId="1" applyNumberFormat="1" applyFont="1" applyFill="1" applyBorder="1" applyAlignment="1">
      <alignment horizontal="center" vertical="center"/>
    </xf>
    <xf numFmtId="9" fontId="71" fillId="13" borderId="28" xfId="1" applyNumberFormat="1" applyFont="1" applyFill="1" applyBorder="1" applyAlignment="1">
      <alignment horizontal="center" vertical="center"/>
    </xf>
    <xf numFmtId="9" fontId="71" fillId="13" borderId="14" xfId="1" applyNumberFormat="1" applyFont="1" applyFill="1" applyBorder="1" applyAlignment="1">
      <alignment horizontal="center" vertical="center"/>
    </xf>
    <xf numFmtId="9" fontId="71" fillId="13" borderId="17" xfId="1" applyNumberFormat="1" applyFont="1" applyFill="1" applyBorder="1" applyAlignment="1">
      <alignment horizontal="center" vertical="center"/>
    </xf>
    <xf numFmtId="9" fontId="71" fillId="13" borderId="58" xfId="1" applyNumberFormat="1" applyFont="1" applyFill="1" applyBorder="1" applyAlignment="1">
      <alignment horizontal="center" vertical="center"/>
    </xf>
    <xf numFmtId="9" fontId="71" fillId="13" borderId="26" xfId="1" applyFont="1" applyFill="1" applyBorder="1" applyAlignment="1">
      <alignment horizontal="center" vertical="center"/>
    </xf>
    <xf numFmtId="9" fontId="71" fillId="13" borderId="18" xfId="1" applyFont="1" applyFill="1" applyBorder="1" applyAlignment="1">
      <alignment horizontal="center" vertical="center"/>
    </xf>
    <xf numFmtId="9" fontId="71" fillId="13" borderId="16" xfId="1" applyFont="1" applyFill="1" applyBorder="1" applyAlignment="1">
      <alignment horizontal="center" vertical="center"/>
    </xf>
    <xf numFmtId="9" fontId="71" fillId="13" borderId="37" xfId="1" applyFont="1" applyFill="1" applyBorder="1" applyAlignment="1">
      <alignment horizontal="center" vertical="center"/>
    </xf>
    <xf numFmtId="9" fontId="71" fillId="13" borderId="15" xfId="1" applyFont="1" applyFill="1" applyBorder="1" applyAlignment="1">
      <alignment horizontal="center" vertical="center"/>
    </xf>
    <xf numFmtId="9" fontId="71" fillId="13" borderId="43" xfId="1" applyFont="1" applyFill="1" applyBorder="1" applyAlignment="1">
      <alignment horizontal="center" vertical="center"/>
    </xf>
    <xf numFmtId="9" fontId="71" fillId="13" borderId="75" xfId="1" applyFont="1" applyFill="1" applyBorder="1" applyAlignment="1">
      <alignment horizontal="center" vertical="center"/>
    </xf>
    <xf numFmtId="9" fontId="74" fillId="13" borderId="62" xfId="1" applyNumberFormat="1" applyFont="1" applyFill="1" applyBorder="1" applyAlignment="1">
      <alignment horizontal="center" vertical="center"/>
    </xf>
    <xf numFmtId="9" fontId="71" fillId="13" borderId="13" xfId="1" applyFont="1" applyFill="1" applyBorder="1" applyAlignment="1">
      <alignment horizontal="center" vertical="center"/>
    </xf>
    <xf numFmtId="9" fontId="71" fillId="13" borderId="28" xfId="1" applyFont="1" applyFill="1" applyBorder="1" applyAlignment="1">
      <alignment horizontal="center"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14" fontId="20" fillId="0" borderId="1" xfId="0" applyNumberFormat="1" applyFont="1" applyBorder="1" applyAlignment="1">
      <alignment horizontal="center" vertical="center"/>
    </xf>
    <xf numFmtId="0" fontId="44" fillId="0" borderId="18" xfId="0"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22" xfId="0" applyNumberFormat="1" applyFont="1" applyFill="1" applyBorder="1" applyAlignment="1">
      <alignment horizontal="center" vertical="center"/>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Border="1" applyAlignment="1">
      <alignment horizontal="justify" vertical="center" wrapText="1"/>
    </xf>
    <xf numFmtId="6" fontId="28" fillId="0" borderId="1" xfId="0" applyNumberFormat="1" applyFont="1" applyFill="1" applyBorder="1" applyAlignment="1">
      <alignment horizontal="right" vertical="center"/>
    </xf>
    <xf numFmtId="10" fontId="28" fillId="0" borderId="1" xfId="0" applyNumberFormat="1" applyFont="1" applyFill="1" applyBorder="1" applyAlignment="1">
      <alignment horizontal="right" vertical="center"/>
    </xf>
    <xf numFmtId="9" fontId="28" fillId="19" borderId="1" xfId="1" applyFont="1" applyFill="1" applyBorder="1" applyAlignment="1">
      <alignment horizontal="right" vertical="center"/>
    </xf>
    <xf numFmtId="9" fontId="28" fillId="0" borderId="1" xfId="1" applyFont="1" applyBorder="1" applyAlignment="1">
      <alignment horizontal="right" vertical="center" wrapText="1"/>
    </xf>
    <xf numFmtId="9" fontId="28" fillId="6" borderId="1" xfId="1" applyFont="1" applyFill="1" applyBorder="1" applyAlignment="1">
      <alignment horizontal="right" vertical="center"/>
    </xf>
    <xf numFmtId="166" fontId="59" fillId="13" borderId="37" xfId="1" applyNumberFormat="1" applyFont="1" applyFill="1" applyBorder="1" applyAlignment="1">
      <alignment horizontal="right" vertical="center"/>
    </xf>
    <xf numFmtId="9" fontId="58" fillId="13" borderId="18" xfId="1" applyNumberFormat="1" applyFont="1" applyFill="1" applyBorder="1" applyAlignment="1">
      <alignment horizontal="right" vertical="center"/>
    </xf>
    <xf numFmtId="9" fontId="58" fillId="13" borderId="18" xfId="1" applyFont="1" applyFill="1" applyBorder="1" applyAlignment="1">
      <alignment horizontal="right" vertical="center"/>
    </xf>
    <xf numFmtId="172" fontId="58" fillId="13" borderId="18" xfId="1" applyNumberFormat="1" applyFont="1" applyFill="1" applyBorder="1" applyAlignment="1">
      <alignment horizontal="right" vertical="center"/>
    </xf>
    <xf numFmtId="0" fontId="20" fillId="0" borderId="1" xfId="0" applyFont="1" applyBorder="1" applyAlignment="1">
      <alignment horizontal="center" vertical="center"/>
    </xf>
    <xf numFmtId="0" fontId="16" fillId="0" borderId="0" xfId="13"/>
    <xf numFmtId="0" fontId="0" fillId="0" borderId="1" xfId="0" applyBorder="1" applyAlignment="1">
      <alignment horizontal="center"/>
    </xf>
    <xf numFmtId="10" fontId="74" fillId="13" borderId="52" xfId="1" applyNumberFormat="1" applyFont="1" applyFill="1" applyBorder="1" applyAlignment="1">
      <alignment horizontal="center" vertical="center"/>
    </xf>
    <xf numFmtId="10" fontId="74" fillId="13" borderId="48" xfId="1" applyNumberFormat="1" applyFont="1" applyFill="1" applyBorder="1" applyAlignment="1">
      <alignment horizontal="center" vertical="center"/>
    </xf>
    <xf numFmtId="10" fontId="74" fillId="13" borderId="45" xfId="1" applyNumberFormat="1" applyFont="1" applyFill="1" applyBorder="1" applyAlignment="1">
      <alignment horizontal="center" vertical="center"/>
    </xf>
    <xf numFmtId="10" fontId="74" fillId="13" borderId="49" xfId="1" applyNumberFormat="1" applyFont="1" applyFill="1" applyBorder="1" applyAlignment="1">
      <alignment horizontal="center" vertical="center"/>
    </xf>
    <xf numFmtId="0" fontId="20" fillId="0" borderId="1" xfId="0" applyFont="1" applyBorder="1" applyAlignment="1">
      <alignment horizontal="justify" vertical="center" wrapText="1"/>
    </xf>
    <xf numFmtId="14" fontId="20" fillId="0" borderId="1" xfId="0" applyNumberFormat="1" applyFont="1" applyBorder="1" applyAlignment="1">
      <alignment horizontal="center" vertical="center"/>
    </xf>
    <xf numFmtId="0" fontId="20" fillId="0" borderId="1" xfId="0" applyFont="1" applyFill="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9" fontId="58" fillId="13" borderId="18" xfId="1" applyFont="1" applyFill="1" applyBorder="1" applyAlignment="1">
      <alignment horizontal="right" vertical="center"/>
    </xf>
    <xf numFmtId="9" fontId="59" fillId="13" borderId="37"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8" xfId="0" applyFont="1" applyFill="1" applyBorder="1" applyAlignment="1">
      <alignment horizontal="center" vertical="center" wrapText="1"/>
    </xf>
    <xf numFmtId="9" fontId="58" fillId="18"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 xfId="0" applyFont="1" applyBorder="1" applyAlignment="1">
      <alignment horizontal="justify" vertical="center" wrapText="1"/>
    </xf>
    <xf numFmtId="9" fontId="56" fillId="13" borderId="2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5" fillId="0" borderId="41" xfId="0" applyFont="1" applyBorder="1" applyAlignment="1">
      <alignment horizontal="center" vertical="center" wrapText="1"/>
    </xf>
    <xf numFmtId="9" fontId="56" fillId="13" borderId="32" xfId="0"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0" fontId="0" fillId="0" borderId="39" xfId="0" applyBorder="1" applyAlignment="1">
      <alignment horizontal="center" vertical="center"/>
    </xf>
    <xf numFmtId="42" fontId="81" fillId="0" borderId="1" xfId="5" applyFont="1" applyFill="1" applyBorder="1" applyAlignment="1">
      <alignment horizontal="right" vertical="center"/>
    </xf>
    <xf numFmtId="0" fontId="81" fillId="0" borderId="1" xfId="0" applyFont="1" applyFill="1" applyBorder="1" applyAlignment="1">
      <alignment horizontal="right" vertical="center"/>
    </xf>
    <xf numFmtId="0" fontId="83" fillId="0" borderId="0" xfId="0" applyFont="1" applyFill="1"/>
    <xf numFmtId="0" fontId="55" fillId="0" borderId="0" xfId="0" applyNumberFormat="1" applyFont="1" applyBorder="1" applyAlignment="1">
      <alignment horizontal="center" vertical="center" wrapText="1"/>
    </xf>
    <xf numFmtId="42" fontId="81" fillId="0" borderId="1" xfId="5" applyFont="1" applyFill="1" applyBorder="1" applyAlignment="1">
      <alignment horizontal="right" vertical="center" wrapText="1"/>
    </xf>
    <xf numFmtId="0" fontId="20" fillId="20" borderId="1" xfId="0" applyFont="1" applyFill="1" applyBorder="1" applyAlignment="1">
      <alignment horizontal="justify" vertical="center" wrapText="1"/>
    </xf>
    <xf numFmtId="1" fontId="28" fillId="20" borderId="1" xfId="1" applyNumberFormat="1" applyFont="1" applyFill="1" applyBorder="1" applyAlignment="1">
      <alignment horizontal="right" vertical="center" wrapText="1"/>
    </xf>
    <xf numFmtId="0" fontId="28" fillId="20" borderId="1" xfId="0" applyFont="1" applyFill="1" applyBorder="1" applyAlignment="1">
      <alignment horizontal="center" vertical="center"/>
    </xf>
    <xf numFmtId="9" fontId="28" fillId="20" borderId="1" xfId="0" applyNumberFormat="1" applyFont="1" applyFill="1" applyBorder="1" applyAlignment="1">
      <alignment horizontal="right" vertical="center" wrapText="1"/>
    </xf>
    <xf numFmtId="9" fontId="28" fillId="20" borderId="1" xfId="1" applyFont="1" applyFill="1" applyBorder="1" applyAlignment="1">
      <alignment horizontal="right" vertical="center" wrapText="1"/>
    </xf>
    <xf numFmtId="9" fontId="28" fillId="20" borderId="1" xfId="1" applyNumberFormat="1" applyFont="1" applyFill="1" applyBorder="1" applyAlignment="1">
      <alignment horizontal="left" vertical="center" wrapText="1"/>
    </xf>
    <xf numFmtId="0" fontId="28" fillId="20" borderId="1" xfId="0" applyFont="1" applyFill="1" applyBorder="1"/>
    <xf numFmtId="42" fontId="28" fillId="20" borderId="0" xfId="0" applyNumberFormat="1" applyFont="1" applyFill="1"/>
    <xf numFmtId="0" fontId="28" fillId="20" borderId="0" xfId="0" applyFont="1" applyFill="1"/>
    <xf numFmtId="9" fontId="28" fillId="20" borderId="1" xfId="1" applyFont="1" applyFill="1" applyBorder="1" applyAlignment="1">
      <alignment horizontal="right" vertical="center"/>
    </xf>
    <xf numFmtId="10" fontId="28" fillId="20" borderId="1" xfId="0" applyNumberFormat="1" applyFont="1" applyFill="1" applyBorder="1" applyAlignment="1">
      <alignment horizontal="right" vertical="center"/>
    </xf>
    <xf numFmtId="9" fontId="28" fillId="20" borderId="1" xfId="1" applyFont="1" applyFill="1" applyBorder="1" applyAlignment="1">
      <alignment horizontal="justify" vertical="center" wrapText="1"/>
    </xf>
    <xf numFmtId="0" fontId="0" fillId="20" borderId="1" xfId="0" applyFill="1" applyBorder="1"/>
    <xf numFmtId="0" fontId="20" fillId="0" borderId="0" xfId="0" applyFont="1" applyAlignment="1">
      <alignment horizontal="center" wrapText="1"/>
    </xf>
    <xf numFmtId="0" fontId="20" fillId="20" borderId="0" xfId="0" applyFont="1" applyFill="1"/>
    <xf numFmtId="0" fontId="44" fillId="0" borderId="20" xfId="0" applyFont="1" applyBorder="1" applyAlignment="1">
      <alignment horizontal="center" vertical="center" wrapText="1"/>
    </xf>
    <xf numFmtId="166" fontId="28" fillId="20" borderId="1" xfId="0" applyNumberFormat="1" applyFont="1" applyFill="1" applyBorder="1" applyAlignment="1">
      <alignment horizontal="right" vertical="center" wrapText="1"/>
    </xf>
    <xf numFmtId="0" fontId="28" fillId="20" borderId="18" xfId="0" applyFont="1" applyFill="1" applyBorder="1" applyAlignment="1">
      <alignment horizontal="justify" vertical="center"/>
    </xf>
    <xf numFmtId="9" fontId="28" fillId="20" borderId="18" xfId="1" applyFont="1" applyFill="1" applyBorder="1" applyAlignment="1">
      <alignment horizontal="right" vertical="center"/>
    </xf>
    <xf numFmtId="1" fontId="28" fillId="20" borderId="1" xfId="0" applyNumberFormat="1" applyFont="1" applyFill="1" applyBorder="1" applyAlignment="1">
      <alignment horizontal="right" vertical="center"/>
    </xf>
    <xf numFmtId="9" fontId="28" fillId="20" borderId="1" xfId="1" applyFont="1" applyFill="1" applyBorder="1" applyAlignment="1">
      <alignment horizontal="center" vertical="center" wrapText="1"/>
    </xf>
    <xf numFmtId="0" fontId="28" fillId="20" borderId="1" xfId="0" applyFont="1" applyFill="1" applyBorder="1" applyAlignment="1">
      <alignment horizontal="right"/>
    </xf>
    <xf numFmtId="1" fontId="81" fillId="0" borderId="1" xfId="1" applyNumberFormat="1" applyFont="1" applyFill="1" applyBorder="1" applyAlignment="1">
      <alignment horizontal="right" vertical="center"/>
    </xf>
    <xf numFmtId="0" fontId="28" fillId="20" borderId="1" xfId="1" applyNumberFormat="1" applyFont="1" applyFill="1" applyBorder="1" applyAlignment="1">
      <alignment horizontal="right" vertical="center"/>
    </xf>
    <xf numFmtId="9" fontId="28" fillId="20" borderId="1" xfId="1" applyFont="1" applyFill="1" applyBorder="1" applyAlignment="1">
      <alignment horizontal="justify" vertical="center"/>
    </xf>
    <xf numFmtId="0" fontId="20" fillId="20" borderId="1" xfId="0" applyFont="1" applyFill="1" applyBorder="1" applyAlignment="1">
      <alignment horizontal="center"/>
    </xf>
    <xf numFmtId="0" fontId="20" fillId="0" borderId="0" xfId="0" applyFont="1" applyAlignment="1">
      <alignment horizontal="left" wrapText="1"/>
    </xf>
    <xf numFmtId="0" fontId="20" fillId="20" borderId="1" xfId="0" applyFont="1" applyFill="1" applyBorder="1" applyAlignment="1">
      <alignment horizontal="center" vertical="center"/>
    </xf>
    <xf numFmtId="0" fontId="28" fillId="20" borderId="1" xfId="0" applyFont="1" applyFill="1" applyBorder="1" applyAlignment="1">
      <alignment vertical="center" wrapText="1"/>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81" fillId="0" borderId="0" xfId="1" applyNumberFormat="1" applyFont="1" applyFill="1" applyBorder="1" applyAlignment="1">
      <alignment horizontal="right" vertical="center"/>
    </xf>
    <xf numFmtId="42" fontId="83" fillId="0" borderId="0" xfId="5" applyFont="1" applyFill="1" applyBorder="1" applyAlignment="1">
      <alignment vertical="center"/>
    </xf>
    <xf numFmtId="0" fontId="28" fillId="0" borderId="0" xfId="0" applyFont="1" applyFill="1" applyBorder="1" applyAlignment="1">
      <alignment horizontal="justify" vertical="center" wrapText="1"/>
    </xf>
    <xf numFmtId="42" fontId="28" fillId="0" borderId="0" xfId="0" applyNumberFormat="1" applyFont="1" applyFill="1" applyBorder="1" applyAlignment="1">
      <alignment horizontal="right" vertical="center"/>
    </xf>
    <xf numFmtId="1" fontId="81" fillId="0" borderId="0" xfId="0" applyNumberFormat="1" applyFont="1" applyFill="1" applyBorder="1" applyAlignment="1">
      <alignment horizontal="right" vertical="center"/>
    </xf>
    <xf numFmtId="42" fontId="28" fillId="0" borderId="0" xfId="5" applyFont="1" applyFill="1" applyBorder="1" applyAlignment="1">
      <alignment horizontal="right" vertical="center"/>
    </xf>
    <xf numFmtId="0" fontId="28" fillId="0" borderId="0" xfId="0" applyFont="1" applyFill="1" applyBorder="1" applyAlignment="1">
      <alignment horizontal="right" vertical="center"/>
    </xf>
    <xf numFmtId="42" fontId="28" fillId="0" borderId="0" xfId="5" applyFont="1" applyFill="1" applyBorder="1" applyAlignment="1">
      <alignment horizontal="right" vertical="center" wrapText="1"/>
    </xf>
    <xf numFmtId="9" fontId="28" fillId="0" borderId="0" xfId="1" applyNumberFormat="1" applyFont="1" applyFill="1" applyBorder="1" applyAlignment="1">
      <alignment horizontal="right" vertical="center"/>
    </xf>
    <xf numFmtId="9" fontId="28" fillId="0" borderId="0" xfId="1" applyNumberFormat="1" applyFont="1" applyFill="1" applyBorder="1" applyAlignment="1">
      <alignment horizontal="left" vertical="center" wrapText="1"/>
    </xf>
    <xf numFmtId="0" fontId="28" fillId="0" borderId="0" xfId="0" applyFont="1" applyFill="1" applyBorder="1"/>
    <xf numFmtId="0" fontId="28" fillId="0" borderId="0" xfId="0" applyFont="1" applyFill="1" applyBorder="1" applyAlignment="1">
      <alignment horizontal="center"/>
    </xf>
    <xf numFmtId="0" fontId="28" fillId="0" borderId="0" xfId="1" applyNumberFormat="1" applyFont="1" applyFill="1" applyBorder="1" applyAlignment="1">
      <alignment horizontal="right" vertical="center"/>
    </xf>
    <xf numFmtId="1" fontId="81" fillId="0" borderId="0" xfId="3" applyNumberFormat="1" applyFont="1" applyFill="1" applyBorder="1" applyAlignment="1">
      <alignment horizontal="right" vertical="center"/>
    </xf>
    <xf numFmtId="9" fontId="28" fillId="0" borderId="0" xfId="0" applyNumberFormat="1" applyFont="1" applyFill="1" applyBorder="1" applyAlignment="1">
      <alignment horizontal="right" vertical="center"/>
    </xf>
    <xf numFmtId="0" fontId="28" fillId="0" borderId="0" xfId="0" applyNumberFormat="1" applyFont="1" applyFill="1" applyBorder="1" applyAlignment="1">
      <alignment horizontal="right" vertical="center"/>
    </xf>
    <xf numFmtId="9" fontId="28" fillId="0" borderId="0" xfId="1" applyNumberFormat="1" applyFont="1" applyFill="1" applyBorder="1" applyAlignment="1">
      <alignment horizontal="right"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6" fillId="13" borderId="34" xfId="0" applyNumberFormat="1" applyFont="1" applyFill="1" applyBorder="1" applyAlignment="1">
      <alignment horizontal="center" vertical="center"/>
    </xf>
    <xf numFmtId="0" fontId="28" fillId="21" borderId="1" xfId="0" applyFont="1" applyFill="1" applyBorder="1" applyAlignment="1">
      <alignment horizontal="center" vertical="center"/>
    </xf>
    <xf numFmtId="42" fontId="28" fillId="21" borderId="0" xfId="0" applyNumberFormat="1" applyFont="1" applyFill="1"/>
    <xf numFmtId="0" fontId="20" fillId="21" borderId="0" xfId="0" applyFont="1" applyFill="1"/>
    <xf numFmtId="0" fontId="28" fillId="0" borderId="1" xfId="0" applyNumberFormat="1" applyFont="1" applyFill="1" applyBorder="1" applyAlignment="1">
      <alignment horizontal="center" vertical="center"/>
    </xf>
    <xf numFmtId="166" fontId="28" fillId="0" borderId="1" xfId="0" applyNumberFormat="1" applyFont="1" applyFill="1" applyBorder="1" applyAlignment="1">
      <alignment horizontal="center" vertical="center" wrapText="1"/>
    </xf>
    <xf numFmtId="10" fontId="28" fillId="0" borderId="1" xfId="0" applyNumberFormat="1" applyFont="1" applyFill="1" applyBorder="1" applyAlignment="1">
      <alignment horizontal="center" vertical="center" wrapText="1"/>
    </xf>
    <xf numFmtId="41" fontId="28" fillId="0" borderId="1" xfId="3" applyFont="1" applyFill="1" applyBorder="1" applyAlignment="1">
      <alignment vertical="center"/>
    </xf>
    <xf numFmtId="175" fontId="28" fillId="0" borderId="1" xfId="0" applyNumberFormat="1" applyFont="1" applyFill="1" applyBorder="1" applyAlignment="1">
      <alignment horizontal="center" vertical="center"/>
    </xf>
    <xf numFmtId="9" fontId="28" fillId="0" borderId="18" xfId="1" applyNumberFormat="1" applyFont="1" applyFill="1" applyBorder="1" applyAlignment="1">
      <alignment horizontal="right" vertical="center"/>
    </xf>
    <xf numFmtId="0" fontId="28" fillId="0" borderId="18" xfId="0" applyFont="1" applyFill="1" applyBorder="1" applyAlignment="1">
      <alignment horizontal="right"/>
    </xf>
    <xf numFmtId="9" fontId="28" fillId="0" borderId="18" xfId="0" applyNumberFormat="1" applyFont="1" applyFill="1" applyBorder="1" applyAlignment="1">
      <alignment horizontal="center" vertical="center"/>
    </xf>
    <xf numFmtId="0" fontId="28" fillId="2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20" borderId="1" xfId="1" applyNumberFormat="1" applyFont="1" applyFill="1" applyBorder="1" applyAlignment="1">
      <alignment horizontal="right"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right" vertical="center"/>
    </xf>
    <xf numFmtId="0" fontId="28" fillId="0" borderId="1" xfId="0" applyFont="1" applyFill="1" applyBorder="1" applyAlignment="1">
      <alignment horizontal="right" vertical="center"/>
    </xf>
    <xf numFmtId="42" fontId="28" fillId="20" borderId="1" xfId="5" applyFont="1" applyFill="1" applyBorder="1" applyAlignment="1">
      <alignment horizontal="right" vertical="center"/>
    </xf>
    <xf numFmtId="9" fontId="28" fillId="0" borderId="1" xfId="1" applyNumberFormat="1"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0" fontId="28" fillId="0" borderId="1" xfId="0" applyFont="1" applyFill="1" applyBorder="1" applyAlignment="1">
      <alignment horizontal="justify" vertical="center"/>
    </xf>
    <xf numFmtId="0" fontId="81" fillId="0" borderId="1" xfId="0" applyFont="1" applyFill="1" applyBorder="1" applyAlignment="1">
      <alignment horizontal="justify" vertical="center" wrapText="1"/>
    </xf>
    <xf numFmtId="42" fontId="28" fillId="0" borderId="1" xfId="0" applyNumberFormat="1" applyFont="1" applyFill="1" applyBorder="1" applyAlignment="1">
      <alignment horizontal="right" vertical="center"/>
    </xf>
    <xf numFmtId="9" fontId="28" fillId="0" borderId="1" xfId="1" applyFont="1" applyFill="1" applyBorder="1" applyAlignment="1">
      <alignment horizontal="right" vertical="center"/>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9" fontId="28" fillId="21" borderId="1" xfId="1" applyNumberFormat="1" applyFont="1" applyFill="1" applyBorder="1" applyAlignment="1">
      <alignment horizontal="right" vertical="center" wrapText="1"/>
    </xf>
    <xf numFmtId="0" fontId="28" fillId="0" borderId="1" xfId="0" applyFont="1" applyFill="1" applyBorder="1" applyAlignment="1">
      <alignment horizontal="center" vertical="center"/>
    </xf>
    <xf numFmtId="0" fontId="28" fillId="20" borderId="18" xfId="0" applyFont="1" applyFill="1" applyBorder="1" applyAlignment="1">
      <alignment horizontal="center" vertical="center"/>
    </xf>
    <xf numFmtId="0" fontId="28" fillId="20" borderId="18" xfId="0" applyFont="1" applyFill="1" applyBorder="1" applyAlignment="1">
      <alignment horizontal="justify" vertical="center" wrapText="1"/>
    </xf>
    <xf numFmtId="0" fontId="28" fillId="20" borderId="1" xfId="0" applyFont="1" applyFill="1" applyBorder="1" applyAlignment="1">
      <alignment horizontal="justify" vertical="center"/>
    </xf>
    <xf numFmtId="0" fontId="20" fillId="0" borderId="1" xfId="0" applyFont="1" applyFill="1" applyBorder="1" applyAlignment="1">
      <alignment horizontal="justify" vertical="center" wrapText="1"/>
    </xf>
    <xf numFmtId="0" fontId="44" fillId="0" borderId="1" xfId="0" applyFont="1" applyBorder="1" applyAlignment="1">
      <alignment horizontal="center" vertical="center" wrapText="1"/>
    </xf>
    <xf numFmtId="0" fontId="44" fillId="0" borderId="4" xfId="0" applyFont="1" applyFill="1" applyBorder="1" applyAlignment="1">
      <alignment horizontal="center" vertical="center" wrapText="1"/>
    </xf>
    <xf numFmtId="9" fontId="58" fillId="13" borderId="4" xfId="1" applyFont="1" applyFill="1" applyBorder="1" applyAlignment="1">
      <alignment horizontal="right" vertical="center"/>
    </xf>
    <xf numFmtId="9" fontId="58" fillId="13" borderId="17"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6" xfId="1" applyFont="1" applyFill="1" applyBorder="1" applyAlignment="1">
      <alignment horizontal="right"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55" fillId="0" borderId="41" xfId="0" applyFont="1" applyBorder="1" applyAlignment="1">
      <alignment horizontal="center" vertical="center" wrapText="1"/>
    </xf>
    <xf numFmtId="9" fontId="56" fillId="13" borderId="22"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9" fontId="56" fillId="13" borderId="22" xfId="1" applyFont="1" applyFill="1" applyBorder="1" applyAlignment="1">
      <alignment horizontal="center" vertical="center"/>
    </xf>
    <xf numFmtId="0" fontId="55" fillId="0" borderId="22" xfId="0" applyFont="1" applyBorder="1" applyAlignment="1">
      <alignment horizontal="center" vertical="center" wrapText="1"/>
    </xf>
    <xf numFmtId="0" fontId="44" fillId="0" borderId="1"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44" fillId="0" borderId="1" xfId="0" applyFont="1" applyBorder="1" applyAlignment="1">
      <alignment horizontal="justify" vertical="center" wrapText="1"/>
    </xf>
    <xf numFmtId="0" fontId="81" fillId="0" borderId="1" xfId="0" applyFont="1" applyFill="1" applyBorder="1" applyAlignment="1">
      <alignment horizontal="center" vertical="center" wrapText="1"/>
    </xf>
    <xf numFmtId="9" fontId="28" fillId="20" borderId="1" xfId="1" applyNumberFormat="1" applyFont="1" applyFill="1" applyBorder="1" applyAlignment="1">
      <alignment horizontal="right" vertical="center"/>
    </xf>
    <xf numFmtId="9" fontId="28" fillId="20" borderId="1" xfId="0" applyNumberFormat="1" applyFont="1" applyFill="1" applyBorder="1" applyAlignment="1">
      <alignment horizontal="right" vertical="center"/>
    </xf>
    <xf numFmtId="9" fontId="58" fillId="13" borderId="12" xfId="1" applyFont="1" applyFill="1" applyBorder="1" applyAlignment="1">
      <alignment horizontal="center" vertical="center"/>
    </xf>
    <xf numFmtId="9" fontId="58" fillId="13" borderId="4"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2" xfId="1" applyFont="1" applyFill="1" applyBorder="1" applyAlignment="1">
      <alignment horizontal="center" vertical="center"/>
    </xf>
    <xf numFmtId="0" fontId="44" fillId="0" borderId="4" xfId="0" applyFont="1" applyBorder="1" applyAlignment="1">
      <alignment horizontal="center" vertical="center" wrapText="1"/>
    </xf>
    <xf numFmtId="0" fontId="44"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9" fontId="28" fillId="20" borderId="1" xfId="1" applyNumberFormat="1" applyFont="1" applyFill="1" applyBorder="1" applyAlignment="1">
      <alignment horizontal="justify" vertical="center"/>
    </xf>
    <xf numFmtId="174" fontId="28" fillId="0" borderId="1" xfId="0" applyNumberFormat="1" applyFont="1" applyFill="1" applyBorder="1" applyAlignment="1">
      <alignment horizontal="right" vertical="center"/>
    </xf>
    <xf numFmtId="9" fontId="28" fillId="0" borderId="1" xfId="0" applyNumberFormat="1" applyFont="1" applyFill="1" applyBorder="1" applyAlignment="1">
      <alignment horizontal="center" vertical="center" wrapText="1"/>
    </xf>
    <xf numFmtId="166" fontId="28" fillId="0" borderId="1" xfId="1" applyNumberFormat="1" applyFont="1" applyFill="1" applyBorder="1" applyAlignment="1">
      <alignment horizontal="center" vertical="center"/>
    </xf>
    <xf numFmtId="9" fontId="20" fillId="0" borderId="1" xfId="1" applyNumberFormat="1" applyFont="1" applyFill="1" applyBorder="1" applyAlignment="1">
      <alignment horizontal="justify" vertical="center"/>
    </xf>
    <xf numFmtId="42" fontId="20" fillId="0" borderId="1" xfId="5" applyFont="1" applyFill="1" applyBorder="1" applyAlignment="1">
      <alignment horizontal="justify" vertical="center"/>
    </xf>
    <xf numFmtId="0" fontId="37" fillId="16" borderId="4" xfId="0" applyFont="1" applyFill="1" applyBorder="1" applyAlignment="1">
      <alignment horizontal="center" vertical="center" wrapText="1"/>
    </xf>
    <xf numFmtId="9" fontId="28" fillId="0" borderId="1" xfId="0" applyNumberFormat="1" applyFont="1" applyFill="1" applyBorder="1" applyAlignment="1">
      <alignment horizontal="justify" vertical="center" wrapText="1"/>
    </xf>
    <xf numFmtId="0" fontId="28" fillId="0" borderId="5" xfId="0" applyFont="1" applyFill="1" applyBorder="1" applyAlignment="1">
      <alignment horizontal="right" vertical="center"/>
    </xf>
    <xf numFmtId="0" fontId="28" fillId="0" borderId="24" xfId="0" applyFont="1" applyFill="1" applyBorder="1" applyAlignment="1">
      <alignment horizontal="justify" vertical="center"/>
    </xf>
    <xf numFmtId="9" fontId="28" fillId="0" borderId="24" xfId="1" applyFont="1" applyFill="1" applyBorder="1" applyAlignment="1">
      <alignment horizontal="right" vertical="center"/>
    </xf>
    <xf numFmtId="9" fontId="28" fillId="0" borderId="24" xfId="1" applyNumberFormat="1" applyFont="1" applyFill="1" applyBorder="1" applyAlignment="1">
      <alignment horizontal="right" vertical="center"/>
    </xf>
    <xf numFmtId="9" fontId="28" fillId="0" borderId="24"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9" fontId="28" fillId="0" borderId="8" xfId="1" applyNumberFormat="1" applyFont="1" applyFill="1" applyBorder="1" applyAlignment="1">
      <alignment horizontal="right" vertical="center" wrapText="1"/>
    </xf>
    <xf numFmtId="9" fontId="20" fillId="0" borderId="8" xfId="1" applyNumberFormat="1" applyFont="1" applyFill="1" applyBorder="1" applyAlignment="1">
      <alignment horizontal="right" vertical="center" wrapText="1"/>
    </xf>
    <xf numFmtId="0" fontId="20" fillId="0" borderId="9" xfId="0" applyFont="1" applyFill="1" applyBorder="1" applyAlignment="1">
      <alignment horizontal="right" vertical="center"/>
    </xf>
    <xf numFmtId="0" fontId="20" fillId="0" borderId="25" xfId="0" applyFont="1" applyFill="1" applyBorder="1" applyAlignment="1">
      <alignment horizontal="justify" vertical="center" wrapText="1"/>
    </xf>
    <xf numFmtId="0" fontId="20" fillId="0" borderId="25" xfId="0" applyFont="1" applyFill="1" applyBorder="1" applyAlignment="1">
      <alignment horizontal="right" vertical="center"/>
    </xf>
    <xf numFmtId="0" fontId="20" fillId="0" borderId="25" xfId="0" applyFont="1" applyFill="1" applyBorder="1" applyAlignment="1">
      <alignment horizontal="center" vertical="center"/>
    </xf>
    <xf numFmtId="9" fontId="28" fillId="0" borderId="25" xfId="1" applyFont="1" applyFill="1" applyBorder="1" applyAlignment="1">
      <alignment horizontal="right" vertical="center"/>
    </xf>
    <xf numFmtId="0" fontId="28" fillId="0" borderId="25" xfId="0" applyFont="1" applyFill="1" applyBorder="1" applyAlignment="1">
      <alignment horizontal="justify" vertical="center" wrapText="1"/>
    </xf>
    <xf numFmtId="9" fontId="20" fillId="0" borderId="25" xfId="1" applyNumberFormat="1" applyFont="1" applyFill="1" applyBorder="1" applyAlignment="1">
      <alignment horizontal="right" vertical="center" wrapText="1"/>
    </xf>
    <xf numFmtId="9" fontId="20" fillId="0" borderId="10" xfId="1" applyNumberFormat="1" applyFont="1" applyFill="1" applyBorder="1" applyAlignment="1">
      <alignment horizontal="right" vertical="center" wrapText="1"/>
    </xf>
    <xf numFmtId="0" fontId="28" fillId="20" borderId="5" xfId="0" applyFont="1" applyFill="1" applyBorder="1" applyAlignment="1">
      <alignment horizontal="right" vertical="center"/>
    </xf>
    <xf numFmtId="0" fontId="28" fillId="20" borderId="24" xfId="0" applyFont="1" applyFill="1" applyBorder="1" applyAlignment="1">
      <alignment horizontal="justify" vertical="center" wrapText="1"/>
    </xf>
    <xf numFmtId="0" fontId="28" fillId="20" borderId="24" xfId="0" applyFont="1" applyFill="1" applyBorder="1" applyAlignment="1">
      <alignment horizontal="center" vertical="center" wrapText="1"/>
    </xf>
    <xf numFmtId="0" fontId="28" fillId="20" borderId="24" xfId="0" applyFont="1" applyFill="1" applyBorder="1" applyAlignment="1">
      <alignment horizontal="right" vertical="center"/>
    </xf>
    <xf numFmtId="0" fontId="28" fillId="20" borderId="24" xfId="0" applyFont="1" applyFill="1" applyBorder="1" applyAlignment="1">
      <alignment horizontal="center" vertical="center"/>
    </xf>
    <xf numFmtId="1" fontId="28" fillId="20" borderId="24" xfId="0" applyNumberFormat="1" applyFont="1" applyFill="1" applyBorder="1" applyAlignment="1">
      <alignment horizontal="right" vertical="center"/>
    </xf>
    <xf numFmtId="0" fontId="28" fillId="20" borderId="24" xfId="0" applyFont="1" applyFill="1" applyBorder="1" applyAlignment="1">
      <alignment horizontal="justify" vertical="center"/>
    </xf>
    <xf numFmtId="42" fontId="28" fillId="20" borderId="24" xfId="5" applyFont="1" applyFill="1" applyBorder="1" applyAlignment="1">
      <alignment horizontal="right" vertical="center"/>
    </xf>
    <xf numFmtId="9" fontId="28" fillId="20" borderId="24" xfId="1" applyFont="1" applyFill="1" applyBorder="1" applyAlignment="1">
      <alignment horizontal="right" vertical="center"/>
    </xf>
    <xf numFmtId="42"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xf>
    <xf numFmtId="9" fontId="28" fillId="20" borderId="24" xfId="1" applyFont="1" applyFill="1" applyBorder="1" applyAlignment="1">
      <alignment horizontal="center" vertical="center" wrapText="1"/>
    </xf>
    <xf numFmtId="9" fontId="28" fillId="20" borderId="24" xfId="1" applyNumberFormat="1" applyFont="1" applyFill="1" applyBorder="1" applyAlignment="1">
      <alignment horizontal="justify" vertical="center"/>
    </xf>
    <xf numFmtId="0" fontId="28" fillId="20" borderId="24" xfId="0" applyFont="1" applyFill="1" applyBorder="1"/>
    <xf numFmtId="0" fontId="28" fillId="20" borderId="24" xfId="0" applyFont="1" applyFill="1" applyBorder="1" applyAlignment="1">
      <alignment horizontal="right"/>
    </xf>
    <xf numFmtId="9" fontId="28" fillId="20" borderId="24" xfId="0" applyNumberFormat="1" applyFont="1" applyFill="1" applyBorder="1" applyAlignment="1">
      <alignment horizontal="right" vertical="center"/>
    </xf>
    <xf numFmtId="9" fontId="28" fillId="20" borderId="24" xfId="1" applyNumberFormat="1" applyFont="1" applyFill="1" applyBorder="1" applyAlignment="1">
      <alignment horizontal="right" vertical="center" wrapText="1"/>
    </xf>
    <xf numFmtId="9" fontId="28" fillId="20" borderId="6" xfId="1" applyNumberFormat="1" applyFont="1" applyFill="1" applyBorder="1" applyAlignment="1">
      <alignment horizontal="right" vertical="center" wrapText="1"/>
    </xf>
    <xf numFmtId="0" fontId="28" fillId="20" borderId="7" xfId="0" applyFont="1" applyFill="1" applyBorder="1" applyAlignment="1">
      <alignment horizontal="right" vertical="center"/>
    </xf>
    <xf numFmtId="9" fontId="28" fillId="3" borderId="8" xfId="1" applyNumberFormat="1" applyFont="1" applyFill="1" applyBorder="1" applyAlignment="1">
      <alignment horizontal="right" vertical="center" wrapText="1"/>
    </xf>
    <xf numFmtId="9" fontId="28" fillId="15" borderId="8" xfId="1" applyNumberFormat="1" applyFont="1" applyFill="1" applyBorder="1" applyAlignment="1">
      <alignment horizontal="right" vertical="center" wrapText="1"/>
    </xf>
    <xf numFmtId="0" fontId="28" fillId="0" borderId="9" xfId="0" applyFont="1" applyFill="1" applyBorder="1" applyAlignment="1">
      <alignment horizontal="right" vertical="center"/>
    </xf>
    <xf numFmtId="0" fontId="28" fillId="0" borderId="25" xfId="0" applyFont="1" applyFill="1" applyBorder="1" applyAlignment="1">
      <alignment horizontal="center" vertical="center" wrapText="1"/>
    </xf>
    <xf numFmtId="0" fontId="28" fillId="0" borderId="25" xfId="0" applyFont="1" applyFill="1" applyBorder="1" applyAlignment="1">
      <alignment horizontal="right" vertical="center"/>
    </xf>
    <xf numFmtId="0" fontId="28" fillId="0" borderId="25" xfId="0" applyFont="1" applyFill="1" applyBorder="1" applyAlignment="1">
      <alignment horizontal="center" vertical="center"/>
    </xf>
    <xf numFmtId="0" fontId="28" fillId="0" borderId="25" xfId="0" applyFont="1" applyFill="1" applyBorder="1" applyAlignment="1">
      <alignment horizontal="justify" vertical="center"/>
    </xf>
    <xf numFmtId="42" fontId="28" fillId="0" borderId="25" xfId="5" applyFont="1" applyFill="1" applyBorder="1" applyAlignment="1">
      <alignment horizontal="right" vertical="center"/>
    </xf>
    <xf numFmtId="42"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xf>
    <xf numFmtId="0" fontId="28" fillId="0" borderId="25" xfId="0" applyFont="1" applyFill="1" applyBorder="1" applyAlignment="1">
      <alignment horizontal="right"/>
    </xf>
    <xf numFmtId="9" fontId="28" fillId="0" borderId="25" xfId="0" applyNumberFormat="1" applyFont="1" applyFill="1" applyBorder="1" applyAlignment="1">
      <alignment horizontal="right" vertical="center"/>
    </xf>
    <xf numFmtId="0" fontId="28" fillId="0" borderId="74" xfId="0" applyFont="1" applyFill="1" applyBorder="1" applyAlignment="1">
      <alignment horizontal="justify" vertical="center" wrapText="1"/>
    </xf>
    <xf numFmtId="1" fontId="28" fillId="0" borderId="1" xfId="1" applyNumberFormat="1" applyFont="1" applyFill="1" applyBorder="1" applyAlignment="1">
      <alignment horizontal="center" vertical="center"/>
    </xf>
    <xf numFmtId="166" fontId="28" fillId="0" borderId="1" xfId="0" applyNumberFormat="1"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0" applyNumberFormat="1" applyFont="1" applyFill="1" applyBorder="1" applyAlignment="1">
      <alignment horizontal="center" vertical="center" wrapText="1"/>
    </xf>
    <xf numFmtId="49" fontId="28" fillId="0" borderId="1" xfId="1" applyNumberFormat="1" applyFont="1" applyFill="1" applyBorder="1" applyAlignment="1">
      <alignment horizontal="justify" vertical="center"/>
    </xf>
    <xf numFmtId="9" fontId="28" fillId="20" borderId="1" xfId="1" applyNumberFormat="1" applyFont="1" applyFill="1" applyBorder="1" applyAlignment="1">
      <alignment horizontal="justify" vertical="center" wrapText="1"/>
    </xf>
    <xf numFmtId="9" fontId="28" fillId="21" borderId="1" xfId="1" applyNumberFormat="1" applyFont="1" applyFill="1" applyBorder="1" applyAlignment="1">
      <alignment horizontal="justify" vertical="center"/>
    </xf>
    <xf numFmtId="0" fontId="42" fillId="16" borderId="13" xfId="0" applyFont="1" applyFill="1" applyBorder="1" applyAlignment="1">
      <alignment horizontal="center" vertical="center" wrapText="1"/>
    </xf>
    <xf numFmtId="0" fontId="42" fillId="16" borderId="26" xfId="0" applyFont="1" applyFill="1" applyBorder="1" applyAlignment="1">
      <alignment horizontal="center" vertical="center" wrapText="1"/>
    </xf>
    <xf numFmtId="0" fontId="42" fillId="16" borderId="27" xfId="0" applyFont="1" applyFill="1" applyBorder="1" applyAlignment="1">
      <alignment horizontal="center" vertical="center" wrapText="1"/>
    </xf>
    <xf numFmtId="0" fontId="37" fillId="16" borderId="22" xfId="0" applyFont="1" applyFill="1" applyBorder="1" applyAlignment="1">
      <alignment horizontal="center" vertical="center" wrapText="1"/>
    </xf>
    <xf numFmtId="42" fontId="28" fillId="0" borderId="1" xfId="5" applyFont="1" applyBorder="1" applyAlignment="1">
      <alignment vertical="center"/>
    </xf>
    <xf numFmtId="10" fontId="28" fillId="0" borderId="1" xfId="0" applyNumberFormat="1" applyFont="1" applyBorder="1" applyAlignment="1">
      <alignment vertical="center" wrapText="1"/>
    </xf>
    <xf numFmtId="9" fontId="28" fillId="0" borderId="1" xfId="0" applyNumberFormat="1" applyFont="1" applyBorder="1" applyAlignment="1">
      <alignment vertical="center" wrapText="1"/>
    </xf>
    <xf numFmtId="42" fontId="28" fillId="0" borderId="24" xfId="5" applyFont="1" applyFill="1" applyBorder="1" applyAlignment="1">
      <alignment horizontal="right" vertical="center" wrapText="1"/>
    </xf>
    <xf numFmtId="42" fontId="28" fillId="0" borderId="24" xfId="0" applyNumberFormat="1" applyFont="1" applyFill="1" applyBorder="1" applyAlignment="1">
      <alignment horizontal="right" vertical="center"/>
    </xf>
    <xf numFmtId="42" fontId="28" fillId="0" borderId="24" xfId="5" applyFont="1" applyFill="1" applyBorder="1" applyAlignment="1">
      <alignment horizontal="right" vertical="center"/>
    </xf>
    <xf numFmtId="0" fontId="28" fillId="0" borderId="24" xfId="0" applyFont="1" applyBorder="1" applyAlignment="1">
      <alignment horizontal="right" vertical="center"/>
    </xf>
    <xf numFmtId="42" fontId="28" fillId="0" borderId="24" xfId="5" applyFont="1" applyBorder="1" applyAlignment="1">
      <alignment horizontal="right" vertical="center"/>
    </xf>
    <xf numFmtId="9" fontId="28" fillId="0" borderId="24" xfId="1" applyFont="1" applyBorder="1" applyAlignment="1">
      <alignment horizontal="justify" vertical="center"/>
    </xf>
    <xf numFmtId="9" fontId="28" fillId="0" borderId="24" xfId="1" applyNumberFormat="1" applyFont="1" applyFill="1" applyBorder="1" applyAlignment="1">
      <alignment horizontal="justify" vertical="center"/>
    </xf>
    <xf numFmtId="9" fontId="28" fillId="0" borderId="6"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0" fontId="28" fillId="21" borderId="7" xfId="0" applyFont="1" applyFill="1" applyBorder="1" applyAlignment="1">
      <alignment horizontal="right" vertical="center"/>
    </xf>
    <xf numFmtId="0" fontId="0" fillId="0" borderId="25" xfId="0" applyBorder="1" applyAlignment="1">
      <alignment vertical="center"/>
    </xf>
    <xf numFmtId="42" fontId="28" fillId="0" borderId="25" xfId="5" applyFont="1" applyFill="1" applyBorder="1" applyAlignment="1">
      <alignment horizontal="right" vertical="center" wrapText="1"/>
    </xf>
    <xf numFmtId="9" fontId="28" fillId="0" borderId="25" xfId="1" applyNumberFormat="1" applyFont="1" applyFill="1" applyBorder="1" applyAlignment="1">
      <alignment horizontal="left" vertical="center" wrapText="1"/>
    </xf>
    <xf numFmtId="0" fontId="28" fillId="0" borderId="25" xfId="1" applyNumberFormat="1" applyFont="1" applyFill="1" applyBorder="1" applyAlignment="1">
      <alignment horizontal="right" vertical="center"/>
    </xf>
    <xf numFmtId="9" fontId="28" fillId="0" borderId="25" xfId="1" applyNumberFormat="1" applyFont="1" applyFill="1" applyBorder="1" applyAlignment="1">
      <alignment horizontal="justify" vertical="center"/>
    </xf>
    <xf numFmtId="0" fontId="28" fillId="0" borderId="25" xfId="0" applyNumberFormat="1" applyFont="1" applyFill="1" applyBorder="1" applyAlignment="1">
      <alignment horizontal="right" vertical="center"/>
    </xf>
    <xf numFmtId="9" fontId="28" fillId="0" borderId="25" xfId="1" applyNumberFormat="1" applyFont="1" applyFill="1" applyBorder="1" applyAlignment="1">
      <alignment horizontal="right" vertical="center" wrapText="1"/>
    </xf>
    <xf numFmtId="9" fontId="28" fillId="0" borderId="10" xfId="1" applyNumberFormat="1" applyFont="1" applyFill="1" applyBorder="1" applyAlignment="1">
      <alignment horizontal="right" vertical="center" wrapText="1"/>
    </xf>
    <xf numFmtId="1" fontId="28" fillId="0" borderId="1" xfId="0" applyNumberFormat="1" applyFont="1" applyFill="1" applyBorder="1" applyAlignment="1">
      <alignment horizontal="center" vertical="center"/>
    </xf>
    <xf numFmtId="9" fontId="28" fillId="0" borderId="18" xfId="1" applyNumberFormat="1" applyFont="1" applyFill="1" applyBorder="1" applyAlignment="1">
      <alignment vertical="center"/>
    </xf>
    <xf numFmtId="173" fontId="28" fillId="0" borderId="18" xfId="1" applyNumberFormat="1" applyFont="1" applyBorder="1" applyAlignment="1">
      <alignment horizontal="right" vertical="center"/>
    </xf>
    <xf numFmtId="9" fontId="28" fillId="0" borderId="18" xfId="1" applyFont="1" applyBorder="1" applyAlignment="1">
      <alignment horizontal="justify" vertical="top" wrapText="1"/>
    </xf>
    <xf numFmtId="9" fontId="28" fillId="20" borderId="24" xfId="1" applyNumberFormat="1" applyFont="1" applyFill="1" applyBorder="1" applyAlignment="1">
      <alignment vertical="center"/>
    </xf>
    <xf numFmtId="173" fontId="28" fillId="20" borderId="24" xfId="1" applyNumberFormat="1" applyFont="1" applyFill="1" applyBorder="1" applyAlignment="1">
      <alignment horizontal="right" vertical="center"/>
    </xf>
    <xf numFmtId="9" fontId="28" fillId="20" borderId="24" xfId="1" applyFont="1" applyFill="1" applyBorder="1" applyAlignment="1">
      <alignment horizontal="justify" vertical="top" wrapText="1"/>
    </xf>
    <xf numFmtId="9" fontId="28" fillId="20" borderId="24" xfId="0" applyNumberFormat="1" applyFont="1" applyFill="1" applyBorder="1" applyAlignment="1">
      <alignment horizontal="center" vertical="center"/>
    </xf>
    <xf numFmtId="9" fontId="28" fillId="20" borderId="24" xfId="1" applyNumberFormat="1" applyFont="1" applyFill="1" applyBorder="1" applyAlignment="1">
      <alignment horizontal="justify" vertical="center" wrapText="1"/>
    </xf>
    <xf numFmtId="42" fontId="20" fillId="20" borderId="0" xfId="0" applyNumberFormat="1" applyFont="1" applyFill="1"/>
    <xf numFmtId="9" fontId="28" fillId="20" borderId="18" xfId="1" applyNumberFormat="1" applyFont="1" applyFill="1" applyBorder="1" applyAlignment="1">
      <alignment horizontal="justify" vertical="center" wrapText="1"/>
    </xf>
    <xf numFmtId="9" fontId="28" fillId="20" borderId="18"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xf>
    <xf numFmtId="9" fontId="28" fillId="20" borderId="26" xfId="1" applyNumberFormat="1" applyFont="1" applyFill="1" applyBorder="1" applyAlignment="1">
      <alignment horizontal="right" vertical="center" wrapText="1"/>
    </xf>
    <xf numFmtId="9" fontId="28" fillId="20" borderId="18" xfId="0" applyNumberFormat="1" applyFont="1" applyFill="1" applyBorder="1" applyAlignment="1">
      <alignment horizontal="right" vertical="center"/>
    </xf>
    <xf numFmtId="9" fontId="28" fillId="20" borderId="18" xfId="1" applyNumberFormat="1" applyFont="1" applyFill="1" applyBorder="1" applyAlignment="1">
      <alignment vertical="center"/>
    </xf>
    <xf numFmtId="9" fontId="28" fillId="20" borderId="18" xfId="1" applyFont="1" applyFill="1" applyBorder="1" applyAlignment="1">
      <alignment horizontal="justify" vertical="top" wrapText="1"/>
    </xf>
    <xf numFmtId="9" fontId="28" fillId="20" borderId="18" xfId="0" applyNumberFormat="1" applyFont="1" applyFill="1" applyBorder="1" applyAlignment="1">
      <alignment horizontal="center" vertical="center"/>
    </xf>
    <xf numFmtId="0" fontId="28" fillId="20" borderId="18" xfId="0" applyFont="1" applyFill="1" applyBorder="1" applyAlignment="1">
      <alignment horizontal="right"/>
    </xf>
    <xf numFmtId="1" fontId="28" fillId="20" borderId="18" xfId="1" applyNumberFormat="1" applyFont="1" applyFill="1" applyBorder="1" applyAlignment="1">
      <alignment horizontal="right" vertical="center"/>
    </xf>
    <xf numFmtId="0" fontId="28" fillId="20" borderId="13" xfId="0" applyFont="1" applyFill="1" applyBorder="1" applyAlignment="1">
      <alignment horizontal="right" vertical="center"/>
    </xf>
    <xf numFmtId="0" fontId="28" fillId="20" borderId="26" xfId="0" applyFont="1" applyFill="1" applyBorder="1" applyAlignment="1">
      <alignment horizontal="justify" vertical="center" wrapText="1"/>
    </xf>
    <xf numFmtId="0" fontId="28" fillId="20" borderId="26" xfId="0" applyFont="1" applyFill="1" applyBorder="1" applyAlignment="1">
      <alignment horizontal="center" vertical="center" wrapText="1"/>
    </xf>
    <xf numFmtId="0" fontId="28" fillId="20" borderId="26" xfId="0" applyFont="1" applyFill="1" applyBorder="1" applyAlignment="1">
      <alignment horizontal="right" vertical="center"/>
    </xf>
    <xf numFmtId="172" fontId="59" fillId="13" borderId="37" xfId="1" applyNumberFormat="1" applyFont="1" applyFill="1" applyBorder="1" applyAlignment="1">
      <alignment horizontal="right" vertical="center"/>
    </xf>
    <xf numFmtId="9" fontId="59" fillId="13" borderId="37" xfId="1" applyNumberFormat="1" applyFont="1" applyFill="1" applyBorder="1" applyAlignment="1">
      <alignment horizontal="right" vertical="center"/>
    </xf>
    <xf numFmtId="0" fontId="28" fillId="20" borderId="0" xfId="0" applyFont="1" applyFill="1" applyAlignment="1">
      <alignment horizontal="center" vertical="center"/>
    </xf>
    <xf numFmtId="9" fontId="53" fillId="13" borderId="31" xfId="1" applyFont="1" applyFill="1" applyBorder="1" applyAlignment="1">
      <alignment horizontal="right" vertical="center"/>
    </xf>
    <xf numFmtId="176" fontId="58" fillId="13" borderId="18" xfId="1" applyNumberFormat="1" applyFont="1" applyFill="1" applyBorder="1" applyAlignment="1">
      <alignment horizontal="right" vertical="center"/>
    </xf>
    <xf numFmtId="176" fontId="58" fillId="13" borderId="16" xfId="1" applyNumberFormat="1" applyFont="1" applyFill="1" applyBorder="1" applyAlignment="1">
      <alignment horizontal="right" vertical="center"/>
    </xf>
    <xf numFmtId="176" fontId="58" fillId="13" borderId="67" xfId="1" applyNumberFormat="1" applyFont="1" applyFill="1" applyBorder="1" applyAlignment="1">
      <alignment horizontal="right" vertical="center"/>
    </xf>
    <xf numFmtId="9" fontId="53" fillId="13" borderId="42" xfId="1" applyNumberFormat="1" applyFont="1" applyFill="1" applyBorder="1" applyAlignment="1">
      <alignment horizontal="right" vertical="center"/>
    </xf>
    <xf numFmtId="9" fontId="53" fillId="13" borderId="31" xfId="1" applyNumberFormat="1" applyFont="1" applyFill="1" applyBorder="1" applyAlignment="1">
      <alignment horizontal="right" vertical="center"/>
    </xf>
    <xf numFmtId="0" fontId="45" fillId="0" borderId="0" xfId="0" applyFont="1" applyAlignment="1">
      <alignment horizontal="right"/>
    </xf>
    <xf numFmtId="42" fontId="28" fillId="0" borderId="1" xfId="5" applyFont="1" applyFill="1" applyBorder="1" applyAlignment="1">
      <alignment horizontal="right" vertical="center"/>
    </xf>
    <xf numFmtId="9" fontId="28" fillId="0" borderId="18" xfId="1" applyNumberFormat="1" applyFont="1" applyFill="1" applyBorder="1" applyAlignment="1">
      <alignment horizontal="justify" vertical="center" wrapText="1"/>
    </xf>
    <xf numFmtId="42" fontId="28" fillId="0" borderId="18" xfId="5" applyFont="1" applyFill="1" applyBorder="1" applyAlignment="1">
      <alignment horizontal="right" vertical="center"/>
    </xf>
    <xf numFmtId="0" fontId="44" fillId="0" borderId="18" xfId="0" applyFont="1" applyFill="1" applyBorder="1" applyAlignment="1">
      <alignment vertical="center" wrapText="1"/>
    </xf>
    <xf numFmtId="0" fontId="44" fillId="0" borderId="18" xfId="0" applyFont="1" applyBorder="1" applyAlignment="1">
      <alignment vertical="center" wrapText="1"/>
    </xf>
    <xf numFmtId="9" fontId="74" fillId="13" borderId="38" xfId="1" applyFont="1" applyFill="1" applyBorder="1" applyAlignment="1">
      <alignment horizontal="center" vertical="center"/>
    </xf>
    <xf numFmtId="0" fontId="0" fillId="0" borderId="1" xfId="0" applyBorder="1" applyAlignment="1">
      <alignment horizontal="center" vertical="center"/>
    </xf>
    <xf numFmtId="10" fontId="28" fillId="0" borderId="1" xfId="1" applyNumberFormat="1" applyFont="1" applyFill="1" applyBorder="1" applyAlignment="1">
      <alignment horizontal="right" vertical="center"/>
    </xf>
    <xf numFmtId="9" fontId="58" fillId="13" borderId="18" xfId="1" applyFont="1" applyFill="1" applyBorder="1" applyAlignment="1">
      <alignment horizontal="right" vertical="center"/>
    </xf>
    <xf numFmtId="0" fontId="28" fillId="0" borderId="1" xfId="0"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0" fillId="0" borderId="1" xfId="0" applyFont="1" applyFill="1" applyBorder="1" applyAlignment="1">
      <alignment horizontal="justify" vertical="center" wrapText="1"/>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1" applyNumberFormat="1" applyFont="1" applyFill="1" applyBorder="1" applyAlignment="1">
      <alignment horizontal="center" vertical="center"/>
    </xf>
    <xf numFmtId="9" fontId="28" fillId="0" borderId="1" xfId="0" applyNumberFormat="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0" fontId="81" fillId="0" borderId="1" xfId="0" applyFont="1" applyFill="1" applyBorder="1" applyAlignment="1">
      <alignment horizontal="justify" vertical="center" wrapText="1"/>
    </xf>
    <xf numFmtId="0" fontId="28" fillId="0" borderId="1" xfId="0" applyFont="1" applyFill="1" applyBorder="1" applyAlignment="1">
      <alignment horizontal="center" vertical="center"/>
    </xf>
    <xf numFmtId="0" fontId="28" fillId="0" borderId="24" xfId="0" applyFont="1" applyFill="1" applyBorder="1" applyAlignment="1">
      <alignment horizontal="right" vertical="center"/>
    </xf>
    <xf numFmtId="0" fontId="28" fillId="0" borderId="1" xfId="0" applyFont="1" applyFill="1" applyBorder="1" applyAlignment="1">
      <alignment horizontal="right"/>
    </xf>
    <xf numFmtId="42" fontId="28" fillId="0" borderId="1" xfId="5" applyFont="1" applyFill="1" applyBorder="1" applyAlignment="1">
      <alignment horizontal="center" vertical="center"/>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28" fillId="0" borderId="1" xfId="0"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9" fontId="28" fillId="0" borderId="1" xfId="1" applyFont="1" applyFill="1" applyBorder="1" applyAlignment="1">
      <alignment horizontal="center" vertical="center"/>
    </xf>
    <xf numFmtId="42" fontId="28" fillId="0" borderId="1" xfId="5" applyFont="1" applyFill="1" applyBorder="1" applyAlignment="1">
      <alignment horizontal="right" wrapText="1"/>
    </xf>
    <xf numFmtId="42" fontId="28" fillId="0" borderId="1" xfId="5" applyFont="1" applyFill="1" applyBorder="1" applyAlignment="1">
      <alignment horizontal="right" vertical="center" wrapText="1"/>
    </xf>
    <xf numFmtId="9" fontId="28" fillId="0" borderId="1" xfId="0" applyNumberFormat="1" applyFont="1" applyFill="1" applyBorder="1" applyAlignment="1">
      <alignment horizontal="center" vertical="center"/>
    </xf>
    <xf numFmtId="0" fontId="28" fillId="0" borderId="1" xfId="0" applyFont="1" applyBorder="1" applyAlignment="1">
      <alignment horizontal="center" vertical="center"/>
    </xf>
    <xf numFmtId="0" fontId="28" fillId="20" borderId="1" xfId="0" applyFont="1" applyFill="1" applyBorder="1" applyAlignment="1">
      <alignment horizontal="justify" vertical="center" wrapText="1"/>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9" fontId="28" fillId="20" borderId="1" xfId="1" applyNumberFormat="1" applyFont="1" applyFill="1" applyBorder="1" applyAlignment="1">
      <alignment horizontal="right" vertical="center"/>
    </xf>
    <xf numFmtId="0" fontId="28" fillId="20" borderId="7" xfId="0"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5" applyFont="1" applyFill="1" applyBorder="1" applyAlignment="1">
      <alignment horizontal="right" vertical="center"/>
    </xf>
    <xf numFmtId="0" fontId="28" fillId="0" borderId="1" xfId="0" applyFont="1" applyFill="1" applyBorder="1" applyAlignment="1">
      <alignment horizontal="justify" vertical="center"/>
    </xf>
    <xf numFmtId="42" fontId="28" fillId="20" borderId="1" xfId="0" applyNumberFormat="1" applyFont="1" applyFill="1" applyBorder="1" applyAlignment="1">
      <alignment horizontal="right" vertical="center"/>
    </xf>
    <xf numFmtId="42" fontId="28" fillId="20" borderId="1" xfId="5" applyFont="1" applyFill="1" applyBorder="1" applyAlignment="1">
      <alignment horizontal="right" vertical="center" wrapText="1"/>
    </xf>
    <xf numFmtId="9" fontId="28" fillId="20" borderId="1" xfId="0" applyNumberFormat="1" applyFont="1" applyFill="1" applyBorder="1" applyAlignment="1">
      <alignment horizontal="right" vertical="center"/>
    </xf>
    <xf numFmtId="42" fontId="28" fillId="0" borderId="1" xfId="5" applyFont="1" applyBorder="1" applyAlignment="1">
      <alignment horizontal="right" vertical="center"/>
    </xf>
    <xf numFmtId="0" fontId="28" fillId="0" borderId="1" xfId="0" applyNumberFormat="1" applyFont="1" applyFill="1" applyBorder="1" applyAlignment="1">
      <alignment horizontal="right" vertical="center"/>
    </xf>
    <xf numFmtId="9" fontId="28" fillId="21"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42" fontId="28" fillId="21" borderId="1" xfId="5" applyFont="1" applyFill="1" applyBorder="1" applyAlignment="1">
      <alignment horizontal="right" vertical="center"/>
    </xf>
    <xf numFmtId="9" fontId="28" fillId="21" borderId="1" xfId="1" applyNumberFormat="1" applyFont="1" applyFill="1" applyBorder="1" applyAlignment="1">
      <alignment horizontal="right" vertical="center"/>
    </xf>
    <xf numFmtId="0" fontId="28" fillId="0" borderId="1" xfId="1" applyNumberFormat="1" applyFont="1" applyFill="1" applyBorder="1" applyAlignment="1">
      <alignment horizontal="right" vertical="center"/>
    </xf>
    <xf numFmtId="0" fontId="28" fillId="20" borderId="1" xfId="0" applyFont="1" applyFill="1" applyBorder="1" applyAlignment="1">
      <alignment horizontal="center" vertical="center" wrapText="1"/>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42" fontId="28" fillId="21"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0" fontId="28" fillId="20" borderId="1" xfId="0" applyFont="1" applyFill="1" applyBorder="1" applyAlignment="1">
      <alignment horizontal="justify" vertical="center"/>
    </xf>
    <xf numFmtId="6" fontId="28" fillId="20" borderId="1" xfId="0" applyNumberFormat="1" applyFont="1" applyFill="1" applyBorder="1" applyAlignment="1">
      <alignment horizontal="right" vertical="center"/>
    </xf>
    <xf numFmtId="0" fontId="20" fillId="0" borderId="1" xfId="0" applyFont="1" applyFill="1" applyBorder="1" applyAlignment="1">
      <alignment horizontal="justify" vertical="center" wrapText="1"/>
    </xf>
    <xf numFmtId="0" fontId="44" fillId="0" borderId="1" xfId="0" applyFont="1" applyFill="1" applyBorder="1" applyAlignment="1">
      <alignment horizontal="center" vertical="center" wrapText="1"/>
    </xf>
    <xf numFmtId="42" fontId="35" fillId="0" borderId="1" xfId="5" applyFont="1" applyFill="1" applyBorder="1" applyAlignment="1">
      <alignment horizontal="right" vertical="center"/>
    </xf>
    <xf numFmtId="42" fontId="84" fillId="0" borderId="0" xfId="0" applyNumberFormat="1" applyFont="1" applyFill="1"/>
    <xf numFmtId="42" fontId="0" fillId="0" borderId="0" xfId="0" applyNumberFormat="1" applyFill="1"/>
    <xf numFmtId="9" fontId="0" fillId="0" borderId="0" xfId="1" applyFont="1" applyFill="1"/>
    <xf numFmtId="9" fontId="28" fillId="0" borderId="1" xfId="1" applyFont="1" applyFill="1" applyBorder="1" applyAlignment="1">
      <alignment horizontal="left" vertical="center" wrapText="1"/>
    </xf>
    <xf numFmtId="0" fontId="28" fillId="21" borderId="1" xfId="0" applyFont="1" applyFill="1" applyBorder="1" applyAlignment="1">
      <alignment horizontal="center" vertical="center" wrapText="1"/>
    </xf>
    <xf numFmtId="9" fontId="28" fillId="21" borderId="1" xfId="1" applyFont="1" applyFill="1" applyBorder="1" applyAlignment="1">
      <alignment horizontal="right" vertical="center"/>
    </xf>
    <xf numFmtId="0" fontId="28" fillId="21" borderId="1" xfId="0" applyNumberFormat="1" applyFont="1" applyFill="1" applyBorder="1" applyAlignment="1">
      <alignment horizontal="justify" vertical="center" wrapText="1"/>
    </xf>
    <xf numFmtId="0" fontId="28" fillId="21" borderId="1" xfId="0" applyFont="1" applyFill="1" applyBorder="1" applyAlignment="1">
      <alignment horizontal="justify" vertical="center"/>
    </xf>
    <xf numFmtId="9" fontId="28" fillId="21" borderId="1" xfId="1" applyFont="1" applyFill="1" applyBorder="1" applyAlignment="1">
      <alignment horizontal="justify" vertical="center"/>
    </xf>
    <xf numFmtId="9" fontId="28" fillId="21" borderId="1" xfId="1" applyFont="1" applyFill="1" applyBorder="1" applyAlignment="1">
      <alignment horizontal="center" vertical="center" wrapText="1"/>
    </xf>
    <xf numFmtId="9" fontId="28" fillId="21" borderId="1" xfId="1" applyNumberFormat="1" applyFont="1" applyFill="1" applyBorder="1" applyAlignment="1">
      <alignment horizontal="justify" vertical="center" wrapText="1"/>
    </xf>
    <xf numFmtId="0" fontId="28" fillId="21" borderId="0" xfId="0" applyFont="1" applyFill="1"/>
    <xf numFmtId="0" fontId="75" fillId="0" borderId="25" xfId="0" applyFont="1" applyBorder="1" applyAlignment="1">
      <alignment vertical="center"/>
    </xf>
    <xf numFmtId="42" fontId="75" fillId="0" borderId="25" xfId="5" applyFont="1" applyFill="1" applyBorder="1" applyAlignment="1">
      <alignment vertical="center"/>
    </xf>
    <xf numFmtId="0" fontId="28" fillId="20" borderId="1" xfId="0" applyNumberFormat="1" applyFont="1" applyFill="1" applyBorder="1" applyAlignment="1">
      <alignment horizontal="right" vertical="center"/>
    </xf>
    <xf numFmtId="1" fontId="28" fillId="0" borderId="25" xfId="0" applyNumberFormat="1" applyFont="1" applyFill="1" applyBorder="1" applyAlignment="1">
      <alignment horizontal="right" vertical="center"/>
    </xf>
    <xf numFmtId="1" fontId="28" fillId="0" borderId="25" xfId="3" applyNumberFormat="1" applyFont="1" applyFill="1" applyBorder="1" applyAlignment="1">
      <alignment horizontal="right" vertical="center"/>
    </xf>
    <xf numFmtId="3" fontId="28" fillId="0" borderId="1" xfId="0" applyNumberFormat="1" applyFont="1" applyFill="1" applyBorder="1" applyAlignment="1">
      <alignment horizontal="right" vertical="center"/>
    </xf>
    <xf numFmtId="0" fontId="85" fillId="0" borderId="1" xfId="0" applyFont="1" applyBorder="1" applyAlignment="1">
      <alignment horizontal="justify" vertical="center"/>
    </xf>
    <xf numFmtId="167" fontId="28" fillId="0" borderId="1" xfId="3" applyNumberFormat="1" applyFont="1" applyFill="1" applyBorder="1" applyAlignment="1">
      <alignment horizontal="right" vertical="center"/>
    </xf>
    <xf numFmtId="167" fontId="28" fillId="0" borderId="1" xfId="3" applyNumberFormat="1" applyFont="1" applyFill="1" applyBorder="1" applyAlignment="1">
      <alignment horizontal="center" vertical="center"/>
    </xf>
    <xf numFmtId="0" fontId="75" fillId="0" borderId="1" xfId="0" applyFont="1" applyFill="1" applyBorder="1"/>
    <xf numFmtId="0" fontId="75" fillId="0" borderId="1" xfId="0" applyFont="1" applyBorder="1"/>
    <xf numFmtId="0" fontId="75" fillId="0" borderId="1" xfId="0" applyFont="1" applyBorder="1" applyAlignment="1">
      <alignment vertical="center"/>
    </xf>
    <xf numFmtId="0" fontId="75" fillId="0" borderId="1" xfId="0" applyFont="1" applyBorder="1" applyAlignment="1">
      <alignment horizontal="center" vertical="center"/>
    </xf>
    <xf numFmtId="10" fontId="28" fillId="0" borderId="1" xfId="3" applyNumberFormat="1" applyFont="1" applyFill="1" applyBorder="1" applyAlignment="1">
      <alignment horizontal="right" vertical="center"/>
    </xf>
    <xf numFmtId="9" fontId="28" fillId="0" borderId="18" xfId="0" applyNumberFormat="1" applyFont="1" applyFill="1" applyBorder="1" applyAlignment="1">
      <alignment horizontal="right" vertical="center"/>
    </xf>
    <xf numFmtId="9" fontId="28" fillId="0" borderId="18" xfId="1" applyFont="1" applyFill="1" applyBorder="1" applyAlignment="1">
      <alignment horizontal="right" vertical="center"/>
    </xf>
    <xf numFmtId="9" fontId="28" fillId="0" borderId="1" xfId="1" applyNumberFormat="1" applyFont="1" applyFill="1" applyBorder="1" applyAlignment="1">
      <alignment wrapText="1"/>
    </xf>
    <xf numFmtId="0" fontId="28" fillId="0" borderId="25" xfId="0" applyFont="1" applyFill="1" applyBorder="1" applyAlignment="1">
      <alignment horizontal="right" vertical="center" wrapText="1"/>
    </xf>
    <xf numFmtId="9" fontId="28" fillId="0" borderId="25" xfId="1" applyFont="1" applyFill="1" applyBorder="1" applyAlignment="1">
      <alignment horizontal="justify" vertical="center" wrapText="1"/>
    </xf>
    <xf numFmtId="42" fontId="28" fillId="0" borderId="25" xfId="1" applyNumberFormat="1" applyFont="1" applyFill="1" applyBorder="1" applyAlignment="1">
      <alignment horizontal="right" vertical="center"/>
    </xf>
    <xf numFmtId="0" fontId="28" fillId="0" borderId="25" xfId="0" applyFont="1" applyBorder="1" applyAlignment="1">
      <alignment horizontal="right"/>
    </xf>
    <xf numFmtId="9" fontId="28" fillId="0" borderId="25" xfId="1" applyFont="1" applyBorder="1" applyAlignment="1">
      <alignment horizontal="right" vertical="center"/>
    </xf>
    <xf numFmtId="9" fontId="28" fillId="0" borderId="25" xfId="1" applyFont="1" applyBorder="1" applyAlignment="1">
      <alignment horizontal="justify" vertical="center"/>
    </xf>
    <xf numFmtId="0" fontId="28" fillId="0" borderId="0" xfId="0" applyFont="1" applyFill="1" applyAlignment="1">
      <alignment horizontal="center"/>
    </xf>
    <xf numFmtId="0" fontId="28" fillId="0" borderId="0" xfId="0" applyFont="1"/>
    <xf numFmtId="42" fontId="35" fillId="0" borderId="0" xfId="0" applyNumberFormat="1" applyFont="1"/>
    <xf numFmtId="9" fontId="58" fillId="13" borderId="18" xfId="1" applyFont="1" applyFill="1" applyBorder="1" applyAlignment="1">
      <alignment horizontal="right" vertical="center"/>
    </xf>
    <xf numFmtId="9" fontId="58" fillId="13" borderId="16" xfId="1" applyFont="1" applyFill="1" applyBorder="1" applyAlignment="1">
      <alignment horizontal="right" vertical="center"/>
    </xf>
    <xf numFmtId="0" fontId="44" fillId="0" borderId="1" xfId="0" applyFont="1" applyFill="1" applyBorder="1" applyAlignment="1">
      <alignment horizontal="justify" vertical="center" wrapText="1"/>
    </xf>
    <xf numFmtId="0" fontId="44" fillId="0" borderId="18" xfId="0" applyFont="1" applyBorder="1" applyAlignment="1">
      <alignment horizontal="center" vertical="center" wrapText="1"/>
    </xf>
    <xf numFmtId="0" fontId="28" fillId="0" borderId="11" xfId="0" applyFont="1" applyFill="1" applyBorder="1" applyAlignment="1">
      <alignment horizontal="right" vertical="center"/>
    </xf>
    <xf numFmtId="0" fontId="28" fillId="0" borderId="4" xfId="0" applyFont="1" applyFill="1" applyBorder="1" applyAlignment="1">
      <alignment horizontal="justify" vertical="center" wrapText="1"/>
    </xf>
    <xf numFmtId="0" fontId="28" fillId="0" borderId="4" xfId="0" applyFont="1" applyFill="1" applyBorder="1" applyAlignment="1">
      <alignment horizontal="center" vertical="center" wrapText="1"/>
    </xf>
    <xf numFmtId="0" fontId="28" fillId="0" borderId="4" xfId="0" applyFont="1" applyFill="1" applyBorder="1" applyAlignment="1">
      <alignment horizontal="right" vertical="center"/>
    </xf>
    <xf numFmtId="0" fontId="28" fillId="0" borderId="4" xfId="0" applyFont="1" applyFill="1" applyBorder="1" applyAlignment="1">
      <alignment horizontal="center" vertical="center"/>
    </xf>
    <xf numFmtId="1" fontId="28" fillId="0" borderId="4" xfId="0" applyNumberFormat="1" applyFont="1" applyFill="1" applyBorder="1" applyAlignment="1">
      <alignment horizontal="right" vertical="center"/>
    </xf>
    <xf numFmtId="0" fontId="28" fillId="0" borderId="4" xfId="0" applyFont="1" applyFill="1" applyBorder="1" applyAlignment="1">
      <alignment horizontal="justify" vertical="center"/>
    </xf>
    <xf numFmtId="42" fontId="28" fillId="0" borderId="4" xfId="5" applyFont="1" applyFill="1" applyBorder="1" applyAlignment="1">
      <alignment horizontal="right" vertical="center"/>
    </xf>
    <xf numFmtId="9" fontId="28" fillId="0" borderId="4" xfId="1" applyFont="1" applyFill="1" applyBorder="1" applyAlignment="1">
      <alignment horizontal="right" vertical="center"/>
    </xf>
    <xf numFmtId="42" fontId="28" fillId="0" borderId="4" xfId="0" applyNumberFormat="1" applyFont="1" applyFill="1" applyBorder="1" applyAlignment="1">
      <alignment horizontal="right" vertical="center"/>
    </xf>
    <xf numFmtId="1" fontId="28" fillId="0" borderId="4" xfId="1" applyNumberFormat="1" applyFont="1" applyFill="1" applyBorder="1" applyAlignment="1">
      <alignment horizontal="right" vertical="center"/>
    </xf>
    <xf numFmtId="0" fontId="28" fillId="0" borderId="4" xfId="0" applyFont="1" applyBorder="1" applyAlignment="1">
      <alignment horizontal="center" vertical="center"/>
    </xf>
    <xf numFmtId="42" fontId="28" fillId="0" borderId="4" xfId="5" applyFont="1" applyBorder="1" applyAlignment="1">
      <alignment horizontal="right" vertical="center"/>
    </xf>
    <xf numFmtId="9" fontId="28" fillId="0" borderId="4" xfId="1" applyNumberFormat="1" applyFont="1" applyFill="1" applyBorder="1" applyAlignment="1">
      <alignment horizontal="right" vertical="center"/>
    </xf>
    <xf numFmtId="9" fontId="28" fillId="0" borderId="4" xfId="1" applyFont="1" applyBorder="1" applyAlignment="1">
      <alignment horizontal="left" vertical="center" wrapText="1"/>
    </xf>
    <xf numFmtId="174" fontId="28" fillId="0" borderId="4" xfId="0" applyNumberFormat="1" applyFont="1" applyFill="1" applyBorder="1" applyAlignment="1">
      <alignment horizontal="right" vertical="center"/>
    </xf>
    <xf numFmtId="9" fontId="28" fillId="0" borderId="4" xfId="1" applyFont="1" applyBorder="1" applyAlignment="1">
      <alignment horizontal="justify" vertical="center" wrapText="1"/>
    </xf>
    <xf numFmtId="0" fontId="28" fillId="0" borderId="4" xfId="0" applyFont="1" applyFill="1" applyBorder="1" applyAlignment="1">
      <alignment horizontal="right"/>
    </xf>
    <xf numFmtId="9" fontId="28" fillId="0" borderId="4" xfId="0" applyNumberFormat="1" applyFont="1" applyFill="1" applyBorder="1" applyAlignment="1">
      <alignment horizontal="right" vertical="center"/>
    </xf>
    <xf numFmtId="9" fontId="28" fillId="15" borderId="4" xfId="1" applyNumberFormat="1" applyFont="1" applyFill="1" applyBorder="1" applyAlignment="1">
      <alignment horizontal="right" vertical="center" wrapText="1"/>
    </xf>
    <xf numFmtId="9" fontId="28" fillId="15" borderId="12" xfId="1" applyNumberFormat="1" applyFont="1" applyFill="1" applyBorder="1" applyAlignment="1">
      <alignment horizontal="right" vertical="center" wrapText="1"/>
    </xf>
    <xf numFmtId="0" fontId="81" fillId="0" borderId="1" xfId="0" applyFont="1" applyFill="1" applyBorder="1" applyAlignment="1">
      <alignment horizontal="justify" vertical="center" wrapText="1"/>
    </xf>
    <xf numFmtId="0" fontId="81" fillId="0" borderId="1" xfId="0" applyFont="1" applyFill="1" applyBorder="1"/>
    <xf numFmtId="0" fontId="81" fillId="0" borderId="1" xfId="0" applyFont="1" applyFill="1" applyBorder="1" applyAlignment="1">
      <alignment horizontal="right" vertical="center" wrapText="1"/>
    </xf>
    <xf numFmtId="0" fontId="81" fillId="0" borderId="1" xfId="0" applyFont="1" applyFill="1" applyBorder="1" applyAlignment="1">
      <alignment horizontal="center" vertical="center"/>
    </xf>
    <xf numFmtId="1" fontId="81" fillId="0" borderId="1" xfId="0" applyNumberFormat="1" applyFont="1" applyFill="1" applyBorder="1" applyAlignment="1">
      <alignment horizontal="right" vertical="center"/>
    </xf>
    <xf numFmtId="1" fontId="81" fillId="0" borderId="1" xfId="1" applyNumberFormat="1" applyFont="1" applyFill="1" applyBorder="1" applyAlignment="1">
      <alignment vertical="center"/>
    </xf>
    <xf numFmtId="0" fontId="81" fillId="0" borderId="1" xfId="0" applyFont="1" applyBorder="1" applyAlignment="1">
      <alignment vertical="center"/>
    </xf>
    <xf numFmtId="9" fontId="81" fillId="15" borderId="1" xfId="1" applyNumberFormat="1" applyFont="1" applyFill="1" applyBorder="1" applyAlignment="1">
      <alignment horizontal="right" vertical="center" wrapText="1"/>
    </xf>
    <xf numFmtId="0" fontId="81" fillId="0" borderId="0" xfId="0" applyFont="1" applyFill="1"/>
    <xf numFmtId="14" fontId="20" fillId="0" borderId="1" xfId="0" applyNumberFormat="1" applyFont="1" applyBorder="1" applyAlignment="1">
      <alignment horizontal="center" vertical="center"/>
    </xf>
    <xf numFmtId="9" fontId="81"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Font="1" applyFill="1" applyBorder="1" applyAlignment="1">
      <alignment horizontal="right"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justify" vertical="center" wrapText="1"/>
    </xf>
    <xf numFmtId="42" fontId="28" fillId="0" borderId="1" xfId="5" applyFont="1" applyFill="1" applyBorder="1" applyAlignment="1">
      <alignment horizontal="right" vertical="center"/>
    </xf>
    <xf numFmtId="9" fontId="28" fillId="0" borderId="1" xfId="1" applyFont="1" applyFill="1" applyBorder="1" applyAlignment="1">
      <alignment horizontal="right" vertical="center"/>
    </xf>
    <xf numFmtId="9" fontId="28" fillId="21" borderId="1" xfId="1" applyNumberFormat="1" applyFont="1" applyFill="1" applyBorder="1" applyAlignment="1">
      <alignment horizontal="right" vertical="center"/>
    </xf>
    <xf numFmtId="0" fontId="44" fillId="0" borderId="4" xfId="0" applyFont="1" applyFill="1" applyBorder="1" applyAlignment="1">
      <alignment horizontal="center" vertical="center" wrapText="1"/>
    </xf>
    <xf numFmtId="0" fontId="44" fillId="0" borderId="1" xfId="0" applyFont="1" applyBorder="1" applyAlignment="1">
      <alignment horizontal="justify" vertical="center" wrapText="1"/>
    </xf>
    <xf numFmtId="0" fontId="28" fillId="0" borderId="1" xfId="0" applyFont="1" applyFill="1" applyBorder="1" applyAlignment="1">
      <alignment horizontal="center" vertical="center"/>
    </xf>
    <xf numFmtId="42" fontId="28" fillId="0" borderId="1" xfId="5" applyFont="1" applyFill="1" applyBorder="1" applyAlignment="1">
      <alignment horizontal="right" vertical="center"/>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9" fontId="58" fillId="13" borderId="18" xfId="1" applyFont="1" applyFill="1" applyBorder="1" applyAlignment="1">
      <alignment horizontal="right" vertical="center"/>
    </xf>
    <xf numFmtId="9" fontId="58" fillId="18" borderId="16" xfId="1" applyFont="1" applyFill="1" applyBorder="1" applyAlignment="1">
      <alignment horizontal="right" vertical="center"/>
    </xf>
    <xf numFmtId="0" fontId="44" fillId="0" borderId="1" xfId="0" applyFont="1" applyBorder="1" applyAlignment="1">
      <alignment horizontal="justify" vertical="center" wrapText="1"/>
    </xf>
    <xf numFmtId="9" fontId="28" fillId="0" borderId="1" xfId="0" applyNumberFormat="1" applyFont="1" applyFill="1" applyBorder="1" applyAlignment="1">
      <alignment horizontal="right"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center" vertical="center"/>
    </xf>
    <xf numFmtId="9" fontId="28" fillId="0" borderId="1" xfId="0" applyNumberFormat="1" applyFont="1" applyFill="1" applyBorder="1" applyAlignment="1">
      <alignment horizontal="center" vertical="center"/>
    </xf>
    <xf numFmtId="42" fontId="28" fillId="0" borderId="1" xfId="5" applyFont="1" applyBorder="1" applyAlignment="1">
      <alignment horizontal="right" vertical="center"/>
    </xf>
    <xf numFmtId="9" fontId="28" fillId="0" borderId="18" xfId="1" applyNumberFormat="1" applyFont="1" applyFill="1" applyBorder="1" applyAlignment="1">
      <alignment horizontal="left" vertical="center" wrapText="1"/>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24" xfId="0"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74" fillId="13" borderId="62" xfId="1" applyFont="1" applyFill="1" applyBorder="1" applyAlignment="1">
      <alignment horizontal="center" vertical="center"/>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42" fontId="28" fillId="0" borderId="1" xfId="5"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justify" vertical="center"/>
    </xf>
    <xf numFmtId="9" fontId="28" fillId="0" borderId="24" xfId="1" applyNumberFormat="1" applyFont="1" applyFill="1" applyBorder="1" applyAlignment="1">
      <alignment horizontal="justify" vertical="center" wrapText="1"/>
    </xf>
    <xf numFmtId="9" fontId="28" fillId="0" borderId="1" xfId="1" applyFont="1" applyFill="1" applyBorder="1" applyAlignment="1">
      <alignment horizontal="center" vertical="center"/>
    </xf>
    <xf numFmtId="9" fontId="28" fillId="0" borderId="1" xfId="1" applyNumberFormat="1" applyFont="1" applyFill="1" applyBorder="1" applyAlignment="1">
      <alignment horizontal="right" vertical="center"/>
    </xf>
    <xf numFmtId="42" fontId="28" fillId="0" borderId="1" xfId="5" applyFont="1" applyFill="1" applyBorder="1" applyAlignment="1">
      <alignment horizontal="right" vertical="center"/>
    </xf>
    <xf numFmtId="9" fontId="28" fillId="0" borderId="1" xfId="1" applyNumberFormat="1" applyFont="1" applyFill="1" applyBorder="1" applyAlignment="1">
      <alignment horizontal="center"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1" applyNumberFormat="1" applyFont="1" applyFill="1" applyBorder="1" applyAlignment="1">
      <alignment horizontal="right" vertical="center"/>
    </xf>
    <xf numFmtId="42" fontId="28" fillId="20" borderId="1" xfId="5" applyFont="1" applyFill="1" applyBorder="1" applyAlignment="1">
      <alignment horizontal="right" vertical="center"/>
    </xf>
    <xf numFmtId="0" fontId="28" fillId="21" borderId="1" xfId="0" applyFont="1" applyFill="1" applyBorder="1" applyAlignment="1">
      <alignment horizontal="right" vertical="center"/>
    </xf>
    <xf numFmtId="0" fontId="28" fillId="20" borderId="1" xfId="0" applyFont="1" applyFill="1" applyBorder="1" applyAlignment="1">
      <alignment horizontal="right" vertical="center"/>
    </xf>
    <xf numFmtId="42" fontId="28" fillId="21" borderId="1" xfId="5" applyFont="1" applyFill="1" applyBorder="1" applyAlignment="1">
      <alignment horizontal="right" vertical="center"/>
    </xf>
    <xf numFmtId="0" fontId="28" fillId="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wrapText="1"/>
    </xf>
    <xf numFmtId="42" fontId="28" fillId="0" borderId="1" xfId="5" applyFont="1" applyBorder="1" applyAlignment="1">
      <alignment horizontal="right" vertical="center"/>
    </xf>
    <xf numFmtId="9" fontId="59" fillId="13" borderId="11" xfId="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8" borderId="58" xfId="1" applyFont="1" applyFill="1" applyBorder="1" applyAlignment="1">
      <alignment horizontal="right" vertical="center"/>
    </xf>
    <xf numFmtId="0" fontId="28" fillId="0" borderId="1" xfId="0" applyFont="1" applyBorder="1" applyAlignment="1">
      <alignment vertical="center"/>
    </xf>
    <xf numFmtId="9" fontId="28" fillId="0" borderId="1" xfId="1" applyNumberFormat="1" applyFont="1" applyFill="1" applyBorder="1" applyAlignment="1">
      <alignment horizontal="left" vertical="center"/>
    </xf>
    <xf numFmtId="9" fontId="28" fillId="0" borderId="1" xfId="1" applyFont="1" applyFill="1" applyBorder="1" applyAlignment="1">
      <alignment vertical="center"/>
    </xf>
    <xf numFmtId="42" fontId="28" fillId="0" borderId="4" xfId="5" applyFont="1" applyFill="1" applyBorder="1" applyAlignment="1">
      <alignment horizontal="right" vertical="center" wrapText="1"/>
    </xf>
    <xf numFmtId="42" fontId="20" fillId="0" borderId="1" xfId="5" applyFont="1" applyFill="1" applyBorder="1" applyAlignment="1">
      <alignment horizontal="right"/>
    </xf>
    <xf numFmtId="176" fontId="58" fillId="18" borderId="2" xfId="1" applyNumberFormat="1" applyFont="1" applyFill="1" applyBorder="1" applyAlignment="1">
      <alignment horizontal="right" vertical="center"/>
    </xf>
    <xf numFmtId="176" fontId="58" fillId="18" borderId="16" xfId="1" applyNumberFormat="1" applyFont="1" applyFill="1" applyBorder="1" applyAlignment="1">
      <alignment horizontal="right" vertical="center"/>
    </xf>
    <xf numFmtId="9" fontId="53" fillId="18" borderId="68" xfId="1" applyFont="1" applyFill="1" applyBorder="1" applyAlignment="1">
      <alignment horizontal="right" vertical="center"/>
    </xf>
    <xf numFmtId="9" fontId="53" fillId="18" borderId="36" xfId="1" applyFont="1" applyFill="1" applyBorder="1" applyAlignment="1">
      <alignment horizontal="right" vertical="center"/>
    </xf>
    <xf numFmtId="9" fontId="51" fillId="18" borderId="68" xfId="1" applyFont="1" applyFill="1" applyBorder="1" applyAlignment="1">
      <alignment horizontal="right" vertical="center"/>
    </xf>
    <xf numFmtId="166" fontId="52" fillId="17" borderId="13" xfId="1" applyNumberFormat="1" applyFont="1" applyFill="1" applyBorder="1" applyAlignment="1">
      <alignment horizontal="right" vertical="center"/>
    </xf>
    <xf numFmtId="9" fontId="53" fillId="13" borderId="26" xfId="1" applyFont="1" applyFill="1" applyBorder="1" applyAlignment="1">
      <alignment horizontal="right" vertical="center"/>
    </xf>
    <xf numFmtId="9" fontId="53" fillId="13" borderId="27" xfId="1" applyFont="1" applyFill="1" applyBorder="1" applyAlignment="1">
      <alignment horizontal="right" vertical="center"/>
    </xf>
    <xf numFmtId="9" fontId="53" fillId="18" borderId="27" xfId="1" applyFont="1" applyFill="1" applyBorder="1" applyAlignment="1">
      <alignment horizontal="right" vertical="center"/>
    </xf>
    <xf numFmtId="9" fontId="53" fillId="18" borderId="28" xfId="1" applyFont="1" applyFill="1" applyBorder="1" applyAlignment="1">
      <alignment horizontal="right" vertical="center"/>
    </xf>
    <xf numFmtId="9" fontId="51" fillId="13" borderId="43" xfId="1" applyFont="1" applyFill="1" applyBorder="1" applyAlignment="1">
      <alignment horizontal="right" vertical="center"/>
    </xf>
    <xf numFmtId="9" fontId="51" fillId="13" borderId="76" xfId="1" applyFont="1" applyFill="1" applyBorder="1" applyAlignment="1">
      <alignment horizontal="right" vertical="center"/>
    </xf>
    <xf numFmtId="9" fontId="51" fillId="18" borderId="76" xfId="1" applyFont="1" applyFill="1" applyBorder="1" applyAlignment="1">
      <alignment horizontal="right" vertical="center"/>
    </xf>
    <xf numFmtId="9" fontId="51" fillId="18" borderId="75" xfId="1" applyFont="1" applyFill="1" applyBorder="1" applyAlignment="1">
      <alignment horizontal="right" vertical="center"/>
    </xf>
    <xf numFmtId="9" fontId="51" fillId="18" borderId="42" xfId="1" applyFont="1" applyFill="1" applyBorder="1" applyAlignment="1">
      <alignment horizontal="right" vertical="center"/>
    </xf>
    <xf numFmtId="9" fontId="58" fillId="13" borderId="1" xfId="1" applyFont="1" applyFill="1" applyBorder="1" applyAlignment="1">
      <alignment horizontal="center" vertical="center"/>
    </xf>
    <xf numFmtId="1" fontId="72" fillId="0" borderId="0" xfId="0" applyNumberFormat="1" applyFont="1" applyFill="1" applyBorder="1" applyAlignment="1">
      <alignment horizontal="center"/>
    </xf>
    <xf numFmtId="9" fontId="74" fillId="0" borderId="48" xfId="1" applyFont="1" applyFill="1" applyBorder="1" applyAlignment="1">
      <alignment horizontal="center" vertical="center"/>
    </xf>
    <xf numFmtId="0" fontId="28" fillId="0" borderId="1" xfId="0" applyFont="1" applyFill="1" applyBorder="1" applyAlignment="1">
      <alignment horizontal="justify" vertical="center" wrapText="1"/>
    </xf>
    <xf numFmtId="0" fontId="28" fillId="20" borderId="1" xfId="0" applyFont="1" applyFill="1" applyBorder="1" applyAlignment="1">
      <alignment horizontal="justify" vertical="center" wrapText="1"/>
    </xf>
    <xf numFmtId="9" fontId="74" fillId="0" borderId="49" xfId="1" applyFont="1" applyFill="1" applyBorder="1" applyAlignment="1">
      <alignment horizontal="center" vertical="center"/>
    </xf>
    <xf numFmtId="9" fontId="74" fillId="0" borderId="45" xfId="1" applyFont="1" applyFill="1" applyBorder="1" applyAlignment="1">
      <alignment horizontal="center" vertical="center"/>
    </xf>
    <xf numFmtId="9" fontId="74" fillId="13" borderId="70" xfId="1" applyNumberFormat="1" applyFont="1" applyFill="1" applyBorder="1" applyAlignment="1">
      <alignment horizontal="center" vertical="center"/>
    </xf>
    <xf numFmtId="0" fontId="0" fillId="0" borderId="1" xfId="0" applyBorder="1" applyAlignment="1">
      <alignment horizontal="center" vertical="center"/>
    </xf>
    <xf numFmtId="0" fontId="28" fillId="0" borderId="0" xfId="0" applyFont="1" applyAlignment="1">
      <alignment horizontal="left" wrapText="1"/>
    </xf>
    <xf numFmtId="0" fontId="28" fillId="0" borderId="2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 xfId="0" applyFont="1" applyFill="1" applyBorder="1" applyAlignment="1">
      <alignment horizontal="center" vertical="center" wrapText="1"/>
    </xf>
    <xf numFmtId="42" fontId="28" fillId="0" borderId="24" xfId="0" applyNumberFormat="1" applyFont="1" applyFill="1" applyBorder="1" applyAlignment="1">
      <alignment horizontal="center" vertical="center"/>
    </xf>
    <xf numFmtId="42" fontId="28" fillId="0" borderId="18" xfId="0" applyNumberFormat="1" applyFont="1" applyFill="1" applyBorder="1" applyAlignment="1">
      <alignment horizontal="center" vertical="center"/>
    </xf>
    <xf numFmtId="42" fontId="28" fillId="0" borderId="1" xfId="0" applyNumberFormat="1" applyFont="1" applyFill="1" applyBorder="1" applyAlignment="1">
      <alignment horizontal="center" vertical="center"/>
    </xf>
    <xf numFmtId="42" fontId="28" fillId="0" borderId="24" xfId="5" applyFont="1" applyFill="1" applyBorder="1" applyAlignment="1">
      <alignment horizontal="center" vertical="center"/>
    </xf>
    <xf numFmtId="42" fontId="28" fillId="0" borderId="18" xfId="5" applyFont="1" applyFill="1" applyBorder="1" applyAlignment="1">
      <alignment horizontal="center" vertical="center"/>
    </xf>
    <xf numFmtId="42" fontId="28" fillId="0" borderId="1" xfId="5" applyFont="1" applyFill="1" applyBorder="1" applyAlignment="1">
      <alignment horizontal="center" vertical="center"/>
    </xf>
    <xf numFmtId="42" fontId="28" fillId="0" borderId="24" xfId="5" applyFont="1" applyBorder="1" applyAlignment="1">
      <alignment horizontal="center" vertical="center"/>
    </xf>
    <xf numFmtId="42" fontId="28" fillId="0" borderId="18" xfId="5" applyFont="1" applyBorder="1" applyAlignment="1">
      <alignment horizontal="center" vertical="center"/>
    </xf>
    <xf numFmtId="42" fontId="28" fillId="0" borderId="1" xfId="5" applyFont="1" applyBorder="1" applyAlignment="1">
      <alignment horizontal="center" vertical="center"/>
    </xf>
    <xf numFmtId="9" fontId="28" fillId="0" borderId="24" xfId="1" applyNumberFormat="1" applyFont="1" applyFill="1" applyBorder="1" applyAlignment="1">
      <alignment horizontal="center" vertical="center"/>
    </xf>
    <xf numFmtId="9" fontId="28" fillId="0" borderId="18" xfId="1" applyNumberFormat="1" applyFont="1" applyFill="1" applyBorder="1" applyAlignment="1">
      <alignment horizontal="center" vertical="center"/>
    </xf>
    <xf numFmtId="9" fontId="28" fillId="0" borderId="1" xfId="1" applyNumberFormat="1" applyFont="1" applyFill="1" applyBorder="1" applyAlignment="1">
      <alignment horizontal="center" vertical="center"/>
    </xf>
    <xf numFmtId="42" fontId="28" fillId="0" borderId="24" xfId="5" applyFont="1" applyFill="1" applyBorder="1" applyAlignment="1">
      <alignment horizontal="center" vertical="center" wrapText="1"/>
    </xf>
    <xf numFmtId="42" fontId="28" fillId="0" borderId="18" xfId="5" applyFont="1" applyFill="1" applyBorder="1" applyAlignment="1">
      <alignment horizontal="center" vertical="center" wrapText="1"/>
    </xf>
    <xf numFmtId="42" fontId="28" fillId="0" borderId="1" xfId="5" applyFont="1" applyFill="1" applyBorder="1" applyAlignment="1">
      <alignment horizontal="center" vertical="center" wrapText="1"/>
    </xf>
    <xf numFmtId="0" fontId="28" fillId="0" borderId="24"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1" xfId="0" applyFont="1" applyFill="1" applyBorder="1" applyAlignment="1">
      <alignment horizontal="center" vertical="center"/>
    </xf>
    <xf numFmtId="9" fontId="28" fillId="0" borderId="24" xfId="1" applyFont="1" applyFill="1" applyBorder="1" applyAlignment="1">
      <alignment horizontal="center" vertical="center"/>
    </xf>
    <xf numFmtId="9" fontId="28" fillId="0" borderId="18" xfId="1" applyFont="1" applyFill="1" applyBorder="1" applyAlignment="1">
      <alignment horizontal="center" vertical="center"/>
    </xf>
    <xf numFmtId="9" fontId="28" fillId="0" borderId="1" xfId="1" applyFont="1" applyFill="1" applyBorder="1" applyAlignment="1">
      <alignment horizontal="center" vertical="center"/>
    </xf>
    <xf numFmtId="0" fontId="28" fillId="0" borderId="1" xfId="0" applyFont="1" applyFill="1" applyBorder="1" applyAlignment="1">
      <alignment horizontal="justify" vertical="center" wrapText="1"/>
    </xf>
    <xf numFmtId="9" fontId="28" fillId="0" borderId="1" xfId="1" applyNumberFormat="1" applyFont="1" applyFill="1" applyBorder="1" applyAlignment="1">
      <alignment horizontal="right" vertical="center"/>
    </xf>
    <xf numFmtId="10" fontId="28" fillId="0" borderId="1" xfId="1" applyNumberFormat="1" applyFont="1" applyFill="1" applyBorder="1" applyAlignment="1">
      <alignment horizontal="center" vertical="center"/>
    </xf>
    <xf numFmtId="42" fontId="28" fillId="0" borderId="1" xfId="5" applyFont="1" applyFill="1" applyBorder="1" applyAlignment="1">
      <alignment horizontal="right" vertical="center"/>
    </xf>
    <xf numFmtId="9" fontId="28" fillId="0" borderId="24" xfId="1" applyNumberFormat="1" applyFont="1" applyFill="1" applyBorder="1" applyAlignment="1">
      <alignment horizontal="center" vertical="center" wrapText="1"/>
    </xf>
    <xf numFmtId="9" fontId="28" fillId="0" borderId="18" xfId="1" applyNumberFormat="1" applyFont="1" applyFill="1" applyBorder="1" applyAlignment="1">
      <alignment horizontal="center" vertical="center" wrapText="1"/>
    </xf>
    <xf numFmtId="9" fontId="28" fillId="0" borderId="1" xfId="1" applyNumberFormat="1" applyFont="1" applyFill="1" applyBorder="1" applyAlignment="1">
      <alignment horizontal="center" vertical="center" wrapText="1"/>
    </xf>
    <xf numFmtId="9" fontId="28" fillId="0" borderId="6" xfId="1" applyNumberFormat="1" applyFont="1" applyFill="1" applyBorder="1" applyAlignment="1">
      <alignment horizontal="center" vertical="center" wrapText="1"/>
    </xf>
    <xf numFmtId="9" fontId="28" fillId="0" borderId="16" xfId="1" applyNumberFormat="1" applyFont="1" applyFill="1" applyBorder="1" applyAlignment="1">
      <alignment horizontal="center" vertical="center" wrapText="1"/>
    </xf>
    <xf numFmtId="9" fontId="28" fillId="0" borderId="8" xfId="1" applyNumberFormat="1" applyFont="1" applyFill="1" applyBorder="1" applyAlignment="1">
      <alignment horizontal="center" vertical="center" wrapText="1"/>
    </xf>
    <xf numFmtId="0" fontId="37" fillId="16" borderId="24" xfId="0" applyFont="1" applyFill="1" applyBorder="1" applyAlignment="1">
      <alignment horizontal="center" vertical="center" wrapText="1"/>
    </xf>
    <xf numFmtId="0" fontId="37" fillId="16" borderId="4" xfId="0" applyFont="1" applyFill="1" applyBorder="1" applyAlignment="1">
      <alignment horizontal="center" vertical="center" wrapText="1"/>
    </xf>
    <xf numFmtId="0" fontId="28" fillId="0" borderId="1" xfId="0" applyFont="1" applyFill="1" applyBorder="1" applyAlignment="1">
      <alignment horizontal="center"/>
    </xf>
    <xf numFmtId="0" fontId="28" fillId="0" borderId="24" xfId="0" applyFont="1" applyFill="1" applyBorder="1" applyAlignment="1">
      <alignment horizontal="justify" vertical="center" wrapText="1"/>
    </xf>
    <xf numFmtId="0" fontId="28" fillId="0" borderId="18" xfId="0" applyFont="1" applyFill="1" applyBorder="1" applyAlignment="1">
      <alignment horizontal="justify" vertical="center" wrapText="1"/>
    </xf>
    <xf numFmtId="0" fontId="37" fillId="16" borderId="6" xfId="0" applyFont="1" applyFill="1" applyBorder="1" applyAlignment="1">
      <alignment horizontal="center" vertical="center" wrapText="1"/>
    </xf>
    <xf numFmtId="0" fontId="37" fillId="16" borderId="12" xfId="0" applyFont="1" applyFill="1" applyBorder="1" applyAlignment="1">
      <alignment horizontal="center" vertical="center" wrapText="1"/>
    </xf>
    <xf numFmtId="42" fontId="28" fillId="0" borderId="4" xfId="5" applyFont="1" applyFill="1" applyBorder="1" applyAlignment="1">
      <alignment horizontal="center" vertical="center"/>
    </xf>
    <xf numFmtId="42" fontId="28" fillId="0" borderId="17" xfId="5" applyFont="1" applyFill="1" applyBorder="1" applyAlignment="1">
      <alignment horizontal="center" vertical="center"/>
    </xf>
    <xf numFmtId="9" fontId="28" fillId="0" borderId="8" xfId="1" applyNumberFormat="1" applyFont="1" applyFill="1" applyBorder="1" applyAlignment="1">
      <alignment horizontal="right" vertical="center" wrapText="1"/>
    </xf>
    <xf numFmtId="9" fontId="28" fillId="0" borderId="1" xfId="1" applyNumberFormat="1" applyFont="1" applyFill="1" applyBorder="1" applyAlignment="1">
      <alignment horizontal="right" vertical="center" wrapText="1"/>
    </xf>
    <xf numFmtId="0" fontId="28" fillId="0" borderId="1" xfId="0" applyFont="1" applyFill="1" applyBorder="1" applyAlignment="1">
      <alignment horizontal="right"/>
    </xf>
    <xf numFmtId="177" fontId="28" fillId="0" borderId="4" xfId="0" applyNumberFormat="1" applyFont="1" applyFill="1" applyBorder="1" applyAlignment="1">
      <alignment horizontal="right" vertical="center" wrapText="1"/>
    </xf>
    <xf numFmtId="177" fontId="28" fillId="0" borderId="17" xfId="0" applyNumberFormat="1" applyFont="1" applyFill="1" applyBorder="1" applyAlignment="1">
      <alignment horizontal="right" vertical="center" wrapText="1"/>
    </xf>
    <xf numFmtId="177" fontId="28" fillId="0" borderId="18" xfId="0" applyNumberFormat="1" applyFont="1" applyFill="1" applyBorder="1" applyAlignment="1">
      <alignment horizontal="right" vertical="center" wrapText="1"/>
    </xf>
    <xf numFmtId="9" fontId="28" fillId="0" borderId="4" xfId="1" applyNumberFormat="1" applyFont="1" applyFill="1" applyBorder="1" applyAlignment="1">
      <alignment horizontal="left" vertical="center" wrapText="1"/>
    </xf>
    <xf numFmtId="9" fontId="28" fillId="0" borderId="18" xfId="1" applyNumberFormat="1" applyFont="1" applyFill="1" applyBorder="1" applyAlignment="1">
      <alignment horizontal="left" vertical="center"/>
    </xf>
    <xf numFmtId="0" fontId="20" fillId="0" borderId="5" xfId="0" applyFont="1" applyFill="1" applyBorder="1" applyAlignment="1">
      <alignment horizontal="center" wrapText="1"/>
    </xf>
    <xf numFmtId="0" fontId="20" fillId="0" borderId="6" xfId="0" applyFont="1" applyFill="1" applyBorder="1" applyAlignment="1">
      <alignment horizontal="center" wrapText="1"/>
    </xf>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20" fillId="0" borderId="10" xfId="0" applyFont="1" applyFill="1" applyBorder="1" applyAlignment="1">
      <alignment horizontal="center" wrapText="1"/>
    </xf>
    <xf numFmtId="0" fontId="21" fillId="0" borderId="62" xfId="0"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55" xfId="0" applyFont="1" applyFill="1" applyBorder="1" applyAlignment="1">
      <alignment horizontal="center" vertical="center" wrapText="1"/>
    </xf>
    <xf numFmtId="0" fontId="37" fillId="17" borderId="29" xfId="0" applyFont="1" applyFill="1" applyBorder="1" applyAlignment="1">
      <alignment horizontal="center" vertical="center"/>
    </xf>
    <xf numFmtId="0" fontId="37" fillId="17" borderId="30" xfId="0" applyFont="1" applyFill="1" applyBorder="1" applyAlignment="1">
      <alignment horizontal="center" vertical="center"/>
    </xf>
    <xf numFmtId="0" fontId="37" fillId="17" borderId="31" xfId="0" applyFont="1" applyFill="1" applyBorder="1" applyAlignment="1">
      <alignment horizontal="center" vertical="center"/>
    </xf>
    <xf numFmtId="0" fontId="37" fillId="16" borderId="29" xfId="0" applyFont="1" applyFill="1" applyBorder="1" applyAlignment="1">
      <alignment horizontal="center" vertical="center"/>
    </xf>
    <xf numFmtId="0" fontId="37" fillId="16" borderId="30" xfId="0" applyFont="1" applyFill="1" applyBorder="1" applyAlignment="1">
      <alignment horizontal="center" vertical="center"/>
    </xf>
    <xf numFmtId="0" fontId="37" fillId="16" borderId="31" xfId="0" applyFont="1" applyFill="1" applyBorder="1" applyAlignment="1">
      <alignment horizontal="center" vertical="center"/>
    </xf>
    <xf numFmtId="0" fontId="5" fillId="0" borderId="0" xfId="0" applyFont="1" applyAlignment="1">
      <alignment horizontal="left"/>
    </xf>
    <xf numFmtId="0" fontId="37" fillId="5" borderId="29" xfId="0" applyFont="1" applyFill="1" applyBorder="1" applyAlignment="1">
      <alignment horizontal="center" vertical="center"/>
    </xf>
    <xf numFmtId="0" fontId="37" fillId="5" borderId="30" xfId="0" applyFont="1" applyFill="1" applyBorder="1" applyAlignment="1">
      <alignment horizontal="center" vertical="center"/>
    </xf>
    <xf numFmtId="0" fontId="37" fillId="5" borderId="31" xfId="0" applyFont="1" applyFill="1" applyBorder="1" applyAlignment="1">
      <alignment horizontal="center" vertical="center"/>
    </xf>
    <xf numFmtId="0" fontId="33" fillId="0" borderId="5" xfId="0" applyFont="1" applyFill="1" applyBorder="1" applyAlignment="1">
      <alignment horizontal="center"/>
    </xf>
    <xf numFmtId="0" fontId="33" fillId="0" borderId="24" xfId="0" applyFont="1" applyFill="1" applyBorder="1" applyAlignment="1">
      <alignment horizontal="center"/>
    </xf>
    <xf numFmtId="0" fontId="33" fillId="0" borderId="7" xfId="0" applyFont="1" applyFill="1" applyBorder="1" applyAlignment="1">
      <alignment horizontal="center"/>
    </xf>
    <xf numFmtId="0" fontId="33" fillId="0" borderId="1" xfId="0" applyFont="1" applyFill="1" applyBorder="1" applyAlignment="1">
      <alignment horizontal="center"/>
    </xf>
    <xf numFmtId="0" fontId="33" fillId="0" borderId="9" xfId="0" applyFont="1" applyFill="1" applyBorder="1" applyAlignment="1">
      <alignment horizontal="center"/>
    </xf>
    <xf numFmtId="0" fontId="33" fillId="0" borderId="25" xfId="0" applyFont="1" applyFill="1" applyBorder="1" applyAlignment="1">
      <alignment horizontal="center"/>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1" xfId="0" applyFont="1" applyFill="1" applyBorder="1" applyAlignment="1">
      <alignment horizontal="center" wrapText="1"/>
    </xf>
    <xf numFmtId="0" fontId="21" fillId="0" borderId="25" xfId="0" applyFont="1" applyFill="1" applyBorder="1" applyAlignment="1">
      <alignment horizontal="center" wrapText="1"/>
    </xf>
    <xf numFmtId="0" fontId="21" fillId="0" borderId="1"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21" fillId="0" borderId="56"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66"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8" fillId="0" borderId="7" xfId="0" applyFont="1" applyFill="1" applyBorder="1" applyAlignment="1">
      <alignment horizontal="right" vertical="center"/>
    </xf>
    <xf numFmtId="0" fontId="28" fillId="0" borderId="1" xfId="0" applyFont="1" applyFill="1" applyBorder="1" applyAlignment="1">
      <alignment horizontal="right" vertical="center"/>
    </xf>
    <xf numFmtId="0" fontId="28" fillId="0" borderId="1" xfId="0" applyFont="1" applyFill="1" applyBorder="1" applyAlignment="1">
      <alignment horizontal="right" vertical="center" wrapText="1"/>
    </xf>
    <xf numFmtId="9" fontId="28" fillId="0" borderId="1" xfId="0" applyNumberFormat="1" applyFont="1" applyFill="1" applyBorder="1" applyAlignment="1">
      <alignment horizontal="right" vertical="center"/>
    </xf>
    <xf numFmtId="0" fontId="28" fillId="0" borderId="24" xfId="0" applyFont="1" applyFill="1" applyBorder="1" applyAlignment="1">
      <alignment horizontal="right" vertical="center"/>
    </xf>
    <xf numFmtId="0" fontId="28" fillId="0" borderId="18" xfId="0" applyFont="1" applyFill="1" applyBorder="1" applyAlignment="1">
      <alignment horizontal="right" vertical="center"/>
    </xf>
    <xf numFmtId="0" fontId="43" fillId="16" borderId="24" xfId="0" applyFont="1" applyFill="1" applyBorder="1" applyAlignment="1">
      <alignment horizontal="center" vertical="center" wrapText="1"/>
    </xf>
    <xf numFmtId="9" fontId="28" fillId="0" borderId="1" xfId="1" applyNumberFormat="1" applyFont="1" applyFill="1" applyBorder="1" applyAlignment="1">
      <alignment horizontal="justify" vertical="center" wrapText="1"/>
    </xf>
    <xf numFmtId="9" fontId="28" fillId="0" borderId="1" xfId="1" applyNumberFormat="1" applyFont="1" applyFill="1" applyBorder="1" applyAlignment="1">
      <alignment horizontal="justify" vertical="center"/>
    </xf>
    <xf numFmtId="9" fontId="28" fillId="0" borderId="1" xfId="1" applyFont="1" applyFill="1" applyBorder="1" applyAlignment="1">
      <alignment horizontal="right" vertical="center"/>
    </xf>
    <xf numFmtId="42" fontId="28" fillId="0" borderId="1" xfId="0" applyNumberFormat="1" applyFont="1" applyFill="1" applyBorder="1" applyAlignment="1">
      <alignment horizontal="right" vertical="center"/>
    </xf>
    <xf numFmtId="0" fontId="37" fillId="16" borderId="5" xfId="0" applyFont="1" applyFill="1" applyBorder="1" applyAlignment="1">
      <alignment horizontal="center" vertical="center" wrapText="1"/>
    </xf>
    <xf numFmtId="0" fontId="37" fillId="16" borderId="11" xfId="0" applyFont="1" applyFill="1" applyBorder="1" applyAlignment="1">
      <alignment horizontal="center" vertical="center" wrapText="1"/>
    </xf>
    <xf numFmtId="0" fontId="37" fillId="16" borderId="57" xfId="0" applyFont="1" applyFill="1" applyBorder="1" applyAlignment="1">
      <alignment horizontal="center" vertical="center" wrapText="1"/>
    </xf>
    <xf numFmtId="0" fontId="37" fillId="16" borderId="0" xfId="0" applyFont="1" applyFill="1" applyBorder="1" applyAlignment="1">
      <alignment horizontal="center" vertical="center" wrapText="1"/>
    </xf>
    <xf numFmtId="0" fontId="20" fillId="0" borderId="0" xfId="0" applyFont="1" applyAlignment="1">
      <alignment horizontal="left" wrapText="1"/>
    </xf>
    <xf numFmtId="0" fontId="28" fillId="0" borderId="1" xfId="0" applyFont="1" applyFill="1" applyBorder="1" applyAlignment="1">
      <alignment horizontal="left" vertical="center" wrapText="1"/>
    </xf>
    <xf numFmtId="9" fontId="28" fillId="0" borderId="1" xfId="0" applyNumberFormat="1" applyFont="1" applyFill="1" applyBorder="1" applyAlignment="1">
      <alignment horizontal="center" vertical="center"/>
    </xf>
    <xf numFmtId="42" fontId="28" fillId="0" borderId="1" xfId="5" applyFont="1" applyFill="1" applyBorder="1" applyAlignment="1">
      <alignment horizontal="right" vertical="center" wrapText="1"/>
    </xf>
    <xf numFmtId="0" fontId="28" fillId="0" borderId="1" xfId="0" applyFont="1" applyBorder="1" applyAlignment="1">
      <alignment horizontal="center" vertical="center"/>
    </xf>
    <xf numFmtId="0" fontId="35" fillId="2" borderId="54" xfId="2" applyFont="1" applyFill="1" applyBorder="1" applyAlignment="1">
      <alignment horizontal="center" vertical="center"/>
    </xf>
    <xf numFmtId="0" fontId="35" fillId="2" borderId="38" xfId="2" applyFont="1" applyFill="1" applyBorder="1" applyAlignment="1">
      <alignment horizontal="center" vertical="center"/>
    </xf>
    <xf numFmtId="0" fontId="35" fillId="2" borderId="39" xfId="2" applyFont="1" applyFill="1" applyBorder="1" applyAlignment="1">
      <alignment horizontal="center" vertical="center"/>
    </xf>
    <xf numFmtId="174" fontId="28" fillId="0" borderId="1" xfId="0" applyNumberFormat="1" applyFont="1" applyBorder="1" applyAlignment="1">
      <alignment horizontal="center" vertical="center"/>
    </xf>
    <xf numFmtId="0" fontId="39" fillId="6" borderId="54" xfId="0" applyFont="1" applyFill="1" applyBorder="1" applyAlignment="1">
      <alignment horizontal="center" vertical="center" wrapText="1" readingOrder="1"/>
    </xf>
    <xf numFmtId="0" fontId="39" fillId="6" borderId="39" xfId="0" applyFont="1" applyFill="1" applyBorder="1" applyAlignment="1">
      <alignment horizontal="center" vertical="center" wrapText="1" readingOrder="1"/>
    </xf>
    <xf numFmtId="0" fontId="20" fillId="0" borderId="54" xfId="0" applyFont="1" applyBorder="1" applyAlignment="1">
      <alignment horizontal="left" vertical="center"/>
    </xf>
    <xf numFmtId="0" fontId="20" fillId="0" borderId="38" xfId="0" applyFont="1" applyBorder="1" applyAlignment="1">
      <alignment horizontal="left" vertical="center"/>
    </xf>
    <xf numFmtId="0" fontId="20" fillId="0" borderId="39" xfId="0" applyFont="1" applyBorder="1" applyAlignment="1">
      <alignment horizontal="left" vertical="center"/>
    </xf>
    <xf numFmtId="9" fontId="39" fillId="7" borderId="54" xfId="0" applyNumberFormat="1" applyFont="1" applyFill="1" applyBorder="1" applyAlignment="1">
      <alignment horizontal="center" vertical="center" wrapText="1" readingOrder="1"/>
    </xf>
    <xf numFmtId="9" fontId="39" fillId="7" borderId="39" xfId="0" applyNumberFormat="1" applyFont="1" applyFill="1" applyBorder="1" applyAlignment="1">
      <alignment horizontal="center" vertical="center" wrapText="1" readingOrder="1"/>
    </xf>
    <xf numFmtId="0" fontId="39" fillId="10" borderId="1" xfId="0" applyFont="1" applyFill="1" applyBorder="1" applyAlignment="1">
      <alignment horizontal="center" vertical="center" wrapText="1" readingOrder="1"/>
    </xf>
    <xf numFmtId="0" fontId="20" fillId="0" borderId="1" xfId="0" applyFont="1" applyBorder="1" applyAlignment="1">
      <alignment vertical="center"/>
    </xf>
    <xf numFmtId="0" fontId="38" fillId="0" borderId="54" xfId="0" applyFont="1" applyBorder="1" applyAlignment="1">
      <alignment horizontal="center" vertical="center"/>
    </xf>
    <xf numFmtId="0" fontId="38" fillId="0" borderId="39" xfId="0" applyFont="1" applyBorder="1" applyAlignment="1">
      <alignment horizontal="center" vertical="center"/>
    </xf>
    <xf numFmtId="0" fontId="39" fillId="11" borderId="54" xfId="0" applyFont="1" applyFill="1" applyBorder="1" applyAlignment="1">
      <alignment horizontal="center" vertical="center" wrapText="1" readingOrder="1"/>
    </xf>
    <xf numFmtId="0" fontId="39" fillId="11" borderId="39" xfId="0" applyFont="1" applyFill="1" applyBorder="1" applyAlignment="1">
      <alignment horizontal="center" vertical="center" wrapText="1" readingOrder="1"/>
    </xf>
    <xf numFmtId="0" fontId="39" fillId="5" borderId="54" xfId="0" applyFont="1" applyFill="1" applyBorder="1" applyAlignment="1">
      <alignment horizontal="center" vertical="center" wrapText="1" readingOrder="1"/>
    </xf>
    <xf numFmtId="0" fontId="39" fillId="5" borderId="39" xfId="0" applyFont="1" applyFill="1" applyBorder="1" applyAlignment="1">
      <alignment horizontal="center" vertical="center" wrapText="1" readingOrder="1"/>
    </xf>
    <xf numFmtId="0" fontId="40" fillId="0" borderId="5" xfId="0" applyFont="1" applyFill="1" applyBorder="1" applyAlignment="1">
      <alignment horizontal="center"/>
    </xf>
    <xf numFmtId="0" fontId="40" fillId="0" borderId="24" xfId="0" applyFont="1" applyFill="1" applyBorder="1" applyAlignment="1">
      <alignment horizontal="center"/>
    </xf>
    <xf numFmtId="0" fontId="40" fillId="0" borderId="7" xfId="0" applyFont="1" applyFill="1" applyBorder="1" applyAlignment="1">
      <alignment horizontal="center"/>
    </xf>
    <xf numFmtId="0" fontId="40" fillId="0" borderId="1" xfId="0" applyFont="1" applyFill="1" applyBorder="1" applyAlignment="1">
      <alignment horizontal="center"/>
    </xf>
    <xf numFmtId="0" fontId="40" fillId="0" borderId="9" xfId="0" applyFont="1" applyFill="1" applyBorder="1" applyAlignment="1">
      <alignment horizontal="center"/>
    </xf>
    <xf numFmtId="0" fontId="40" fillId="0" borderId="25" xfId="0" applyFont="1" applyFill="1" applyBorder="1" applyAlignment="1">
      <alignment horizontal="center"/>
    </xf>
    <xf numFmtId="42" fontId="28" fillId="0" borderId="1" xfId="5" applyFont="1" applyFill="1" applyBorder="1" applyAlignment="1">
      <alignment horizontal="right" wrapText="1"/>
    </xf>
    <xf numFmtId="0" fontId="81" fillId="0" borderId="1" xfId="0" applyFont="1" applyFill="1" applyBorder="1" applyAlignment="1">
      <alignment horizontal="justify" vertical="center" wrapText="1"/>
    </xf>
    <xf numFmtId="0" fontId="81" fillId="0" borderId="1" xfId="0" applyFont="1" applyFill="1" applyBorder="1" applyAlignment="1">
      <alignment horizontal="right" vertical="center" wrapText="1"/>
    </xf>
    <xf numFmtId="41" fontId="81" fillId="0" borderId="1" xfId="0" applyNumberFormat="1" applyFont="1" applyFill="1" applyBorder="1" applyAlignment="1">
      <alignment horizontal="right" vertical="center" wrapText="1"/>
    </xf>
    <xf numFmtId="9" fontId="81" fillId="0" borderId="1" xfId="1" applyFont="1" applyFill="1" applyBorder="1" applyAlignment="1">
      <alignment horizontal="right" vertical="center"/>
    </xf>
    <xf numFmtId="42" fontId="81" fillId="0" borderId="1" xfId="5" applyFont="1" applyFill="1" applyBorder="1" applyAlignment="1">
      <alignment horizontal="center" vertical="center"/>
    </xf>
    <xf numFmtId="42" fontId="81" fillId="0" borderId="1" xfId="5" applyFont="1" applyBorder="1" applyAlignment="1">
      <alignment horizontal="center" vertical="center"/>
    </xf>
    <xf numFmtId="9" fontId="81" fillId="0" borderId="1" xfId="1" applyNumberFormat="1" applyFont="1" applyFill="1" applyBorder="1" applyAlignment="1">
      <alignment horizontal="right" vertical="center"/>
    </xf>
    <xf numFmtId="0" fontId="81" fillId="0" borderId="1" xfId="0" applyFont="1" applyFill="1" applyBorder="1" applyAlignment="1">
      <alignment horizontal="left" vertical="center"/>
    </xf>
    <xf numFmtId="41" fontId="81" fillId="0" borderId="1" xfId="0" applyNumberFormat="1" applyFont="1" applyFill="1" applyBorder="1" applyAlignment="1">
      <alignment horizontal="center" vertical="center"/>
    </xf>
    <xf numFmtId="9" fontId="81" fillId="0" borderId="1" xfId="1" applyFont="1" applyBorder="1" applyAlignment="1">
      <alignment horizontal="center" vertical="center" wrapText="1"/>
    </xf>
    <xf numFmtId="0" fontId="28" fillId="0" borderId="1" xfId="1" applyNumberFormat="1" applyFont="1" applyFill="1" applyBorder="1" applyAlignment="1">
      <alignment horizontal="center" vertical="center"/>
    </xf>
    <xf numFmtId="0" fontId="28" fillId="0" borderId="1" xfId="1" applyNumberFormat="1" applyFont="1" applyFill="1" applyBorder="1" applyAlignment="1">
      <alignment horizontal="right" vertical="center"/>
    </xf>
    <xf numFmtId="9" fontId="28" fillId="0" borderId="1" xfId="1" applyFont="1" applyBorder="1" applyAlignment="1">
      <alignment horizontal="center" vertical="center" wrapText="1"/>
    </xf>
    <xf numFmtId="42" fontId="28" fillId="0" borderId="1" xfId="27" applyFont="1" applyFill="1" applyBorder="1" applyAlignment="1">
      <alignment horizontal="center" vertical="center"/>
    </xf>
    <xf numFmtId="0" fontId="28" fillId="20" borderId="1" xfId="0" applyFont="1" applyFill="1" applyBorder="1" applyAlignment="1">
      <alignment horizontal="justify" vertical="center" wrapText="1"/>
    </xf>
    <xf numFmtId="42" fontId="28" fillId="20" borderId="1" xfId="5" applyFont="1" applyFill="1" applyBorder="1" applyAlignment="1">
      <alignment horizontal="right" vertical="center"/>
    </xf>
    <xf numFmtId="0" fontId="28" fillId="21" borderId="1" xfId="0" applyFont="1" applyFill="1" applyBorder="1" applyAlignment="1">
      <alignment horizontal="right" vertical="center"/>
    </xf>
    <xf numFmtId="0" fontId="28" fillId="21" borderId="1" xfId="0" applyFont="1" applyFill="1" applyBorder="1" applyAlignment="1">
      <alignment horizontal="justify" vertical="center" wrapText="1"/>
    </xf>
    <xf numFmtId="0" fontId="28" fillId="0" borderId="1" xfId="0" applyFont="1" applyFill="1" applyBorder="1" applyAlignment="1">
      <alignment horizontal="justify" vertical="center"/>
    </xf>
    <xf numFmtId="0" fontId="28" fillId="21" borderId="1" xfId="0" applyFont="1" applyFill="1" applyBorder="1" applyAlignment="1">
      <alignment horizontal="justify" vertical="center"/>
    </xf>
    <xf numFmtId="9" fontId="28" fillId="21" borderId="1" xfId="0" applyNumberFormat="1" applyFont="1" applyFill="1" applyBorder="1" applyAlignment="1">
      <alignment horizontal="right" vertical="center"/>
    </xf>
    <xf numFmtId="0" fontId="28" fillId="20" borderId="1" xfId="0" applyFont="1" applyFill="1" applyBorder="1" applyAlignment="1">
      <alignment horizontal="right" vertical="center"/>
    </xf>
    <xf numFmtId="42" fontId="28" fillId="20" borderId="1" xfId="0" applyNumberFormat="1" applyFont="1" applyFill="1" applyBorder="1" applyAlignment="1">
      <alignment horizontal="right" vertical="center"/>
    </xf>
    <xf numFmtId="9" fontId="28" fillId="20" borderId="1" xfId="1" applyNumberFormat="1" applyFont="1" applyFill="1" applyBorder="1" applyAlignment="1">
      <alignment horizontal="right" vertical="center"/>
    </xf>
    <xf numFmtId="42" fontId="28" fillId="21" borderId="1" xfId="5" applyFont="1" applyFill="1" applyBorder="1" applyAlignment="1">
      <alignment horizontal="center" vertical="center"/>
    </xf>
    <xf numFmtId="42" fontId="28" fillId="0" borderId="1" xfId="27" applyFont="1" applyFill="1" applyBorder="1" applyAlignment="1">
      <alignment horizontal="right" vertical="center"/>
    </xf>
    <xf numFmtId="42" fontId="28" fillId="20" borderId="1" xfId="27" applyFont="1" applyFill="1" applyBorder="1" applyAlignment="1">
      <alignment horizontal="right" vertical="center"/>
    </xf>
    <xf numFmtId="0" fontId="28" fillId="20" borderId="1" xfId="0" applyFont="1" applyFill="1" applyBorder="1" applyAlignment="1">
      <alignment horizontal="justify" vertical="center"/>
    </xf>
    <xf numFmtId="42" fontId="28" fillId="20" borderId="1" xfId="5" applyFont="1" applyFill="1" applyBorder="1" applyAlignment="1">
      <alignment horizontal="right" vertical="center" wrapText="1"/>
    </xf>
    <xf numFmtId="6" fontId="28" fillId="20" borderId="1" xfId="0" applyNumberFormat="1" applyFont="1" applyFill="1" applyBorder="1" applyAlignment="1">
      <alignment horizontal="right" vertical="center"/>
    </xf>
    <xf numFmtId="9" fontId="28" fillId="21" borderId="8" xfId="1" applyNumberFormat="1" applyFont="1" applyFill="1" applyBorder="1" applyAlignment="1">
      <alignment horizontal="right" vertical="center" wrapText="1"/>
    </xf>
    <xf numFmtId="9" fontId="28" fillId="21" borderId="1" xfId="1" applyNumberFormat="1" applyFont="1" applyFill="1" applyBorder="1" applyAlignment="1">
      <alignment horizontal="right" vertical="center"/>
    </xf>
    <xf numFmtId="42" fontId="28" fillId="21" borderId="1" xfId="5" applyFont="1" applyFill="1" applyBorder="1" applyAlignment="1">
      <alignment horizontal="right" vertical="center"/>
    </xf>
    <xf numFmtId="9" fontId="28" fillId="20" borderId="1" xfId="0" applyNumberFormat="1" applyFont="1" applyFill="1" applyBorder="1" applyAlignment="1">
      <alignment horizontal="right" vertical="center"/>
    </xf>
    <xf numFmtId="0" fontId="28" fillId="21" borderId="1" xfId="1" applyNumberFormat="1" applyFont="1" applyFill="1" applyBorder="1" applyAlignment="1">
      <alignment horizontal="center" vertical="center"/>
    </xf>
    <xf numFmtId="9" fontId="28" fillId="21" borderId="1" xfId="1" applyNumberFormat="1" applyFont="1" applyFill="1" applyBorder="1" applyAlignment="1">
      <alignment horizontal="center" vertical="center"/>
    </xf>
    <xf numFmtId="42" fontId="28" fillId="21" borderId="1" xfId="0" applyNumberFormat="1" applyFont="1" applyFill="1" applyBorder="1" applyAlignment="1">
      <alignment horizontal="right" vertical="center"/>
    </xf>
    <xf numFmtId="0" fontId="28" fillId="20" borderId="1" xfId="0" applyFont="1" applyFill="1" applyBorder="1" applyAlignment="1">
      <alignment horizontal="center" vertical="center" wrapText="1"/>
    </xf>
    <xf numFmtId="0" fontId="28" fillId="0" borderId="1" xfId="0" applyNumberFormat="1" applyFont="1" applyFill="1" applyBorder="1" applyAlignment="1">
      <alignment horizontal="right" vertical="center"/>
    </xf>
    <xf numFmtId="9" fontId="28" fillId="21" borderId="1" xfId="1" applyNumberFormat="1" applyFont="1" applyFill="1" applyBorder="1" applyAlignment="1">
      <alignment horizontal="right" vertical="center" wrapText="1"/>
    </xf>
    <xf numFmtId="9" fontId="28" fillId="20" borderId="1" xfId="1" applyNumberFormat="1" applyFont="1" applyFill="1" applyBorder="1" applyAlignment="1">
      <alignment horizontal="right" vertical="center" wrapText="1"/>
    </xf>
    <xf numFmtId="9" fontId="28" fillId="20" borderId="8" xfId="1" applyNumberFormat="1" applyFont="1" applyFill="1" applyBorder="1" applyAlignment="1">
      <alignment horizontal="right" vertical="center" wrapText="1"/>
    </xf>
    <xf numFmtId="42" fontId="28" fillId="0" borderId="1" xfId="5" applyFont="1" applyBorder="1" applyAlignment="1">
      <alignment horizontal="right" vertical="center"/>
    </xf>
    <xf numFmtId="0" fontId="0" fillId="0" borderId="5" xfId="0" applyFill="1" applyBorder="1" applyAlignment="1">
      <alignment horizontal="center"/>
    </xf>
    <xf numFmtId="0" fontId="0" fillId="0" borderId="24" xfId="0" applyFill="1" applyBorder="1" applyAlignment="1">
      <alignment horizontal="center"/>
    </xf>
    <xf numFmtId="0" fontId="0" fillId="0" borderId="7" xfId="0" applyFill="1" applyBorder="1" applyAlignment="1">
      <alignment horizontal="center"/>
    </xf>
    <xf numFmtId="0" fontId="0" fillId="0" borderId="1" xfId="0" applyFill="1" applyBorder="1" applyAlignment="1">
      <alignment horizontal="center"/>
    </xf>
    <xf numFmtId="0" fontId="0" fillId="0" borderId="9" xfId="0" applyFill="1" applyBorder="1" applyAlignment="1">
      <alignment horizontal="center"/>
    </xf>
    <xf numFmtId="0" fontId="0" fillId="0" borderId="25" xfId="0" applyFill="1" applyBorder="1" applyAlignment="1">
      <alignment horizontal="center"/>
    </xf>
    <xf numFmtId="8" fontId="28" fillId="0" borderId="1" xfId="0" applyNumberFormat="1" applyFont="1" applyFill="1" applyBorder="1" applyAlignment="1">
      <alignment horizontal="right" vertical="center"/>
    </xf>
    <xf numFmtId="0" fontId="28" fillId="20" borderId="7" xfId="0" applyFont="1" applyFill="1" applyBorder="1" applyAlignment="1">
      <alignment horizontal="right" vertical="center"/>
    </xf>
    <xf numFmtId="0" fontId="37" fillId="16" borderId="21" xfId="0" applyFont="1" applyFill="1" applyBorder="1" applyAlignment="1">
      <alignment horizontal="center" vertical="center" wrapText="1"/>
    </xf>
    <xf numFmtId="0" fontId="37" fillId="16" borderId="22" xfId="0" applyFont="1" applyFill="1" applyBorder="1" applyAlignment="1">
      <alignment horizontal="center" vertical="center" wrapText="1"/>
    </xf>
    <xf numFmtId="0" fontId="37" fillId="16" borderId="30" xfId="0" applyFont="1" applyFill="1" applyBorder="1" applyAlignment="1">
      <alignment horizontal="center" vertical="center" wrapText="1"/>
    </xf>
    <xf numFmtId="0" fontId="18" fillId="0" borderId="0" xfId="0" applyFont="1" applyAlignment="1">
      <alignment horizontal="left"/>
    </xf>
    <xf numFmtId="0" fontId="9" fillId="10" borderId="1" xfId="0" applyFont="1" applyFill="1" applyBorder="1" applyAlignment="1">
      <alignment horizontal="center" vertical="center" wrapText="1" readingOrder="1"/>
    </xf>
    <xf numFmtId="0" fontId="8" fillId="0" borderId="1" xfId="0" applyFont="1" applyBorder="1" applyAlignment="1">
      <alignment vertical="center"/>
    </xf>
    <xf numFmtId="0" fontId="9" fillId="5" borderId="54" xfId="0" applyFont="1" applyFill="1" applyBorder="1" applyAlignment="1">
      <alignment horizontal="center" vertical="center" wrapText="1" readingOrder="1"/>
    </xf>
    <xf numFmtId="0" fontId="9" fillId="5" borderId="39" xfId="0" applyFont="1" applyFill="1" applyBorder="1" applyAlignment="1">
      <alignment horizontal="center" vertical="center" wrapText="1" readingOrder="1"/>
    </xf>
    <xf numFmtId="0" fontId="8" fillId="0" borderId="54" xfId="0" applyFont="1" applyBorder="1" applyAlignment="1">
      <alignment horizontal="left" vertical="center"/>
    </xf>
    <xf numFmtId="0" fontId="8" fillId="0" borderId="38" xfId="0" applyFont="1" applyBorder="1" applyAlignment="1">
      <alignment horizontal="left" vertical="center"/>
    </xf>
    <xf numFmtId="0" fontId="8" fillId="0" borderId="39" xfId="0" applyFont="1" applyBorder="1" applyAlignment="1">
      <alignment horizontal="left" vertical="center"/>
    </xf>
    <xf numFmtId="0" fontId="9" fillId="6" borderId="54" xfId="0" applyFont="1" applyFill="1" applyBorder="1" applyAlignment="1">
      <alignment horizontal="center" vertical="center" wrapText="1" readingOrder="1"/>
    </xf>
    <xf numFmtId="0" fontId="9" fillId="6" borderId="39" xfId="0" applyFont="1" applyFill="1" applyBorder="1" applyAlignment="1">
      <alignment horizontal="center" vertical="center" wrapText="1" readingOrder="1"/>
    </xf>
    <xf numFmtId="9" fontId="9" fillId="7" borderId="54" xfId="0" applyNumberFormat="1" applyFont="1" applyFill="1" applyBorder="1" applyAlignment="1">
      <alignment horizontal="center" vertical="center" wrapText="1" readingOrder="1"/>
    </xf>
    <xf numFmtId="9" fontId="9" fillId="7" borderId="39" xfId="0" applyNumberFormat="1" applyFont="1" applyFill="1" applyBorder="1" applyAlignment="1">
      <alignment horizontal="center" vertical="center" wrapText="1" readingOrder="1"/>
    </xf>
    <xf numFmtId="0" fontId="7" fillId="0" borderId="54" xfId="0" applyFont="1" applyBorder="1" applyAlignment="1">
      <alignment horizontal="center" vertical="center"/>
    </xf>
    <xf numFmtId="0" fontId="7" fillId="0" borderId="39" xfId="0" applyFont="1" applyBorder="1" applyAlignment="1">
      <alignment horizontal="center" vertical="center"/>
    </xf>
    <xf numFmtId="0" fontId="9" fillId="11" borderId="54" xfId="0" applyFont="1" applyFill="1" applyBorder="1" applyAlignment="1">
      <alignment horizontal="center" vertical="center" wrapText="1" readingOrder="1"/>
    </xf>
    <xf numFmtId="0" fontId="9" fillId="11" borderId="39" xfId="0" applyFont="1" applyFill="1" applyBorder="1" applyAlignment="1">
      <alignment horizontal="center" vertical="center" wrapText="1" readingOrder="1"/>
    </xf>
    <xf numFmtId="0" fontId="15" fillId="2" borderId="54" xfId="2" applyFont="1" applyFill="1" applyBorder="1" applyAlignment="1">
      <alignment horizontal="center" vertical="center"/>
    </xf>
    <xf numFmtId="0" fontId="15" fillId="2" borderId="38" xfId="2" applyFont="1" applyFill="1" applyBorder="1" applyAlignment="1">
      <alignment horizontal="center" vertical="center"/>
    </xf>
    <xf numFmtId="0" fontId="15" fillId="2" borderId="39" xfId="2" applyFont="1" applyFill="1" applyBorder="1" applyAlignment="1">
      <alignment horizontal="center" vertical="center"/>
    </xf>
    <xf numFmtId="0" fontId="2" fillId="0" borderId="0" xfId="0" applyFont="1" applyAlignment="1">
      <alignment horizontal="center"/>
    </xf>
    <xf numFmtId="0" fontId="20" fillId="0" borderId="33" xfId="0" applyFont="1" applyBorder="1" applyAlignment="1">
      <alignment horizontal="center"/>
    </xf>
    <xf numFmtId="0" fontId="20" fillId="0" borderId="57" xfId="0" applyFont="1" applyBorder="1" applyAlignment="1">
      <alignment horizontal="center"/>
    </xf>
    <xf numFmtId="0" fontId="20" fillId="0" borderId="32" xfId="0" applyFont="1" applyBorder="1" applyAlignment="1">
      <alignment horizontal="center"/>
    </xf>
    <xf numFmtId="0" fontId="20" fillId="0" borderId="0" xfId="0" applyFont="1" applyBorder="1" applyAlignment="1">
      <alignment horizontal="center"/>
    </xf>
    <xf numFmtId="0" fontId="20" fillId="0" borderId="34" xfId="0" applyFont="1" applyBorder="1" applyAlignment="1">
      <alignment horizontal="center"/>
    </xf>
    <xf numFmtId="0" fontId="20" fillId="0" borderId="59" xfId="0" applyFont="1" applyBorder="1" applyAlignment="1">
      <alignment horizontal="center"/>
    </xf>
    <xf numFmtId="0" fontId="5" fillId="0" borderId="33" xfId="0" applyFont="1" applyBorder="1" applyAlignment="1">
      <alignment horizontal="center"/>
    </xf>
    <xf numFmtId="0" fontId="5" fillId="0" borderId="57" xfId="0" applyFont="1" applyBorder="1" applyAlignment="1">
      <alignment horizontal="center"/>
    </xf>
    <xf numFmtId="0" fontId="5" fillId="0" borderId="32" xfId="0" applyFont="1" applyBorder="1" applyAlignment="1">
      <alignment horizontal="center"/>
    </xf>
    <xf numFmtId="0" fontId="5" fillId="0" borderId="0" xfId="0" applyFont="1" applyBorder="1" applyAlignment="1">
      <alignment horizontal="center"/>
    </xf>
    <xf numFmtId="0" fontId="5" fillId="0" borderId="34" xfId="0" applyFont="1" applyBorder="1" applyAlignment="1">
      <alignment horizontal="center"/>
    </xf>
    <xf numFmtId="0" fontId="5" fillId="0" borderId="59" xfId="0" applyFont="1" applyBorder="1" applyAlignment="1">
      <alignment horizontal="center"/>
    </xf>
    <xf numFmtId="0" fontId="0" fillId="0" borderId="33" xfId="0" applyBorder="1" applyAlignment="1">
      <alignment horizontal="center"/>
    </xf>
    <xf numFmtId="0" fontId="0" fillId="0" borderId="57"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0" xfId="0" applyBorder="1" applyAlignment="1">
      <alignment horizontal="center"/>
    </xf>
    <xf numFmtId="0" fontId="0" fillId="0" borderId="41" xfId="0" applyBorder="1" applyAlignment="1">
      <alignment horizontal="center"/>
    </xf>
    <xf numFmtId="0" fontId="0" fillId="0" borderId="34" xfId="0" applyBorder="1" applyAlignment="1">
      <alignment horizontal="center"/>
    </xf>
    <xf numFmtId="0" fontId="0" fillId="0" borderId="59" xfId="0" applyBorder="1" applyAlignment="1">
      <alignment horizontal="center"/>
    </xf>
    <xf numFmtId="0" fontId="0" fillId="0" borderId="44" xfId="0" applyBorder="1" applyAlignment="1">
      <alignment horizontal="center"/>
    </xf>
    <xf numFmtId="0" fontId="5" fillId="0" borderId="46" xfId="0" applyFont="1" applyBorder="1" applyAlignment="1">
      <alignment horizontal="center"/>
    </xf>
    <xf numFmtId="0" fontId="5" fillId="0" borderId="38" xfId="0" applyFont="1" applyBorder="1" applyAlignment="1">
      <alignment horizontal="center"/>
    </xf>
    <xf numFmtId="0" fontId="5" fillId="0" borderId="53" xfId="0" applyFont="1" applyBorder="1" applyAlignment="1">
      <alignment horizontal="center"/>
    </xf>
    <xf numFmtId="0" fontId="5" fillId="0" borderId="62" xfId="0" applyFont="1" applyFill="1" applyBorder="1" applyAlignment="1">
      <alignment horizontal="center"/>
    </xf>
    <xf numFmtId="0" fontId="5" fillId="0" borderId="64" xfId="0" applyFont="1" applyFill="1" applyBorder="1" applyAlignment="1">
      <alignment horizontal="center"/>
    </xf>
    <xf numFmtId="0" fontId="5" fillId="0" borderId="65" xfId="0" applyFont="1" applyFill="1" applyBorder="1" applyAlignment="1">
      <alignment horizontal="center"/>
    </xf>
    <xf numFmtId="0" fontId="5" fillId="2" borderId="63" xfId="0" applyFont="1" applyFill="1" applyBorder="1" applyAlignment="1">
      <alignment horizontal="center" vertical="center"/>
    </xf>
    <xf numFmtId="0" fontId="5" fillId="2" borderId="61" xfId="0" applyFont="1" applyFill="1" applyBorder="1" applyAlignment="1">
      <alignment horizontal="center" vertical="center"/>
    </xf>
    <xf numFmtId="9" fontId="59" fillId="13" borderId="11" xfId="1" applyFont="1" applyFill="1" applyBorder="1" applyAlignment="1">
      <alignment horizontal="center" vertical="center"/>
    </xf>
    <xf numFmtId="9" fontId="59" fillId="13" borderId="14" xfId="1" applyFont="1" applyFill="1" applyBorder="1" applyAlignment="1">
      <alignment horizontal="center" vertical="center"/>
    </xf>
    <xf numFmtId="9" fontId="59" fillId="13" borderId="37" xfId="1" applyFont="1" applyFill="1" applyBorder="1" applyAlignment="1">
      <alignment horizontal="center" vertical="center"/>
    </xf>
    <xf numFmtId="9" fontId="58" fillId="13" borderId="4" xfId="1" applyFont="1" applyFill="1" applyBorder="1" applyAlignment="1">
      <alignment horizontal="center" vertical="center"/>
    </xf>
    <xf numFmtId="9" fontId="58" fillId="13" borderId="17" xfId="1" applyFont="1" applyFill="1" applyBorder="1" applyAlignment="1">
      <alignment horizontal="center" vertical="center"/>
    </xf>
    <xf numFmtId="9" fontId="58" fillId="13" borderId="18" xfId="1" applyFont="1" applyFill="1" applyBorder="1" applyAlignment="1">
      <alignment horizontal="center" vertical="center"/>
    </xf>
    <xf numFmtId="9" fontId="58" fillId="13" borderId="12" xfId="1" applyFont="1" applyFill="1" applyBorder="1" applyAlignment="1">
      <alignment horizontal="center" vertical="center"/>
    </xf>
    <xf numFmtId="9" fontId="58" fillId="13" borderId="58" xfId="1" applyFont="1" applyFill="1" applyBorder="1" applyAlignment="1">
      <alignment horizontal="center" vertical="center"/>
    </xf>
    <xf numFmtId="9" fontId="58" fillId="13" borderId="16" xfId="1" applyFont="1" applyFill="1" applyBorder="1" applyAlignment="1">
      <alignment horizontal="center" vertical="center"/>
    </xf>
    <xf numFmtId="9" fontId="58" fillId="18" borderId="4" xfId="1" applyFont="1" applyFill="1" applyBorder="1" applyAlignment="1">
      <alignment horizontal="center" vertical="center"/>
    </xf>
    <xf numFmtId="9" fontId="58" fillId="18" borderId="17" xfId="1" applyFont="1" applyFill="1" applyBorder="1" applyAlignment="1">
      <alignment horizontal="center" vertical="center"/>
    </xf>
    <xf numFmtId="9" fontId="58" fillId="18" borderId="18" xfId="1" applyFont="1" applyFill="1" applyBorder="1" applyAlignment="1">
      <alignment horizontal="center" vertical="center"/>
    </xf>
    <xf numFmtId="9" fontId="58" fillId="18" borderId="12" xfId="1" applyFont="1" applyFill="1" applyBorder="1" applyAlignment="1">
      <alignment horizontal="center" vertical="center"/>
    </xf>
    <xf numFmtId="9" fontId="58" fillId="18" borderId="58" xfId="1" applyFont="1" applyFill="1" applyBorder="1" applyAlignment="1">
      <alignment horizontal="center" vertical="center"/>
    </xf>
    <xf numFmtId="9" fontId="58" fillId="18" borderId="16" xfId="1" applyFont="1" applyFill="1" applyBorder="1" applyAlignment="1">
      <alignment horizontal="center" vertical="center"/>
    </xf>
    <xf numFmtId="9" fontId="59" fillId="13" borderId="11" xfId="1" applyFont="1" applyFill="1" applyBorder="1" applyAlignment="1">
      <alignment horizontal="right" vertical="center"/>
    </xf>
    <xf numFmtId="9" fontId="59" fillId="13" borderId="37" xfId="1" applyFont="1" applyFill="1" applyBorder="1" applyAlignment="1">
      <alignment horizontal="right" vertical="center"/>
    </xf>
    <xf numFmtId="0" fontId="60" fillId="0" borderId="12" xfId="0" applyFont="1" applyFill="1" applyBorder="1" applyAlignment="1">
      <alignment horizontal="center" vertical="center" wrapText="1"/>
    </xf>
    <xf numFmtId="0" fontId="60" fillId="0" borderId="58" xfId="0" applyFont="1" applyFill="1" applyBorder="1" applyAlignment="1">
      <alignment horizontal="center" vertical="center" wrapText="1"/>
    </xf>
    <xf numFmtId="0" fontId="60" fillId="0" borderId="16" xfId="0" applyFont="1" applyFill="1" applyBorder="1" applyAlignment="1">
      <alignment horizontal="center" vertical="center" wrapText="1"/>
    </xf>
    <xf numFmtId="1" fontId="59" fillId="13" borderId="11" xfId="1" applyNumberFormat="1" applyFont="1" applyFill="1" applyBorder="1" applyAlignment="1">
      <alignment horizontal="center" vertical="center"/>
    </xf>
    <xf numFmtId="1" fontId="59" fillId="13" borderId="14" xfId="1" applyNumberFormat="1" applyFont="1" applyFill="1" applyBorder="1" applyAlignment="1">
      <alignment horizontal="center" vertical="center"/>
    </xf>
    <xf numFmtId="1" fontId="59" fillId="13" borderId="37" xfId="1" applyNumberFormat="1" applyFont="1" applyFill="1" applyBorder="1" applyAlignment="1">
      <alignment horizontal="center" vertical="center"/>
    </xf>
    <xf numFmtId="0" fontId="44" fillId="0" borderId="26" xfId="0" applyFont="1" applyFill="1" applyBorder="1" applyAlignment="1">
      <alignment horizontal="justify" vertical="center" wrapText="1"/>
    </xf>
    <xf numFmtId="0" fontId="44" fillId="0" borderId="17" xfId="0" applyFont="1" applyFill="1" applyBorder="1" applyAlignment="1">
      <alignment horizontal="justify" vertical="center" wrapText="1"/>
    </xf>
    <xf numFmtId="0" fontId="44" fillId="0" borderId="18" xfId="0" applyFont="1" applyFill="1" applyBorder="1" applyAlignment="1">
      <alignment horizontal="justify" vertical="center" wrapText="1"/>
    </xf>
    <xf numFmtId="0" fontId="62" fillId="0" borderId="4" xfId="0" applyFont="1" applyBorder="1" applyAlignment="1">
      <alignment horizontal="justify" vertical="center" wrapText="1"/>
    </xf>
    <xf numFmtId="0" fontId="62" fillId="0" borderId="17" xfId="0" applyFont="1" applyBorder="1" applyAlignment="1">
      <alignment horizontal="justify" vertical="center" wrapText="1"/>
    </xf>
    <xf numFmtId="0" fontId="62" fillId="0" borderId="43" xfId="0" applyFont="1" applyBorder="1" applyAlignment="1">
      <alignment horizontal="justify" vertical="center" wrapText="1"/>
    </xf>
    <xf numFmtId="0" fontId="44" fillId="0" borderId="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44" fillId="0" borderId="4"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1" xfId="0" applyFont="1" applyFill="1" applyBorder="1" applyAlignment="1">
      <alignment horizontal="justify" vertical="center" wrapText="1"/>
    </xf>
    <xf numFmtId="0" fontId="44" fillId="0" borderId="4" xfId="0" applyFont="1" applyFill="1" applyBorder="1" applyAlignment="1">
      <alignment horizontal="center" vertical="center"/>
    </xf>
    <xf numFmtId="0" fontId="44" fillId="0" borderId="17" xfId="0" applyFont="1" applyFill="1" applyBorder="1" applyAlignment="1">
      <alignment horizontal="center" vertical="center"/>
    </xf>
    <xf numFmtId="0" fontId="44" fillId="0" borderId="18" xfId="0" applyFont="1" applyFill="1" applyBorder="1" applyAlignment="1">
      <alignment horizontal="center" vertical="center"/>
    </xf>
    <xf numFmtId="0" fontId="44" fillId="0" borderId="4"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4" fillId="0" borderId="18" xfId="0" applyFont="1" applyFill="1" applyBorder="1" applyAlignment="1">
      <alignment horizontal="left" vertical="center" wrapText="1"/>
    </xf>
    <xf numFmtId="0" fontId="62" fillId="0" borderId="18" xfId="0" applyFont="1" applyBorder="1" applyAlignment="1">
      <alignment horizontal="justify" vertical="center" wrapText="1"/>
    </xf>
    <xf numFmtId="0" fontId="60" fillId="0" borderId="12" xfId="0" applyFont="1" applyFill="1" applyBorder="1" applyAlignment="1">
      <alignment horizontal="left" vertical="center" wrapText="1"/>
    </xf>
    <xf numFmtId="0" fontId="60" fillId="0" borderId="58" xfId="0" applyFont="1" applyFill="1" applyBorder="1" applyAlignment="1">
      <alignment horizontal="left" vertical="center" wrapText="1"/>
    </xf>
    <xf numFmtId="0" fontId="60" fillId="0" borderId="16" xfId="0" applyFont="1" applyFill="1" applyBorder="1" applyAlignment="1">
      <alignment horizontal="left" vertical="center" wrapText="1"/>
    </xf>
    <xf numFmtId="1" fontId="59" fillId="13" borderId="11" xfId="1" applyNumberFormat="1" applyFont="1" applyFill="1" applyBorder="1" applyAlignment="1">
      <alignment horizontal="right" vertical="center"/>
    </xf>
    <xf numFmtId="1" fontId="59" fillId="13" borderId="14" xfId="1" applyNumberFormat="1" applyFont="1" applyFill="1" applyBorder="1" applyAlignment="1">
      <alignment horizontal="right" vertical="center"/>
    </xf>
    <xf numFmtId="1" fontId="59" fillId="13" borderId="37" xfId="1" applyNumberFormat="1" applyFont="1" applyFill="1" applyBorder="1" applyAlignment="1">
      <alignment horizontal="right" vertical="center"/>
    </xf>
    <xf numFmtId="9" fontId="58" fillId="13" borderId="4" xfId="1" applyFont="1" applyFill="1" applyBorder="1" applyAlignment="1">
      <alignment horizontal="right" vertical="center"/>
    </xf>
    <xf numFmtId="9" fontId="58" fillId="13" borderId="18" xfId="1" applyFont="1" applyFill="1" applyBorder="1" applyAlignment="1">
      <alignment horizontal="right" vertical="center"/>
    </xf>
    <xf numFmtId="9" fontId="58" fillId="13" borderId="12" xfId="1" applyFont="1" applyFill="1" applyBorder="1" applyAlignment="1">
      <alignment horizontal="right" vertical="center"/>
    </xf>
    <xf numFmtId="9" fontId="58" fillId="13" borderId="16" xfId="1" applyFont="1" applyFill="1" applyBorder="1" applyAlignment="1">
      <alignment horizontal="right" vertical="center"/>
    </xf>
    <xf numFmtId="9" fontId="58" fillId="18" borderId="12" xfId="1" applyFont="1" applyFill="1" applyBorder="1" applyAlignment="1">
      <alignment horizontal="right" vertical="center"/>
    </xf>
    <xf numFmtId="9" fontId="58" fillId="18" borderId="58" xfId="1" applyFont="1" applyFill="1" applyBorder="1" applyAlignment="1">
      <alignment horizontal="right" vertical="center"/>
    </xf>
    <xf numFmtId="9" fontId="58" fillId="18" borderId="16" xfId="1" applyFont="1" applyFill="1" applyBorder="1" applyAlignment="1">
      <alignment horizontal="right" vertical="center"/>
    </xf>
    <xf numFmtId="9" fontId="58" fillId="13" borderId="17" xfId="1" applyFont="1" applyFill="1" applyBorder="1" applyAlignment="1">
      <alignment horizontal="right" vertical="center"/>
    </xf>
    <xf numFmtId="9" fontId="59" fillId="13" borderId="14" xfId="1" applyFont="1" applyFill="1" applyBorder="1" applyAlignment="1">
      <alignment horizontal="right" vertical="center"/>
    </xf>
    <xf numFmtId="0" fontId="63" fillId="0" borderId="12" xfId="0" applyFont="1" applyBorder="1" applyAlignment="1">
      <alignment horizontal="center" vertical="center" wrapText="1"/>
    </xf>
    <xf numFmtId="0" fontId="63" fillId="0" borderId="58" xfId="0" applyFont="1" applyBorder="1" applyAlignment="1">
      <alignment horizontal="center" vertical="center" wrapText="1"/>
    </xf>
    <xf numFmtId="0" fontId="63" fillId="0" borderId="16" xfId="0" applyFont="1" applyBorder="1" applyAlignment="1">
      <alignment horizontal="center" vertical="center" wrapText="1"/>
    </xf>
    <xf numFmtId="0" fontId="62" fillId="0" borderId="4" xfId="0" applyFont="1" applyBorder="1" applyAlignment="1">
      <alignment horizontal="center" vertical="center" wrapText="1"/>
    </xf>
    <xf numFmtId="0" fontId="62" fillId="0" borderId="17" xfId="0" applyFont="1" applyBorder="1" applyAlignment="1">
      <alignment horizontal="center" vertical="center" wrapText="1"/>
    </xf>
    <xf numFmtId="0" fontId="62" fillId="0" borderId="18" xfId="0" applyFont="1" applyBorder="1" applyAlignment="1">
      <alignment horizontal="center" vertical="center" wrapText="1"/>
    </xf>
    <xf numFmtId="0" fontId="44" fillId="0" borderId="4" xfId="0" applyFont="1" applyFill="1" applyBorder="1" applyAlignment="1">
      <alignment horizontal="center" vertical="center" wrapText="1"/>
    </xf>
    <xf numFmtId="0" fontId="44" fillId="0" borderId="17" xfId="0" applyFont="1" applyFill="1" applyBorder="1" applyAlignment="1">
      <alignment horizontal="center" vertical="center" wrapText="1"/>
    </xf>
    <xf numFmtId="0" fontId="44" fillId="0" borderId="18" xfId="0" applyFont="1" applyFill="1" applyBorder="1" applyAlignment="1">
      <alignment horizontal="center" vertical="center" wrapText="1"/>
    </xf>
    <xf numFmtId="0" fontId="44" fillId="0" borderId="4" xfId="0" applyFont="1" applyFill="1" applyBorder="1" applyAlignment="1">
      <alignment horizontal="justify" vertical="center" wrapText="1"/>
    </xf>
    <xf numFmtId="0" fontId="44" fillId="0" borderId="1" xfId="0" applyFont="1" applyBorder="1" applyAlignment="1">
      <alignment horizontal="center" vertical="center" wrapText="1"/>
    </xf>
    <xf numFmtId="0" fontId="62" fillId="0" borderId="1" xfId="0" applyFont="1" applyBorder="1" applyAlignment="1">
      <alignment horizontal="justify" vertical="center" wrapText="1"/>
    </xf>
    <xf numFmtId="0" fontId="48" fillId="17" borderId="35" xfId="0" applyFont="1" applyFill="1" applyBorder="1" applyAlignment="1">
      <alignment horizontal="center" vertical="center"/>
    </xf>
    <xf numFmtId="0" fontId="48" fillId="17" borderId="42" xfId="0" applyFont="1" applyFill="1" applyBorder="1" applyAlignment="1">
      <alignment horizontal="center" vertical="center"/>
    </xf>
    <xf numFmtId="0" fontId="48" fillId="17" borderId="68" xfId="0" applyFont="1" applyFill="1" applyBorder="1" applyAlignment="1">
      <alignment horizontal="center" vertical="center"/>
    </xf>
    <xf numFmtId="0" fontId="48" fillId="17" borderId="36" xfId="0" applyFont="1" applyFill="1" applyBorder="1" applyAlignment="1">
      <alignment horizontal="center" vertical="center"/>
    </xf>
    <xf numFmtId="0" fontId="57" fillId="0" borderId="13" xfId="0" applyFont="1" applyBorder="1" applyAlignment="1">
      <alignment horizontal="center" vertical="center"/>
    </xf>
    <xf numFmtId="0" fontId="57" fillId="0" borderId="14" xfId="0" applyFont="1" applyBorder="1" applyAlignment="1">
      <alignment horizontal="center" vertical="center"/>
    </xf>
    <xf numFmtId="0" fontId="57" fillId="0" borderId="15" xfId="0" applyFont="1" applyBorder="1" applyAlignment="1">
      <alignment horizontal="center" vertical="center"/>
    </xf>
    <xf numFmtId="0" fontId="44" fillId="0" borderId="26" xfId="0" applyFont="1" applyBorder="1" applyAlignment="1">
      <alignment horizontal="justify" vertical="center" wrapText="1"/>
    </xf>
    <xf numFmtId="0" fontId="44" fillId="0" borderId="1" xfId="0" applyFont="1" applyFill="1" applyBorder="1" applyAlignment="1">
      <alignment horizontal="center" vertical="center" wrapText="1"/>
    </xf>
    <xf numFmtId="9" fontId="58" fillId="18" borderId="4" xfId="1" applyFont="1" applyFill="1" applyBorder="1" applyAlignment="1">
      <alignment horizontal="right" vertical="center"/>
    </xf>
    <xf numFmtId="9" fontId="58" fillId="18" borderId="17" xfId="1" applyFont="1" applyFill="1" applyBorder="1" applyAlignment="1">
      <alignment horizontal="right" vertical="center"/>
    </xf>
    <xf numFmtId="9" fontId="58" fillId="18" borderId="18" xfId="1" applyFont="1" applyFill="1" applyBorder="1" applyAlignment="1">
      <alignment horizontal="right" vertical="center"/>
    </xf>
    <xf numFmtId="9" fontId="58" fillId="13" borderId="58" xfId="1" applyFont="1" applyFill="1" applyBorder="1" applyAlignment="1">
      <alignment horizontal="right" vertical="center"/>
    </xf>
    <xf numFmtId="0" fontId="44" fillId="0" borderId="1" xfId="0" applyFont="1" applyBorder="1" applyAlignment="1">
      <alignment horizontal="justify" vertical="center" wrapText="1"/>
    </xf>
    <xf numFmtId="0" fontId="57" fillId="0" borderId="13" xfId="0" applyFont="1" applyBorder="1" applyAlignment="1">
      <alignment horizontal="center" vertical="center" wrapText="1"/>
    </xf>
    <xf numFmtId="0" fontId="57" fillId="0" borderId="14" xfId="0" applyFont="1" applyBorder="1" applyAlignment="1">
      <alignment horizontal="center" vertical="center" wrapText="1"/>
    </xf>
    <xf numFmtId="0" fontId="57" fillId="0" borderId="15" xfId="0" applyFont="1" applyBorder="1" applyAlignment="1">
      <alignment horizontal="center" vertical="center" wrapText="1"/>
    </xf>
    <xf numFmtId="0" fontId="44" fillId="0" borderId="43" xfId="0" applyFont="1" applyBorder="1" applyAlignment="1">
      <alignment horizontal="center" vertical="center" wrapText="1"/>
    </xf>
    <xf numFmtId="0" fontId="5" fillId="0" borderId="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27" fillId="0" borderId="25" xfId="0" applyFont="1" applyBorder="1" applyAlignment="1">
      <alignment horizontal="center"/>
    </xf>
    <xf numFmtId="0" fontId="5" fillId="0" borderId="66" xfId="0" applyFont="1" applyFill="1" applyBorder="1" applyAlignment="1">
      <alignment horizontal="center" vertical="center" wrapText="1"/>
    </xf>
    <xf numFmtId="0" fontId="48" fillId="17" borderId="26" xfId="0" applyFont="1" applyFill="1" applyBorder="1" applyAlignment="1">
      <alignment horizontal="center" vertical="center"/>
    </xf>
    <xf numFmtId="0" fontId="48" fillId="17" borderId="43" xfId="0" applyFont="1" applyFill="1" applyBorder="1" applyAlignment="1">
      <alignment horizontal="center" vertical="center"/>
    </xf>
    <xf numFmtId="49" fontId="65" fillId="16" borderId="29" xfId="0" applyNumberFormat="1" applyFont="1" applyFill="1" applyBorder="1" applyAlignment="1">
      <alignment horizontal="center" vertical="center" wrapText="1"/>
    </xf>
    <xf numFmtId="49" fontId="65" fillId="16" borderId="30" xfId="0" applyNumberFormat="1" applyFont="1" applyFill="1" applyBorder="1" applyAlignment="1">
      <alignment horizontal="center" vertical="center" wrapText="1"/>
    </xf>
    <xf numFmtId="49" fontId="65" fillId="16" borderId="31" xfId="0" applyNumberFormat="1" applyFont="1" applyFill="1" applyBorder="1" applyAlignment="1">
      <alignment horizontal="center" vertical="center" wrapText="1"/>
    </xf>
    <xf numFmtId="49" fontId="64" fillId="16" borderId="29" xfId="0" applyNumberFormat="1" applyFont="1" applyFill="1" applyBorder="1" applyAlignment="1">
      <alignment horizontal="center" vertical="center" wrapText="1"/>
    </xf>
    <xf numFmtId="49" fontId="64" fillId="16" borderId="31" xfId="0" applyNumberFormat="1" applyFont="1" applyFill="1" applyBorder="1" applyAlignment="1">
      <alignment horizontal="center" vertical="center" wrapText="1"/>
    </xf>
    <xf numFmtId="0" fontId="35" fillId="2" borderId="29" xfId="2" applyFont="1" applyFill="1" applyBorder="1" applyAlignment="1">
      <alignment horizontal="center" vertical="center"/>
    </xf>
    <xf numFmtId="0" fontId="35" fillId="2" borderId="31" xfId="2" applyFont="1" applyFill="1" applyBorder="1" applyAlignment="1">
      <alignment horizontal="center" vertical="center"/>
    </xf>
    <xf numFmtId="49" fontId="64" fillId="16" borderId="27" xfId="0" applyNumberFormat="1" applyFont="1" applyFill="1" applyBorder="1" applyAlignment="1">
      <alignment horizontal="center" vertical="center" wrapText="1"/>
    </xf>
    <xf numFmtId="49" fontId="64" fillId="16" borderId="57" xfId="0" applyNumberFormat="1" applyFont="1" applyFill="1" applyBorder="1" applyAlignment="1">
      <alignment horizontal="center" vertical="center" wrapText="1"/>
    </xf>
    <xf numFmtId="49" fontId="65" fillId="16" borderId="33" xfId="0" applyNumberFormat="1" applyFont="1" applyFill="1" applyBorder="1" applyAlignment="1">
      <alignment horizontal="center" vertical="center" wrapText="1"/>
    </xf>
    <xf numFmtId="49" fontId="65" fillId="16" borderId="57" xfId="0" applyNumberFormat="1" applyFont="1" applyFill="1" applyBorder="1" applyAlignment="1">
      <alignment horizontal="center" vertical="center" wrapText="1"/>
    </xf>
    <xf numFmtId="0" fontId="68" fillId="12" borderId="29" xfId="0" applyFont="1" applyFill="1" applyBorder="1" applyAlignment="1">
      <alignment horizontal="center" vertical="center" wrapText="1"/>
    </xf>
    <xf numFmtId="0" fontId="68" fillId="12" borderId="30" xfId="0" applyFont="1" applyFill="1" applyBorder="1" applyAlignment="1">
      <alignment horizontal="center" vertical="center" wrapText="1"/>
    </xf>
    <xf numFmtId="0" fontId="68" fillId="12" borderId="31" xfId="0" applyFont="1" applyFill="1" applyBorder="1" applyAlignment="1">
      <alignment horizontal="center" vertical="center" wrapText="1"/>
    </xf>
    <xf numFmtId="49" fontId="65" fillId="16" borderId="27" xfId="0" applyNumberFormat="1" applyFont="1" applyFill="1" applyBorder="1" applyAlignment="1">
      <alignment horizontal="center" vertical="center" wrapText="1"/>
    </xf>
    <xf numFmtId="9" fontId="56" fillId="13" borderId="21" xfId="0" applyNumberFormat="1" applyFont="1" applyFill="1" applyBorder="1" applyAlignment="1">
      <alignment horizontal="center" vertical="center"/>
    </xf>
    <xf numFmtId="9" fontId="56" fillId="13" borderId="22" xfId="0" applyNumberFormat="1" applyFont="1" applyFill="1" applyBorder="1" applyAlignment="1">
      <alignment horizontal="center" vertical="center"/>
    </xf>
    <xf numFmtId="9" fontId="56" fillId="13" borderId="23" xfId="0" applyNumberFormat="1" applyFont="1" applyFill="1" applyBorder="1" applyAlignment="1">
      <alignment horizontal="center" vertical="center"/>
    </xf>
    <xf numFmtId="1" fontId="56" fillId="13" borderId="21" xfId="0" applyNumberFormat="1" applyFont="1" applyFill="1" applyBorder="1" applyAlignment="1">
      <alignment horizontal="center" vertical="center"/>
    </xf>
    <xf numFmtId="1" fontId="56" fillId="13" borderId="22" xfId="0" applyNumberFormat="1" applyFont="1" applyFill="1" applyBorder="1" applyAlignment="1">
      <alignment horizontal="center" vertical="center"/>
    </xf>
    <xf numFmtId="1" fontId="56" fillId="13" borderId="23" xfId="0" applyNumberFormat="1" applyFont="1" applyFill="1" applyBorder="1" applyAlignment="1">
      <alignment horizontal="center" vertical="center"/>
    </xf>
    <xf numFmtId="0" fontId="55" fillId="0" borderId="21"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3" xfId="0" applyFont="1" applyBorder="1" applyAlignment="1">
      <alignment horizontal="center" vertical="center" wrapText="1"/>
    </xf>
    <xf numFmtId="165" fontId="56" fillId="13" borderId="33" xfId="0" applyNumberFormat="1" applyFont="1" applyFill="1" applyBorder="1" applyAlignment="1">
      <alignment horizontal="center" vertical="center"/>
    </xf>
    <xf numFmtId="165" fontId="56" fillId="13" borderId="32" xfId="0" applyNumberFormat="1" applyFont="1" applyFill="1" applyBorder="1" applyAlignment="1">
      <alignment horizontal="center" vertical="center"/>
    </xf>
    <xf numFmtId="165" fontId="56" fillId="13" borderId="34" xfId="0" applyNumberFormat="1" applyFont="1" applyFill="1" applyBorder="1" applyAlignment="1">
      <alignment horizontal="center" vertical="center"/>
    </xf>
    <xf numFmtId="0" fontId="60" fillId="0" borderId="12" xfId="0" applyFont="1" applyFill="1" applyBorder="1" applyAlignment="1">
      <alignment horizontal="justify" vertical="center" wrapText="1"/>
    </xf>
    <xf numFmtId="0" fontId="60" fillId="0" borderId="16" xfId="0" applyFont="1" applyFill="1" applyBorder="1" applyAlignment="1">
      <alignment horizontal="justify" vertical="center" wrapText="1"/>
    </xf>
    <xf numFmtId="0" fontId="62" fillId="0" borderId="24" xfId="0" applyFont="1" applyFill="1" applyBorder="1" applyAlignment="1">
      <alignment horizontal="justify" vertical="center" wrapText="1"/>
    </xf>
    <xf numFmtId="0" fontId="62" fillId="0" borderId="1" xfId="0" applyFont="1" applyFill="1" applyBorder="1" applyAlignment="1">
      <alignment horizontal="justify" vertical="center" wrapText="1"/>
    </xf>
    <xf numFmtId="0" fontId="69" fillId="16" borderId="33" xfId="0" applyFont="1" applyFill="1" applyBorder="1" applyAlignment="1">
      <alignment horizontal="center" vertical="center" wrapText="1"/>
    </xf>
    <xf numFmtId="0" fontId="69" fillId="16" borderId="57"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69" fillId="16" borderId="31" xfId="0" applyFont="1" applyFill="1" applyBorder="1" applyAlignment="1">
      <alignment horizontal="center" vertical="center" wrapText="1"/>
    </xf>
    <xf numFmtId="49" fontId="64" fillId="16" borderId="68" xfId="0" applyNumberFormat="1" applyFont="1" applyFill="1" applyBorder="1" applyAlignment="1">
      <alignment horizontal="center" vertical="center" wrapText="1"/>
    </xf>
    <xf numFmtId="49" fontId="64" fillId="16" borderId="30" xfId="0" applyNumberFormat="1" applyFont="1" applyFill="1" applyBorder="1" applyAlignment="1">
      <alignment horizontal="center" vertical="center" wrapText="1"/>
    </xf>
    <xf numFmtId="49" fontId="64" fillId="16" borderId="69" xfId="0" applyNumberFormat="1" applyFont="1" applyFill="1" applyBorder="1" applyAlignment="1">
      <alignment horizontal="center" vertical="center" wrapText="1"/>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44" xfId="0" applyFont="1" applyBorder="1" applyAlignment="1">
      <alignment horizontal="center" vertical="center" wrapText="1"/>
    </xf>
    <xf numFmtId="9" fontId="56" fillId="13" borderId="21" xfId="1" applyFont="1" applyFill="1" applyBorder="1" applyAlignment="1">
      <alignment horizontal="center" vertical="center"/>
    </xf>
    <xf numFmtId="9" fontId="56" fillId="13" borderId="22" xfId="1" applyFont="1" applyFill="1" applyBorder="1" applyAlignment="1">
      <alignment horizontal="center" vertical="center"/>
    </xf>
    <xf numFmtId="9" fontId="56" fillId="13" borderId="23" xfId="1" applyFont="1" applyFill="1" applyBorder="1" applyAlignment="1">
      <alignment horizontal="center" vertical="center"/>
    </xf>
    <xf numFmtId="9" fontId="56" fillId="13" borderId="33" xfId="0" applyNumberFormat="1" applyFont="1" applyFill="1" applyBorder="1" applyAlignment="1">
      <alignment horizontal="center" vertical="center"/>
    </xf>
    <xf numFmtId="9" fontId="56" fillId="13" borderId="32" xfId="0" applyNumberFormat="1" applyFont="1" applyFill="1" applyBorder="1" applyAlignment="1">
      <alignment horizontal="center" vertical="center"/>
    </xf>
    <xf numFmtId="9" fontId="56" fillId="13" borderId="34" xfId="0" applyNumberFormat="1" applyFont="1" applyFill="1" applyBorder="1" applyAlignment="1">
      <alignment horizontal="center" vertical="center"/>
    </xf>
    <xf numFmtId="1" fontId="56" fillId="13" borderId="21" xfId="1" applyNumberFormat="1" applyFont="1" applyFill="1" applyBorder="1" applyAlignment="1">
      <alignment horizontal="center" vertical="center"/>
    </xf>
    <xf numFmtId="1" fontId="56" fillId="13" borderId="22" xfId="1" applyNumberFormat="1" applyFont="1" applyFill="1" applyBorder="1" applyAlignment="1">
      <alignment horizontal="center" vertical="center"/>
    </xf>
    <xf numFmtId="1" fontId="56" fillId="13" borderId="23" xfId="1" applyNumberFormat="1" applyFont="1" applyFill="1" applyBorder="1" applyAlignment="1">
      <alignment horizontal="center" vertical="center"/>
    </xf>
    <xf numFmtId="0" fontId="44" fillId="0" borderId="26" xfId="0" applyFont="1" applyBorder="1" applyAlignment="1">
      <alignment horizontal="center" vertical="center" wrapText="1"/>
    </xf>
    <xf numFmtId="0" fontId="62" fillId="0" borderId="26" xfId="0" applyFont="1" applyBorder="1" applyAlignment="1">
      <alignment horizontal="justify" vertical="center" wrapText="1"/>
    </xf>
    <xf numFmtId="0" fontId="63" fillId="0" borderId="28" xfId="0" applyFont="1" applyFill="1" applyBorder="1" applyAlignment="1">
      <alignment horizontal="center" vertical="center" wrapText="1"/>
    </xf>
    <xf numFmtId="0" fontId="63" fillId="0" borderId="58" xfId="0" applyFont="1" applyFill="1" applyBorder="1" applyAlignment="1">
      <alignment horizontal="center" vertical="center" wrapText="1"/>
    </xf>
    <xf numFmtId="0" fontId="63" fillId="0" borderId="16" xfId="0" applyFont="1" applyFill="1" applyBorder="1" applyAlignment="1">
      <alignment horizontal="center" vertical="center" wrapText="1"/>
    </xf>
    <xf numFmtId="0" fontId="33" fillId="0" borderId="4" xfId="0" applyFont="1" applyBorder="1" applyAlignment="1">
      <alignment horizontal="justify" vertical="center" wrapText="1"/>
    </xf>
    <xf numFmtId="0" fontId="33" fillId="0" borderId="17" xfId="0" applyFont="1" applyBorder="1" applyAlignment="1">
      <alignment horizontal="justify" vertical="center" wrapText="1"/>
    </xf>
    <xf numFmtId="0" fontId="33" fillId="0" borderId="43" xfId="0" applyFont="1" applyBorder="1" applyAlignment="1">
      <alignment horizontal="justify" vertical="center" wrapText="1"/>
    </xf>
    <xf numFmtId="0" fontId="44" fillId="0" borderId="26"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57" fillId="0" borderId="70" xfId="0" applyFont="1" applyBorder="1" applyAlignment="1">
      <alignment horizontal="center" vertical="center" wrapText="1"/>
    </xf>
    <xf numFmtId="0" fontId="57" fillId="0" borderId="46" xfId="0" applyFont="1" applyBorder="1" applyAlignment="1">
      <alignment horizontal="center" vertical="center" wrapText="1"/>
    </xf>
    <xf numFmtId="0" fontId="57" fillId="0" borderId="47" xfId="0" applyFont="1" applyBorder="1" applyAlignment="1">
      <alignment horizontal="center" vertical="center" wrapText="1"/>
    </xf>
    <xf numFmtId="9" fontId="69" fillId="16" borderId="34" xfId="1" applyFont="1" applyFill="1" applyBorder="1" applyAlignment="1">
      <alignment horizontal="center" vertical="center" wrapText="1"/>
    </xf>
    <xf numFmtId="9" fontId="69" fillId="16" borderId="59" xfId="1" applyFont="1" applyFill="1" applyBorder="1" applyAlignment="1">
      <alignment horizontal="center" vertical="center" wrapText="1"/>
    </xf>
    <xf numFmtId="9" fontId="69" fillId="16" borderId="72" xfId="1" applyFont="1" applyFill="1" applyBorder="1" applyAlignment="1">
      <alignment horizontal="center" vertical="center" wrapText="1"/>
    </xf>
    <xf numFmtId="9" fontId="69" fillId="16" borderId="20" xfId="1" applyFont="1" applyFill="1" applyBorder="1" applyAlignment="1">
      <alignment horizontal="center" vertical="center" wrapText="1"/>
    </xf>
    <xf numFmtId="9" fontId="69" fillId="16" borderId="0" xfId="1" applyFont="1" applyFill="1" applyBorder="1" applyAlignment="1">
      <alignment horizontal="center" vertical="center" wrapText="1"/>
    </xf>
    <xf numFmtId="9" fontId="69" fillId="16" borderId="29" xfId="1" applyFont="1" applyFill="1" applyBorder="1" applyAlignment="1">
      <alignment horizontal="center" vertical="center" wrapText="1"/>
    </xf>
    <xf numFmtId="9" fontId="69" fillId="16" borderId="30" xfId="1" applyFont="1" applyFill="1" applyBorder="1" applyAlignment="1">
      <alignment horizontal="center" vertical="center" wrapText="1"/>
    </xf>
    <xf numFmtId="9" fontId="69" fillId="16" borderId="31" xfId="1" applyFont="1" applyFill="1" applyBorder="1" applyAlignment="1">
      <alignment horizontal="center" vertical="center" wrapText="1"/>
    </xf>
    <xf numFmtId="9" fontId="69" fillId="16" borderId="32" xfId="1" applyFont="1" applyFill="1" applyBorder="1" applyAlignment="1">
      <alignment horizontal="center" vertical="center" wrapText="1"/>
    </xf>
    <xf numFmtId="0" fontId="20" fillId="0" borderId="52" xfId="0" applyFont="1" applyFill="1" applyBorder="1" applyAlignment="1">
      <alignment horizontal="center" wrapText="1"/>
    </xf>
    <xf numFmtId="0" fontId="20" fillId="0" borderId="48" xfId="0" applyFont="1" applyFill="1" applyBorder="1" applyAlignment="1">
      <alignment horizontal="center" wrapText="1"/>
    </xf>
    <xf numFmtId="0" fontId="20" fillId="0" borderId="49" xfId="0" applyFont="1" applyFill="1" applyBorder="1" applyAlignment="1">
      <alignment horizontal="center" wrapText="1"/>
    </xf>
    <xf numFmtId="0" fontId="5" fillId="0" borderId="62"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26" fillId="0" borderId="56" xfId="0" applyFont="1" applyBorder="1" applyAlignment="1">
      <alignment horizontal="center"/>
    </xf>
    <xf numFmtId="0" fontId="26" fillId="0" borderId="66" xfId="0" applyFont="1" applyBorder="1" applyAlignment="1">
      <alignment horizontal="center"/>
    </xf>
    <xf numFmtId="0" fontId="26" fillId="0" borderId="61" xfId="0" applyFont="1" applyBorder="1" applyAlignment="1">
      <alignment horizontal="center"/>
    </xf>
    <xf numFmtId="9" fontId="69" fillId="16" borderId="57" xfId="1" applyFont="1" applyFill="1" applyBorder="1" applyAlignment="1">
      <alignment horizontal="center" vertical="center" wrapText="1"/>
    </xf>
    <xf numFmtId="9" fontId="69" fillId="16" borderId="40" xfId="1" applyFont="1" applyFill="1" applyBorder="1" applyAlignment="1">
      <alignment horizontal="center" vertical="center" wrapText="1"/>
    </xf>
    <xf numFmtId="0" fontId="20" fillId="0" borderId="21" xfId="0" applyFont="1" applyFill="1" applyBorder="1" applyAlignment="1">
      <alignment horizontal="center" wrapText="1"/>
    </xf>
    <xf numFmtId="0" fontId="20" fillId="0" borderId="22" xfId="0" applyFont="1" applyFill="1" applyBorder="1" applyAlignment="1">
      <alignment horizontal="center" wrapText="1"/>
    </xf>
    <xf numFmtId="0" fontId="20" fillId="0" borderId="23" xfId="0" applyFont="1" applyFill="1" applyBorder="1" applyAlignment="1">
      <alignment horizontal="center" wrapText="1"/>
    </xf>
    <xf numFmtId="9" fontId="69" fillId="16" borderId="74" xfId="1"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73" xfId="0" applyFont="1" applyFill="1" applyBorder="1" applyAlignment="1">
      <alignment horizontal="center" vertical="center" wrapText="1"/>
    </xf>
    <xf numFmtId="0" fontId="70" fillId="0" borderId="1" xfId="0" applyFont="1" applyBorder="1" applyAlignment="1">
      <alignment horizontal="justify" vertical="center" wrapText="1"/>
    </xf>
    <xf numFmtId="0" fontId="5" fillId="0" borderId="1" xfId="0" applyFont="1" applyBorder="1" applyAlignment="1">
      <alignment horizontal="center"/>
    </xf>
    <xf numFmtId="0" fontId="20" fillId="0" borderId="54" xfId="0" applyFont="1" applyBorder="1" applyAlignment="1">
      <alignment horizontal="justify" vertical="center" wrapText="1"/>
    </xf>
    <xf numFmtId="0" fontId="20" fillId="0" borderId="38" xfId="0" applyFont="1" applyBorder="1" applyAlignment="1">
      <alignment horizontal="justify" vertical="center"/>
    </xf>
    <xf numFmtId="0" fontId="20" fillId="0" borderId="39" xfId="0" applyFont="1" applyBorder="1" applyAlignment="1">
      <alignment horizontal="justify" vertical="center"/>
    </xf>
    <xf numFmtId="0" fontId="0" fillId="0" borderId="54"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52" fillId="0" borderId="0" xfId="0" applyFont="1" applyAlignment="1">
      <alignment horizontal="center"/>
    </xf>
    <xf numFmtId="0" fontId="27" fillId="0" borderId="25"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left"/>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14" fontId="0" fillId="0" borderId="1" xfId="0" applyNumberFormat="1" applyBorder="1" applyAlignment="1">
      <alignment horizontal="center" vertical="center" wrapText="1"/>
    </xf>
    <xf numFmtId="0" fontId="5" fillId="0" borderId="0" xfId="0" applyFont="1" applyFill="1" applyBorder="1" applyAlignment="1">
      <alignment horizontal="center"/>
    </xf>
    <xf numFmtId="0" fontId="5" fillId="0" borderId="0" xfId="0" applyFont="1" applyAlignment="1">
      <alignment horizontal="center"/>
    </xf>
    <xf numFmtId="14" fontId="20" fillId="0" borderId="1" xfId="0" applyNumberFormat="1" applyFont="1" applyBorder="1" applyAlignment="1">
      <alignment horizontal="center" vertical="center"/>
    </xf>
    <xf numFmtId="0" fontId="20" fillId="0" borderId="1" xfId="0" applyFont="1" applyBorder="1" applyAlignment="1">
      <alignment horizontal="center" vertical="center"/>
    </xf>
    <xf numFmtId="0" fontId="0" fillId="0" borderId="1" xfId="0" applyBorder="1" applyAlignment="1">
      <alignment horizontal="center" vertical="center"/>
    </xf>
  </cellXfs>
  <cellStyles count="37">
    <cellStyle name="BodyStyle" xfId="14" xr:uid="{00000000-0005-0000-0000-000000000000}"/>
    <cellStyle name="Currency" xfId="20" xr:uid="{00000000-0005-0000-0000-000001000000}"/>
    <cellStyle name="HeaderStyle" xfId="4" xr:uid="{00000000-0005-0000-0000-000002000000}"/>
    <cellStyle name="Hipervínculo" xfId="13" builtinId="8"/>
    <cellStyle name="Hipervínculo 2" xfId="11" xr:uid="{00000000-0005-0000-0000-000004000000}"/>
    <cellStyle name="MainTitle" xfId="6" xr:uid="{00000000-0005-0000-0000-000005000000}"/>
    <cellStyle name="Millares [0]" xfId="3" builtinId="6"/>
    <cellStyle name="Millares [0] 2" xfId="10" xr:uid="{00000000-0005-0000-0000-000007000000}"/>
    <cellStyle name="Millares [0] 2 2" xfId="29" xr:uid="{00000000-0005-0000-0000-000008000000}"/>
    <cellStyle name="Millares [0] 2 3" xfId="34" xr:uid="{00000000-0005-0000-0000-000009000000}"/>
    <cellStyle name="Millares [0] 2 4" xfId="24" xr:uid="{00000000-0005-0000-0000-00000A000000}"/>
    <cellStyle name="Millares [0] 2 5" xfId="18" xr:uid="{00000000-0005-0000-0000-00000B000000}"/>
    <cellStyle name="Millares [0] 3" xfId="26" xr:uid="{00000000-0005-0000-0000-00000C000000}"/>
    <cellStyle name="Millares [0] 4" xfId="31" xr:uid="{00000000-0005-0000-0000-00000D000000}"/>
    <cellStyle name="Millares [0] 5" xfId="21" xr:uid="{00000000-0005-0000-0000-00000E000000}"/>
    <cellStyle name="Millares [0] 6" xfId="15" xr:uid="{00000000-0005-0000-0000-00000F000000}"/>
    <cellStyle name="Millares 2" xfId="12" xr:uid="{00000000-0005-0000-0000-000010000000}"/>
    <cellStyle name="Millares 2 2" xfId="30" xr:uid="{00000000-0005-0000-0000-000011000000}"/>
    <cellStyle name="Millares 2 3" xfId="35" xr:uid="{00000000-0005-0000-0000-000012000000}"/>
    <cellStyle name="Millares 2 4" xfId="25" xr:uid="{00000000-0005-0000-0000-000013000000}"/>
    <cellStyle name="Millares 2 5" xfId="19" xr:uid="{00000000-0005-0000-0000-000014000000}"/>
    <cellStyle name="Moneda [0]" xfId="5" builtinId="7"/>
    <cellStyle name="Moneda [0] 2" xfId="9" xr:uid="{00000000-0005-0000-0000-000016000000}"/>
    <cellStyle name="Moneda [0] 2 2" xfId="28" xr:uid="{00000000-0005-0000-0000-000017000000}"/>
    <cellStyle name="Moneda [0] 2 3" xfId="33" xr:uid="{00000000-0005-0000-0000-000018000000}"/>
    <cellStyle name="Moneda [0] 2 4" xfId="23" xr:uid="{00000000-0005-0000-0000-000019000000}"/>
    <cellStyle name="Moneda [0] 2 5" xfId="17" xr:uid="{00000000-0005-0000-0000-00001A000000}"/>
    <cellStyle name="Moneda [0] 3" xfId="27" xr:uid="{00000000-0005-0000-0000-00001B000000}"/>
    <cellStyle name="Moneda [0] 4" xfId="32" xr:uid="{00000000-0005-0000-0000-00001C000000}"/>
    <cellStyle name="Moneda [0] 5" xfId="22" xr:uid="{00000000-0005-0000-0000-00001D000000}"/>
    <cellStyle name="Moneda [0] 6" xfId="16" xr:uid="{00000000-0005-0000-0000-00001E000000}"/>
    <cellStyle name="Moneda 2" xfId="8" xr:uid="{00000000-0005-0000-0000-00001F000000}"/>
    <cellStyle name="Normal" xfId="0" builtinId="0"/>
    <cellStyle name="Normal 2" xfId="2" xr:uid="{00000000-0005-0000-0000-000021000000}"/>
    <cellStyle name="Normal 3" xfId="7" xr:uid="{00000000-0005-0000-0000-000022000000}"/>
    <cellStyle name="Numeric" xfId="36" xr:uid="{00000000-0005-0000-0000-000023000000}"/>
    <cellStyle name="Porcentaje" xfId="1" builtinId="5"/>
  </cellStyles>
  <dxfs count="13307">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92D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92D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FFFF00"/>
        </patternFill>
      </fill>
    </dxf>
    <dxf>
      <fill>
        <patternFill>
          <bgColor theme="5"/>
        </patternFill>
      </fill>
    </dxf>
    <dxf>
      <fill>
        <patternFill>
          <bgColor indexed="10"/>
        </patternFill>
      </fill>
    </dxf>
    <dxf>
      <fill>
        <patternFill>
          <bgColor theme="0" tint="-0.24994659260841701"/>
        </patternFill>
      </fill>
    </dxf>
    <dxf>
      <fill>
        <patternFill>
          <bgColor rgb="FF00B050"/>
        </patternFill>
      </fill>
    </dxf>
    <dxf>
      <fill>
        <patternFill>
          <bgColor rgb="FFFFFF00"/>
        </patternFill>
      </fill>
    </dxf>
    <dxf>
      <fill>
        <patternFill>
          <bgColor theme="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rgb="FF00B050"/>
        </patternFill>
      </fill>
    </dxf>
    <dxf>
      <fill>
        <patternFill>
          <bgColor theme="1" tint="0.499984740745262"/>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theme="9"/>
        </patternFill>
      </fill>
    </dxf>
    <dxf>
      <fill>
        <patternFill>
          <bgColor theme="6"/>
        </patternFill>
      </fill>
    </dxf>
    <dxf>
      <font>
        <color rgb="FF9C0006"/>
      </font>
      <fill>
        <patternFill>
          <bgColor theme="5"/>
        </patternFill>
      </fill>
    </dxf>
    <dxf>
      <font>
        <color rgb="FF9C0006"/>
      </font>
      <fill>
        <patternFill>
          <bgColor rgb="FFFFFF00"/>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0"/>
        </patternFill>
      </fill>
    </dxf>
    <dxf>
      <fill>
        <patternFill>
          <bgColor indexed="13"/>
        </patternFill>
      </fill>
    </dxf>
    <dxf>
      <fill>
        <patternFill>
          <bgColor indexed="11"/>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ont>
        <color theme="4"/>
      </font>
      <fill>
        <patternFill>
          <bgColor theme="5" tint="0.59996337778862885"/>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
      <fill>
        <patternFill>
          <bgColor rgb="FFFF0000"/>
        </patternFill>
      </fill>
    </dxf>
    <dxf>
      <fill>
        <patternFill>
          <bgColor rgb="FFFFFF00"/>
        </patternFill>
      </fill>
    </dxf>
    <dxf>
      <fill>
        <patternFill>
          <bgColor theme="9"/>
        </patternFill>
      </fill>
    </dxf>
    <dxf>
      <fill>
        <patternFill>
          <bgColor theme="2" tint="-0.499984740745262"/>
        </patternFill>
      </fill>
    </dxf>
    <dxf>
      <font>
        <color theme="0" tint="-0.499984740745262"/>
      </font>
      <numFmt numFmtId="30" formatCode="@"/>
      <fill>
        <patternFill>
          <bgColor theme="0"/>
        </patternFill>
      </fill>
    </dxf>
  </dxfs>
  <tableStyles count="0" defaultTableStyle="TableStyleMedium2" defaultPivotStyle="PivotStyleLight16"/>
  <colors>
    <mruColors>
      <color rgb="FF175099"/>
      <color rgb="FF00ACCA"/>
      <color rgb="FF3333FF"/>
      <color rgb="FF33569D"/>
      <color rgb="FF1519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gif"/><Relationship Id="rId13" Type="http://schemas.openxmlformats.org/officeDocument/2006/relationships/hyperlink" Target="#'Cumplimiento perspectivas Mejor'!A1"/><Relationship Id="rId18" Type="http://schemas.openxmlformats.org/officeDocument/2006/relationships/hyperlink" Target="#'Cumplimiento de objetivos Mejor'!A1"/><Relationship Id="rId3" Type="http://schemas.openxmlformats.org/officeDocument/2006/relationships/hyperlink" Target="https://es.wikipedia.org/wiki/Perspectiva_c%C3%B3nica" TargetMode="External"/><Relationship Id="rId7" Type="http://schemas.openxmlformats.org/officeDocument/2006/relationships/hyperlink" Target="#'Cumplimiento act. relevantes'!A1"/><Relationship Id="rId12" Type="http://schemas.openxmlformats.org/officeDocument/2006/relationships/hyperlink" Target="http://confesionesdemau.blogspot.com/2013/08/clases-de-personas.html" TargetMode="External"/><Relationship Id="rId17" Type="http://schemas.openxmlformats.org/officeDocument/2006/relationships/image" Target="../media/image8.png"/><Relationship Id="rId2" Type="http://schemas.openxmlformats.org/officeDocument/2006/relationships/image" Target="../media/image3.png"/><Relationship Id="rId16" Type="http://schemas.openxmlformats.org/officeDocument/2006/relationships/hyperlink" Target="#'Cumplimiento Planes'!A1"/><Relationship Id="rId20" Type="http://schemas.openxmlformats.org/officeDocument/2006/relationships/image" Target="../media/image2.png"/><Relationship Id="rId1" Type="http://schemas.openxmlformats.org/officeDocument/2006/relationships/hyperlink" Target="#'Cumplimiento perspectivas conso'!A1"/><Relationship Id="rId6" Type="http://schemas.openxmlformats.org/officeDocument/2006/relationships/hyperlink" Target="http://www.gazetadebeirute.com/2013/05/qual-o-seu-objetivo.html" TargetMode="External"/><Relationship Id="rId11" Type="http://schemas.openxmlformats.org/officeDocument/2006/relationships/image" Target="../media/image6.gif"/><Relationship Id="rId5" Type="http://schemas.openxmlformats.org/officeDocument/2006/relationships/image" Target="../media/image4.gif"/><Relationship Id="rId15" Type="http://schemas.openxmlformats.org/officeDocument/2006/relationships/hyperlink" Target="http://nancynwilson.com/building-an-online-business-2/" TargetMode="External"/><Relationship Id="rId10" Type="http://schemas.openxmlformats.org/officeDocument/2006/relationships/hyperlink" Target="#'Cumplimiento Dependencias'!A1"/><Relationship Id="rId19" Type="http://schemas.openxmlformats.org/officeDocument/2006/relationships/hyperlink" Target="#'Cumplimiento Dependencias Mejor'!A1"/><Relationship Id="rId4" Type="http://schemas.openxmlformats.org/officeDocument/2006/relationships/hyperlink" Target="#'Cumplimiento de objetivos'!A1"/><Relationship Id="rId9" Type="http://schemas.openxmlformats.org/officeDocument/2006/relationships/hyperlink" Target="https://fecla.wordpress.com/2010/05/22/el-monologo" TargetMode="External"/><Relationship Id="rId1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537632</xdr:colOff>
      <xdr:row>0</xdr:row>
      <xdr:rowOff>21166</xdr:rowOff>
    </xdr:from>
    <xdr:to>
      <xdr:col>1</xdr:col>
      <xdr:colOff>1203854</xdr:colOff>
      <xdr:row>2</xdr:row>
      <xdr:rowOff>195791</xdr:rowOff>
    </xdr:to>
    <xdr:pic>
      <xdr:nvPicPr>
        <xdr:cNvPr id="2" name="Imagen 1">
          <a:extLst>
            <a:ext uri="{FF2B5EF4-FFF2-40B4-BE49-F238E27FC236}">
              <a16:creationId xmlns:a16="http://schemas.microsoft.com/office/drawing/2014/main" id="{1955A19F-C295-4364-8160-0870371A87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632" y="21166"/>
          <a:ext cx="1862139"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793749</xdr:colOff>
      <xdr:row>0</xdr:row>
      <xdr:rowOff>63501</xdr:rowOff>
    </xdr:from>
    <xdr:to>
      <xdr:col>76</xdr:col>
      <xdr:colOff>444498</xdr:colOff>
      <xdr:row>2</xdr:row>
      <xdr:rowOff>238126</xdr:rowOff>
    </xdr:to>
    <xdr:pic>
      <xdr:nvPicPr>
        <xdr:cNvPr id="3" name="Imagen 2">
          <a:extLst>
            <a:ext uri="{FF2B5EF4-FFF2-40B4-BE49-F238E27FC236}">
              <a16:creationId xmlns:a16="http://schemas.microsoft.com/office/drawing/2014/main" id="{86EC19D5-E8D2-4D51-9466-55CDF39C586B}"/>
            </a:ext>
          </a:extLst>
        </xdr:cNvPr>
        <xdr:cNvPicPr>
          <a:picLocks noChangeAspect="1"/>
        </xdr:cNvPicPr>
      </xdr:nvPicPr>
      <xdr:blipFill>
        <a:blip xmlns:r="http://schemas.openxmlformats.org/officeDocument/2006/relationships" r:embed="rId2"/>
        <a:stretch>
          <a:fillRect/>
        </a:stretch>
      </xdr:blipFill>
      <xdr:spPr>
        <a:xfrm>
          <a:off x="104637416" y="63501"/>
          <a:ext cx="2518833" cy="7672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958963</xdr:colOff>
      <xdr:row>0</xdr:row>
      <xdr:rowOff>178594</xdr:rowOff>
    </xdr:from>
    <xdr:ext cx="1157967" cy="552450"/>
    <xdr:pic>
      <xdr:nvPicPr>
        <xdr:cNvPr id="2" name="Imagen 1">
          <a:extLst>
            <a:ext uri="{FF2B5EF4-FFF2-40B4-BE49-F238E27FC236}">
              <a16:creationId xmlns:a16="http://schemas.microsoft.com/office/drawing/2014/main" id="{D5AABE3F-D619-4793-BF5D-7493CF0A510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8963" y="178594"/>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166686</xdr:colOff>
      <xdr:row>19</xdr:row>
      <xdr:rowOff>107156</xdr:rowOff>
    </xdr:from>
    <xdr:to>
      <xdr:col>37</xdr:col>
      <xdr:colOff>52385</xdr:colOff>
      <xdr:row>30</xdr:row>
      <xdr:rowOff>16969</xdr:rowOff>
    </xdr:to>
    <xdr:pic>
      <xdr:nvPicPr>
        <xdr:cNvPr id="5" name="Imagen 4">
          <a:extLst>
            <a:ext uri="{FF2B5EF4-FFF2-40B4-BE49-F238E27FC236}">
              <a16:creationId xmlns:a16="http://schemas.microsoft.com/office/drawing/2014/main" id="{06377FD1-1161-4CBC-AEF5-31A09B431820}"/>
            </a:ext>
          </a:extLst>
        </xdr:cNvPr>
        <xdr:cNvPicPr>
          <a:picLocks noChangeAspect="1"/>
        </xdr:cNvPicPr>
      </xdr:nvPicPr>
      <xdr:blipFill>
        <a:blip xmlns:r="http://schemas.openxmlformats.org/officeDocument/2006/relationships" r:embed="rId2"/>
        <a:stretch>
          <a:fillRect/>
        </a:stretch>
      </xdr:blipFill>
      <xdr:spPr>
        <a:xfrm>
          <a:off x="12149136" y="5441156"/>
          <a:ext cx="3583780" cy="2005313"/>
        </a:xfrm>
        <a:prstGeom prst="rect">
          <a:avLst/>
        </a:prstGeom>
      </xdr:spPr>
    </xdr:pic>
    <xdr:clientData/>
  </xdr:twoCellAnchor>
  <xdr:twoCellAnchor editAs="oneCell">
    <xdr:from>
      <xdr:col>37</xdr:col>
      <xdr:colOff>57147</xdr:colOff>
      <xdr:row>19</xdr:row>
      <xdr:rowOff>107156</xdr:rowOff>
    </xdr:from>
    <xdr:to>
      <xdr:col>56</xdr:col>
      <xdr:colOff>385759</xdr:colOff>
      <xdr:row>30</xdr:row>
      <xdr:rowOff>16969</xdr:rowOff>
    </xdr:to>
    <xdr:pic>
      <xdr:nvPicPr>
        <xdr:cNvPr id="6" name="Imagen 5">
          <a:extLst>
            <a:ext uri="{FF2B5EF4-FFF2-40B4-BE49-F238E27FC236}">
              <a16:creationId xmlns:a16="http://schemas.microsoft.com/office/drawing/2014/main" id="{B7CC5805-3090-4A8B-AC1C-9FDAA48018E4}"/>
            </a:ext>
          </a:extLst>
        </xdr:cNvPr>
        <xdr:cNvPicPr>
          <a:picLocks noChangeAspect="1"/>
        </xdr:cNvPicPr>
      </xdr:nvPicPr>
      <xdr:blipFill>
        <a:blip xmlns:r="http://schemas.openxmlformats.org/officeDocument/2006/relationships" r:embed="rId3"/>
        <a:stretch>
          <a:fillRect/>
        </a:stretch>
      </xdr:blipFill>
      <xdr:spPr>
        <a:xfrm>
          <a:off x="15582897" y="5441156"/>
          <a:ext cx="3481388" cy="2005313"/>
        </a:xfrm>
        <a:prstGeom prst="rect">
          <a:avLst/>
        </a:prstGeom>
      </xdr:spPr>
    </xdr:pic>
    <xdr:clientData/>
  </xdr:twoCellAnchor>
  <xdr:twoCellAnchor editAs="oneCell">
    <xdr:from>
      <xdr:col>53</xdr:col>
      <xdr:colOff>83343</xdr:colOff>
      <xdr:row>0</xdr:row>
      <xdr:rowOff>250031</xdr:rowOff>
    </xdr:from>
    <xdr:to>
      <xdr:col>55</xdr:col>
      <xdr:colOff>273843</xdr:colOff>
      <xdr:row>1</xdr:row>
      <xdr:rowOff>349820</xdr:rowOff>
    </xdr:to>
    <xdr:pic>
      <xdr:nvPicPr>
        <xdr:cNvPr id="7" name="Imagen 6">
          <a:extLst>
            <a:ext uri="{FF2B5EF4-FFF2-40B4-BE49-F238E27FC236}">
              <a16:creationId xmlns:a16="http://schemas.microsoft.com/office/drawing/2014/main" id="{76EECB14-94C7-49D8-B7F8-D8D8214102E3}"/>
            </a:ext>
          </a:extLst>
        </xdr:cNvPr>
        <xdr:cNvPicPr>
          <a:picLocks noChangeAspect="1"/>
        </xdr:cNvPicPr>
      </xdr:nvPicPr>
      <xdr:blipFill>
        <a:blip xmlns:r="http://schemas.openxmlformats.org/officeDocument/2006/relationships" r:embed="rId4"/>
        <a:stretch>
          <a:fillRect/>
        </a:stretch>
      </xdr:blipFill>
      <xdr:spPr>
        <a:xfrm>
          <a:off x="12858749" y="250031"/>
          <a:ext cx="1714500" cy="5165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685800</xdr:colOff>
      <xdr:row>2</xdr:row>
      <xdr:rowOff>133350</xdr:rowOff>
    </xdr:to>
    <xdr:pic>
      <xdr:nvPicPr>
        <xdr:cNvPr id="2" name="Imagen 1">
          <a:extLst>
            <a:ext uri="{FF2B5EF4-FFF2-40B4-BE49-F238E27FC236}">
              <a16:creationId xmlns:a16="http://schemas.microsoft.com/office/drawing/2014/main" id="{98285E23-E9E2-4614-B9A3-ECD007B2D32D}"/>
            </a:ext>
          </a:extLst>
        </xdr:cNvPr>
        <xdr:cNvPicPr/>
      </xdr:nvPicPr>
      <xdr:blipFill>
        <a:blip xmlns:r="http://schemas.openxmlformats.org/officeDocument/2006/relationships" r:embed="rId1"/>
        <a:stretch>
          <a:fillRect/>
        </a:stretch>
      </xdr:blipFill>
      <xdr:spPr>
        <a:xfrm>
          <a:off x="0" y="209550"/>
          <a:ext cx="1447800" cy="504825"/>
        </a:xfrm>
        <a:prstGeom prst="rect">
          <a:avLst/>
        </a:prstGeom>
      </xdr:spPr>
    </xdr:pic>
    <xdr:clientData/>
  </xdr:twoCellAnchor>
  <xdr:twoCellAnchor editAs="oneCell">
    <xdr:from>
      <xdr:col>8</xdr:col>
      <xdr:colOff>571499</xdr:colOff>
      <xdr:row>0</xdr:row>
      <xdr:rowOff>0</xdr:rowOff>
    </xdr:from>
    <xdr:to>
      <xdr:col>11</xdr:col>
      <xdr:colOff>150922</xdr:colOff>
      <xdr:row>2</xdr:row>
      <xdr:rowOff>180974</xdr:rowOff>
    </xdr:to>
    <xdr:pic>
      <xdr:nvPicPr>
        <xdr:cNvPr id="5" name="Imagen 4">
          <a:extLst>
            <a:ext uri="{FF2B5EF4-FFF2-40B4-BE49-F238E27FC236}">
              <a16:creationId xmlns:a16="http://schemas.microsoft.com/office/drawing/2014/main" id="{7C049703-2C4B-4A43-A6EA-9FE4BD5EB703}"/>
            </a:ext>
          </a:extLst>
        </xdr:cNvPr>
        <xdr:cNvPicPr>
          <a:picLocks noChangeAspect="1"/>
        </xdr:cNvPicPr>
      </xdr:nvPicPr>
      <xdr:blipFill>
        <a:blip xmlns:r="http://schemas.openxmlformats.org/officeDocument/2006/relationships" r:embed="rId2"/>
        <a:stretch>
          <a:fillRect/>
        </a:stretch>
      </xdr:blipFill>
      <xdr:spPr>
        <a:xfrm>
          <a:off x="6667499" y="0"/>
          <a:ext cx="1865423" cy="5619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1128032</xdr:colOff>
      <xdr:row>0</xdr:row>
      <xdr:rowOff>69273</xdr:rowOff>
    </xdr:from>
    <xdr:to>
      <xdr:col>2</xdr:col>
      <xdr:colOff>1469571</xdr:colOff>
      <xdr:row>2</xdr:row>
      <xdr:rowOff>310736</xdr:rowOff>
    </xdr:to>
    <xdr:pic>
      <xdr:nvPicPr>
        <xdr:cNvPr id="2" name="Imagen 1">
          <a:extLst>
            <a:ext uri="{FF2B5EF4-FFF2-40B4-BE49-F238E27FC236}">
              <a16:creationId xmlns:a16="http://schemas.microsoft.com/office/drawing/2014/main" id="{A213C821-4303-4355-8928-BCC6F45FECC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 y="69273"/>
          <a:ext cx="1827439" cy="889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360963</xdr:colOff>
      <xdr:row>0</xdr:row>
      <xdr:rowOff>205837</xdr:rowOff>
    </xdr:from>
    <xdr:to>
      <xdr:col>19</xdr:col>
      <xdr:colOff>151412</xdr:colOff>
      <xdr:row>2</xdr:row>
      <xdr:rowOff>109598</xdr:rowOff>
    </xdr:to>
    <xdr:pic>
      <xdr:nvPicPr>
        <xdr:cNvPr id="3" name="Imagen 2" descr="Image result for LOGO MINSALUD">
          <a:extLst>
            <a:ext uri="{FF2B5EF4-FFF2-40B4-BE49-F238E27FC236}">
              <a16:creationId xmlns:a16="http://schemas.microsoft.com/office/drawing/2014/main" id="{A0E2BD13-98BC-4ACD-AB4F-208063A00D3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554588" y="205837"/>
          <a:ext cx="2038349" cy="551461"/>
        </a:xfrm>
        <a:prstGeom prst="rect">
          <a:avLst/>
        </a:prstGeom>
        <a:noFill/>
        <a:ln>
          <a:noFill/>
        </a:ln>
      </xdr:spPr>
    </xdr:pic>
    <xdr:clientData/>
  </xdr:twoCellAnchor>
  <xdr:twoCellAnchor editAs="oneCell">
    <xdr:from>
      <xdr:col>19</xdr:col>
      <xdr:colOff>801088</xdr:colOff>
      <xdr:row>0</xdr:row>
      <xdr:rowOff>193931</xdr:rowOff>
    </xdr:from>
    <xdr:to>
      <xdr:col>21</xdr:col>
      <xdr:colOff>988866</xdr:colOff>
      <xdr:row>2</xdr:row>
      <xdr:rowOff>109598</xdr:rowOff>
    </xdr:to>
    <xdr:pic>
      <xdr:nvPicPr>
        <xdr:cNvPr id="4" name="Imagen 3" descr="Image result for LOGO GOBIERNO DE COLOMBIA">
          <a:extLst>
            <a:ext uri="{FF2B5EF4-FFF2-40B4-BE49-F238E27FC236}">
              <a16:creationId xmlns:a16="http://schemas.microsoft.com/office/drawing/2014/main" id="{0D211692-1CF6-4D9A-8B27-7D57AA35FA81}"/>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242613" y="193931"/>
          <a:ext cx="2111828" cy="563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822325</xdr:colOff>
      <xdr:row>0</xdr:row>
      <xdr:rowOff>0</xdr:rowOff>
    </xdr:from>
    <xdr:to>
      <xdr:col>1</xdr:col>
      <xdr:colOff>1246717</xdr:colOff>
      <xdr:row>2</xdr:row>
      <xdr:rowOff>133350</xdr:rowOff>
    </xdr:to>
    <xdr:pic>
      <xdr:nvPicPr>
        <xdr:cNvPr id="2" name="Imagen 1">
          <a:extLst>
            <a:ext uri="{FF2B5EF4-FFF2-40B4-BE49-F238E27FC236}">
              <a16:creationId xmlns:a16="http://schemas.microsoft.com/office/drawing/2014/main" id="{8559B60D-E9A9-491E-BD5B-C587CA20889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325" y="0"/>
          <a:ext cx="1616076"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624416</xdr:colOff>
      <xdr:row>0</xdr:row>
      <xdr:rowOff>52916</xdr:rowOff>
    </xdr:from>
    <xdr:to>
      <xdr:col>76</xdr:col>
      <xdr:colOff>391583</xdr:colOff>
      <xdr:row>2</xdr:row>
      <xdr:rowOff>227541</xdr:rowOff>
    </xdr:to>
    <xdr:pic>
      <xdr:nvPicPr>
        <xdr:cNvPr id="3" name="Imagen 2">
          <a:extLst>
            <a:ext uri="{FF2B5EF4-FFF2-40B4-BE49-F238E27FC236}">
              <a16:creationId xmlns:a16="http://schemas.microsoft.com/office/drawing/2014/main" id="{ABC16B91-72FE-427A-A4EC-C5977D86B961}"/>
            </a:ext>
          </a:extLst>
        </xdr:cNvPr>
        <xdr:cNvPicPr>
          <a:picLocks noChangeAspect="1"/>
        </xdr:cNvPicPr>
      </xdr:nvPicPr>
      <xdr:blipFill>
        <a:blip xmlns:r="http://schemas.openxmlformats.org/officeDocument/2006/relationships" r:embed="rId2"/>
        <a:stretch>
          <a:fillRect/>
        </a:stretch>
      </xdr:blipFill>
      <xdr:spPr>
        <a:xfrm>
          <a:off x="91006083" y="52916"/>
          <a:ext cx="2635250" cy="767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177799</xdr:colOff>
      <xdr:row>0</xdr:row>
      <xdr:rowOff>0</xdr:rowOff>
    </xdr:from>
    <xdr:to>
      <xdr:col>1</xdr:col>
      <xdr:colOff>847422</xdr:colOff>
      <xdr:row>2</xdr:row>
      <xdr:rowOff>174625</xdr:rowOff>
    </xdr:to>
    <xdr:pic>
      <xdr:nvPicPr>
        <xdr:cNvPr id="3" name="Imagen 2">
          <a:extLst>
            <a:ext uri="{FF2B5EF4-FFF2-40B4-BE49-F238E27FC236}">
              <a16:creationId xmlns:a16="http://schemas.microsoft.com/office/drawing/2014/main" id="{1BAE6F0F-F9E9-4B45-BEB2-C74D912AD51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799" y="0"/>
          <a:ext cx="1865540" cy="76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86</xdr:col>
      <xdr:colOff>497416</xdr:colOff>
      <xdr:row>0</xdr:row>
      <xdr:rowOff>190501</xdr:rowOff>
    </xdr:from>
    <xdr:to>
      <xdr:col>89</xdr:col>
      <xdr:colOff>772582</xdr:colOff>
      <xdr:row>2</xdr:row>
      <xdr:rowOff>116417</xdr:rowOff>
    </xdr:to>
    <xdr:pic>
      <xdr:nvPicPr>
        <xdr:cNvPr id="4" name="Imagen 3">
          <a:extLst>
            <a:ext uri="{FF2B5EF4-FFF2-40B4-BE49-F238E27FC236}">
              <a16:creationId xmlns:a16="http://schemas.microsoft.com/office/drawing/2014/main" id="{F2EAFB5A-D265-4FE6-AE4D-E266D4A5EF86}"/>
            </a:ext>
          </a:extLst>
        </xdr:cNvPr>
        <xdr:cNvPicPr>
          <a:picLocks noChangeAspect="1"/>
        </xdr:cNvPicPr>
      </xdr:nvPicPr>
      <xdr:blipFill>
        <a:blip xmlns:r="http://schemas.openxmlformats.org/officeDocument/2006/relationships" r:embed="rId2"/>
        <a:stretch>
          <a:fillRect/>
        </a:stretch>
      </xdr:blipFill>
      <xdr:spPr>
        <a:xfrm>
          <a:off x="106267249" y="190501"/>
          <a:ext cx="3143250" cy="5185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812799</xdr:colOff>
      <xdr:row>0</xdr:row>
      <xdr:rowOff>31750</xdr:rowOff>
    </xdr:from>
    <xdr:to>
      <xdr:col>1</xdr:col>
      <xdr:colOff>1486958</xdr:colOff>
      <xdr:row>2</xdr:row>
      <xdr:rowOff>206375</xdr:rowOff>
    </xdr:to>
    <xdr:pic>
      <xdr:nvPicPr>
        <xdr:cNvPr id="2" name="Imagen 1">
          <a:extLst>
            <a:ext uri="{FF2B5EF4-FFF2-40B4-BE49-F238E27FC236}">
              <a16:creationId xmlns:a16="http://schemas.microsoft.com/office/drawing/2014/main" id="{E1F8ACED-9895-438B-89F1-B7A8A1E6E4D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799" y="31750"/>
          <a:ext cx="1866901" cy="76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719666</xdr:colOff>
      <xdr:row>0</xdr:row>
      <xdr:rowOff>63500</xdr:rowOff>
    </xdr:from>
    <xdr:to>
      <xdr:col>74</xdr:col>
      <xdr:colOff>550333</xdr:colOff>
      <xdr:row>2</xdr:row>
      <xdr:rowOff>238125</xdr:rowOff>
    </xdr:to>
    <xdr:pic>
      <xdr:nvPicPr>
        <xdr:cNvPr id="3" name="Imagen 2">
          <a:extLst>
            <a:ext uri="{FF2B5EF4-FFF2-40B4-BE49-F238E27FC236}">
              <a16:creationId xmlns:a16="http://schemas.microsoft.com/office/drawing/2014/main" id="{9FB0A39D-3CE1-4B43-869E-D1DD1A500C72}"/>
            </a:ext>
          </a:extLst>
        </xdr:cNvPr>
        <xdr:cNvPicPr>
          <a:picLocks noChangeAspect="1"/>
        </xdr:cNvPicPr>
      </xdr:nvPicPr>
      <xdr:blipFill>
        <a:blip xmlns:r="http://schemas.openxmlformats.org/officeDocument/2006/relationships" r:embed="rId2"/>
        <a:stretch>
          <a:fillRect/>
        </a:stretch>
      </xdr:blipFill>
      <xdr:spPr>
        <a:xfrm>
          <a:off x="104192916" y="63500"/>
          <a:ext cx="2698750" cy="7672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5</xdr:row>
      <xdr:rowOff>76201</xdr:rowOff>
    </xdr:from>
    <xdr:to>
      <xdr:col>1</xdr:col>
      <xdr:colOff>455791</xdr:colOff>
      <xdr:row>9</xdr:row>
      <xdr:rowOff>85725</xdr:rowOff>
    </xdr:to>
    <xdr:pic>
      <xdr:nvPicPr>
        <xdr:cNvPr id="3" name="Imagen 2">
          <a:hlinkClick xmlns:r="http://schemas.openxmlformats.org/officeDocument/2006/relationships" r:id="rId1"/>
          <a:extLst>
            <a:ext uri="{FF2B5EF4-FFF2-40B4-BE49-F238E27FC236}">
              <a16:creationId xmlns:a16="http://schemas.microsoft.com/office/drawing/2014/main" id="{AC8C6BAF-174F-48E8-A8B3-02EA11BE7E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837473B0-CC2E-450A-ABE3-18F120FF3D39}">
              <a1611:picAttrSrcUrl xmlns:a1611="http://schemas.microsoft.com/office/drawing/2016/11/main" r:id="rId3"/>
            </a:ext>
          </a:extLst>
        </a:blip>
        <a:stretch>
          <a:fillRect/>
        </a:stretch>
      </xdr:blipFill>
      <xdr:spPr>
        <a:xfrm>
          <a:off x="114300" y="457201"/>
          <a:ext cx="1103491" cy="771524"/>
        </a:xfrm>
        <a:prstGeom prst="rect">
          <a:avLst/>
        </a:prstGeom>
      </xdr:spPr>
    </xdr:pic>
    <xdr:clientData/>
  </xdr:twoCellAnchor>
  <xdr:twoCellAnchor editAs="oneCell">
    <xdr:from>
      <xdr:col>0</xdr:col>
      <xdr:colOff>28576</xdr:colOff>
      <xdr:row>10</xdr:row>
      <xdr:rowOff>66676</xdr:rowOff>
    </xdr:from>
    <xdr:to>
      <xdr:col>1</xdr:col>
      <xdr:colOff>392608</xdr:colOff>
      <xdr:row>15</xdr:row>
      <xdr:rowOff>38100</xdr:rowOff>
    </xdr:to>
    <xdr:pic>
      <xdr:nvPicPr>
        <xdr:cNvPr id="6" name="Imagen 5">
          <a:hlinkClick xmlns:r="http://schemas.openxmlformats.org/officeDocument/2006/relationships" r:id="rId4"/>
          <a:extLst>
            <a:ext uri="{FF2B5EF4-FFF2-40B4-BE49-F238E27FC236}">
              <a16:creationId xmlns:a16="http://schemas.microsoft.com/office/drawing/2014/main" id="{A7B7EBD0-D844-4A86-84BD-F18D901643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28576" y="1400176"/>
          <a:ext cx="1126032" cy="923924"/>
        </a:xfrm>
        <a:prstGeom prst="rect">
          <a:avLst/>
        </a:prstGeom>
      </xdr:spPr>
    </xdr:pic>
    <xdr:clientData/>
  </xdr:twoCellAnchor>
  <xdr:twoCellAnchor editAs="oneCell">
    <xdr:from>
      <xdr:col>0</xdr:col>
      <xdr:colOff>0</xdr:colOff>
      <xdr:row>16</xdr:row>
      <xdr:rowOff>104775</xdr:rowOff>
    </xdr:from>
    <xdr:to>
      <xdr:col>1</xdr:col>
      <xdr:colOff>566587</xdr:colOff>
      <xdr:row>22</xdr:row>
      <xdr:rowOff>38099</xdr:rowOff>
    </xdr:to>
    <xdr:pic>
      <xdr:nvPicPr>
        <xdr:cNvPr id="9" name="Imagen 8">
          <a:hlinkClick xmlns:r="http://schemas.openxmlformats.org/officeDocument/2006/relationships" r:id="rId7"/>
          <a:extLst>
            <a:ext uri="{FF2B5EF4-FFF2-40B4-BE49-F238E27FC236}">
              <a16:creationId xmlns:a16="http://schemas.microsoft.com/office/drawing/2014/main" id="{B5B92B5E-1C9C-4D85-883C-7D74937637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837473B0-CC2E-450A-ABE3-18F120FF3D39}">
              <a1611:picAttrSrcUrl xmlns:a1611="http://schemas.microsoft.com/office/drawing/2016/11/main" r:id="rId9"/>
            </a:ext>
          </a:extLst>
        </a:blip>
        <a:stretch>
          <a:fillRect/>
        </a:stretch>
      </xdr:blipFill>
      <xdr:spPr>
        <a:xfrm>
          <a:off x="0" y="2581275"/>
          <a:ext cx="1328587" cy="1076324"/>
        </a:xfrm>
        <a:prstGeom prst="rect">
          <a:avLst/>
        </a:prstGeom>
      </xdr:spPr>
    </xdr:pic>
    <xdr:clientData/>
  </xdr:twoCellAnchor>
  <xdr:twoCellAnchor editAs="oneCell">
    <xdr:from>
      <xdr:col>0</xdr:col>
      <xdr:colOff>0</xdr:colOff>
      <xdr:row>23</xdr:row>
      <xdr:rowOff>49529</xdr:rowOff>
    </xdr:from>
    <xdr:to>
      <xdr:col>1</xdr:col>
      <xdr:colOff>561975</xdr:colOff>
      <xdr:row>27</xdr:row>
      <xdr:rowOff>81914</xdr:rowOff>
    </xdr:to>
    <xdr:pic>
      <xdr:nvPicPr>
        <xdr:cNvPr id="15" name="Imagen 14">
          <a:hlinkClick xmlns:r="http://schemas.openxmlformats.org/officeDocument/2006/relationships" r:id="rId10"/>
          <a:extLst>
            <a:ext uri="{FF2B5EF4-FFF2-40B4-BE49-F238E27FC236}">
              <a16:creationId xmlns:a16="http://schemas.microsoft.com/office/drawing/2014/main" id="{A5F8583F-3E01-45E7-9AAF-07FF599208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837473B0-CC2E-450A-ABE3-18F120FF3D39}">
              <a1611:picAttrSrcUrl xmlns:a1611="http://schemas.microsoft.com/office/drawing/2016/11/main" r:id="rId12"/>
            </a:ext>
          </a:extLst>
        </a:blip>
        <a:stretch>
          <a:fillRect/>
        </a:stretch>
      </xdr:blipFill>
      <xdr:spPr>
        <a:xfrm>
          <a:off x="0" y="3859529"/>
          <a:ext cx="1323975" cy="794385"/>
        </a:xfrm>
        <a:prstGeom prst="rect">
          <a:avLst/>
        </a:prstGeom>
      </xdr:spPr>
    </xdr:pic>
    <xdr:clientData/>
  </xdr:twoCellAnchor>
  <xdr:twoCellAnchor editAs="oneCell">
    <xdr:from>
      <xdr:col>8</xdr:col>
      <xdr:colOff>571500</xdr:colOff>
      <xdr:row>4</xdr:row>
      <xdr:rowOff>9525</xdr:rowOff>
    </xdr:from>
    <xdr:to>
      <xdr:col>10</xdr:col>
      <xdr:colOff>210939</xdr:colOff>
      <xdr:row>9</xdr:row>
      <xdr:rowOff>8000</xdr:rowOff>
    </xdr:to>
    <xdr:pic>
      <xdr:nvPicPr>
        <xdr:cNvPr id="20" name="Imagen 19">
          <a:hlinkClick xmlns:r="http://schemas.openxmlformats.org/officeDocument/2006/relationships" r:id="rId13"/>
          <a:extLst>
            <a:ext uri="{FF2B5EF4-FFF2-40B4-BE49-F238E27FC236}">
              <a16:creationId xmlns:a16="http://schemas.microsoft.com/office/drawing/2014/main" id="{ADB0B9DE-241D-46E4-A26B-3450CBF6D9A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67500" y="1190625"/>
          <a:ext cx="1163439" cy="950975"/>
        </a:xfrm>
        <a:prstGeom prst="rect">
          <a:avLst/>
        </a:prstGeom>
      </xdr:spPr>
    </xdr:pic>
    <xdr:clientData/>
  </xdr:twoCellAnchor>
  <xdr:twoCellAnchor editAs="oneCell">
    <xdr:from>
      <xdr:col>7</xdr:col>
      <xdr:colOff>542925</xdr:colOff>
      <xdr:row>15</xdr:row>
      <xdr:rowOff>9525</xdr:rowOff>
    </xdr:from>
    <xdr:to>
      <xdr:col>9</xdr:col>
      <xdr:colOff>182364</xdr:colOff>
      <xdr:row>20</xdr:row>
      <xdr:rowOff>8000</xdr:rowOff>
    </xdr:to>
    <xdr:pic>
      <xdr:nvPicPr>
        <xdr:cNvPr id="22" name="Imagen 21">
          <a:hlinkClick xmlns:r="http://schemas.openxmlformats.org/officeDocument/2006/relationships" r:id="rId16"/>
          <a:extLst>
            <a:ext uri="{FF2B5EF4-FFF2-40B4-BE49-F238E27FC236}">
              <a16:creationId xmlns:a16="http://schemas.microsoft.com/office/drawing/2014/main" id="{D6445E78-7497-483B-BE28-840188C707E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38925" y="2886075"/>
          <a:ext cx="1163439" cy="950975"/>
        </a:xfrm>
        <a:prstGeom prst="rect">
          <a:avLst/>
        </a:prstGeom>
      </xdr:spPr>
    </xdr:pic>
    <xdr:clientData/>
  </xdr:twoCellAnchor>
  <xdr:twoCellAnchor editAs="oneCell">
    <xdr:from>
      <xdr:col>0</xdr:col>
      <xdr:colOff>0</xdr:colOff>
      <xdr:row>1</xdr:row>
      <xdr:rowOff>9525</xdr:rowOff>
    </xdr:from>
    <xdr:to>
      <xdr:col>1</xdr:col>
      <xdr:colOff>685800</xdr:colOff>
      <xdr:row>3</xdr:row>
      <xdr:rowOff>133350</xdr:rowOff>
    </xdr:to>
    <xdr:pic>
      <xdr:nvPicPr>
        <xdr:cNvPr id="10" name="Imagen 9">
          <a:extLst>
            <a:ext uri="{FF2B5EF4-FFF2-40B4-BE49-F238E27FC236}">
              <a16:creationId xmlns:a16="http://schemas.microsoft.com/office/drawing/2014/main" id="{6905A910-806C-4767-98E1-A728A3536C20}"/>
            </a:ext>
          </a:extLst>
        </xdr:cNvPr>
        <xdr:cNvPicPr/>
      </xdr:nvPicPr>
      <xdr:blipFill>
        <a:blip xmlns:r="http://schemas.openxmlformats.org/officeDocument/2006/relationships" r:embed="rId17"/>
        <a:stretch>
          <a:fillRect/>
        </a:stretch>
      </xdr:blipFill>
      <xdr:spPr>
        <a:xfrm>
          <a:off x="0" y="628650"/>
          <a:ext cx="1447800" cy="504825"/>
        </a:xfrm>
        <a:prstGeom prst="rect">
          <a:avLst/>
        </a:prstGeom>
      </xdr:spPr>
    </xdr:pic>
    <xdr:clientData/>
  </xdr:twoCellAnchor>
  <xdr:oneCellAnchor>
    <xdr:from>
      <xdr:col>8</xdr:col>
      <xdr:colOff>523875</xdr:colOff>
      <xdr:row>9</xdr:row>
      <xdr:rowOff>0</xdr:rowOff>
    </xdr:from>
    <xdr:ext cx="1163439" cy="950975"/>
    <xdr:pic>
      <xdr:nvPicPr>
        <xdr:cNvPr id="14" name="Imagen 13">
          <a:hlinkClick xmlns:r="http://schemas.openxmlformats.org/officeDocument/2006/relationships" r:id="rId18"/>
          <a:extLst>
            <a:ext uri="{FF2B5EF4-FFF2-40B4-BE49-F238E27FC236}">
              <a16:creationId xmlns:a16="http://schemas.microsoft.com/office/drawing/2014/main" id="{4348A799-28B7-4C5F-BBEB-1F61FBAAAAF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6619875" y="1733550"/>
          <a:ext cx="1163439" cy="950975"/>
        </a:xfrm>
        <a:prstGeom prst="rect">
          <a:avLst/>
        </a:prstGeom>
      </xdr:spPr>
    </xdr:pic>
    <xdr:clientData/>
  </xdr:oneCellAnchor>
  <xdr:oneCellAnchor>
    <xdr:from>
      <xdr:col>7</xdr:col>
      <xdr:colOff>514350</xdr:colOff>
      <xdr:row>22</xdr:row>
      <xdr:rowOff>0</xdr:rowOff>
    </xdr:from>
    <xdr:ext cx="1163439" cy="950975"/>
    <xdr:pic>
      <xdr:nvPicPr>
        <xdr:cNvPr id="17" name="Imagen 16">
          <a:hlinkClick xmlns:r="http://schemas.openxmlformats.org/officeDocument/2006/relationships" r:id="rId19"/>
          <a:extLst>
            <a:ext uri="{FF2B5EF4-FFF2-40B4-BE49-F238E27FC236}">
              <a16:creationId xmlns:a16="http://schemas.microsoft.com/office/drawing/2014/main" id="{50EA3651-267B-4C72-8FEF-EA2A9B4442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837473B0-CC2E-450A-ABE3-18F120FF3D39}">
              <a1611:picAttrSrcUrl xmlns:a1611="http://schemas.microsoft.com/office/drawing/2016/11/main" r:id="rId15"/>
            </a:ext>
          </a:extLst>
        </a:blip>
        <a:stretch>
          <a:fillRect/>
        </a:stretch>
      </xdr:blipFill>
      <xdr:spPr>
        <a:xfrm>
          <a:off x="5848350" y="4210050"/>
          <a:ext cx="1163439" cy="950975"/>
        </a:xfrm>
        <a:prstGeom prst="rect">
          <a:avLst/>
        </a:prstGeom>
      </xdr:spPr>
    </xdr:pic>
    <xdr:clientData/>
  </xdr:oneCellAnchor>
  <xdr:twoCellAnchor editAs="oneCell">
    <xdr:from>
      <xdr:col>8</xdr:col>
      <xdr:colOff>685801</xdr:colOff>
      <xdr:row>1</xdr:row>
      <xdr:rowOff>38100</xdr:rowOff>
    </xdr:from>
    <xdr:to>
      <xdr:col>11</xdr:col>
      <xdr:colOff>114301</xdr:colOff>
      <xdr:row>3</xdr:row>
      <xdr:rowOff>173608</xdr:rowOff>
    </xdr:to>
    <xdr:pic>
      <xdr:nvPicPr>
        <xdr:cNvPr id="13" name="Imagen 12">
          <a:extLst>
            <a:ext uri="{FF2B5EF4-FFF2-40B4-BE49-F238E27FC236}">
              <a16:creationId xmlns:a16="http://schemas.microsoft.com/office/drawing/2014/main" id="{20C7C106-A207-478B-A6D6-3E6940A30D41}"/>
            </a:ext>
          </a:extLst>
        </xdr:cNvPr>
        <xdr:cNvPicPr>
          <a:picLocks noChangeAspect="1"/>
        </xdr:cNvPicPr>
      </xdr:nvPicPr>
      <xdr:blipFill>
        <a:blip xmlns:r="http://schemas.openxmlformats.org/officeDocument/2006/relationships" r:embed="rId20"/>
        <a:stretch>
          <a:fillRect/>
        </a:stretch>
      </xdr:blipFill>
      <xdr:spPr>
        <a:xfrm>
          <a:off x="6781801" y="238125"/>
          <a:ext cx="1714500" cy="5165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937532</xdr:colOff>
      <xdr:row>0</xdr:row>
      <xdr:rowOff>0</xdr:rowOff>
    </xdr:from>
    <xdr:ext cx="1827439" cy="793750"/>
    <xdr:pic>
      <xdr:nvPicPr>
        <xdr:cNvPr id="2" name="Imagen 1">
          <a:extLst>
            <a:ext uri="{FF2B5EF4-FFF2-40B4-BE49-F238E27FC236}">
              <a16:creationId xmlns:a16="http://schemas.microsoft.com/office/drawing/2014/main" id="{54D06206-40D8-4675-93C5-85766327090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657" y="0"/>
          <a:ext cx="1827439" cy="7937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25</xdr:col>
      <xdr:colOff>1314450</xdr:colOff>
      <xdr:row>0</xdr:row>
      <xdr:rowOff>0</xdr:rowOff>
    </xdr:from>
    <xdr:to>
      <xdr:col>27</xdr:col>
      <xdr:colOff>1028700</xdr:colOff>
      <xdr:row>2</xdr:row>
      <xdr:rowOff>190442</xdr:rowOff>
    </xdr:to>
    <xdr:pic>
      <xdr:nvPicPr>
        <xdr:cNvPr id="5" name="Imagen 4">
          <a:extLst>
            <a:ext uri="{FF2B5EF4-FFF2-40B4-BE49-F238E27FC236}">
              <a16:creationId xmlns:a16="http://schemas.microsoft.com/office/drawing/2014/main" id="{C6F28B4E-B5B4-4B1D-A1E3-BB79AA01314D}"/>
            </a:ext>
          </a:extLst>
        </xdr:cNvPr>
        <xdr:cNvPicPr>
          <a:picLocks noChangeAspect="1"/>
        </xdr:cNvPicPr>
      </xdr:nvPicPr>
      <xdr:blipFill>
        <a:blip xmlns:r="http://schemas.openxmlformats.org/officeDocument/2006/relationships" r:embed="rId2"/>
        <a:stretch>
          <a:fillRect/>
        </a:stretch>
      </xdr:blipFill>
      <xdr:spPr>
        <a:xfrm>
          <a:off x="34461450" y="0"/>
          <a:ext cx="2476500" cy="7428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1651907</xdr:colOff>
      <xdr:row>0</xdr:row>
      <xdr:rowOff>0</xdr:rowOff>
    </xdr:from>
    <xdr:to>
      <xdr:col>0</xdr:col>
      <xdr:colOff>2809874</xdr:colOff>
      <xdr:row>2</xdr:row>
      <xdr:rowOff>171450</xdr:rowOff>
    </xdr:to>
    <xdr:pic>
      <xdr:nvPicPr>
        <xdr:cNvPr id="2" name="Imagen 1">
          <a:extLst>
            <a:ext uri="{FF2B5EF4-FFF2-40B4-BE49-F238E27FC236}">
              <a16:creationId xmlns:a16="http://schemas.microsoft.com/office/drawing/2014/main" id="{ED97033B-92D3-4F73-B1D1-7CAC2F7AD9F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1907"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38101</xdr:colOff>
      <xdr:row>15</xdr:row>
      <xdr:rowOff>28575</xdr:rowOff>
    </xdr:from>
    <xdr:to>
      <xdr:col>0</xdr:col>
      <xdr:colOff>3590925</xdr:colOff>
      <xdr:row>25</xdr:row>
      <xdr:rowOff>128888</xdr:rowOff>
    </xdr:to>
    <xdr:pic>
      <xdr:nvPicPr>
        <xdr:cNvPr id="5" name="Imagen 4">
          <a:extLst>
            <a:ext uri="{FF2B5EF4-FFF2-40B4-BE49-F238E27FC236}">
              <a16:creationId xmlns:a16="http://schemas.microsoft.com/office/drawing/2014/main" id="{6C2744C2-E754-4075-983C-6313A591B4E6}"/>
            </a:ext>
          </a:extLst>
        </xdr:cNvPr>
        <xdr:cNvPicPr>
          <a:picLocks noChangeAspect="1"/>
        </xdr:cNvPicPr>
      </xdr:nvPicPr>
      <xdr:blipFill>
        <a:blip xmlns:r="http://schemas.openxmlformats.org/officeDocument/2006/relationships" r:embed="rId2"/>
        <a:stretch>
          <a:fillRect/>
        </a:stretch>
      </xdr:blipFill>
      <xdr:spPr>
        <a:xfrm>
          <a:off x="38101" y="3543300"/>
          <a:ext cx="3552824" cy="2005313"/>
        </a:xfrm>
        <a:prstGeom prst="rect">
          <a:avLst/>
        </a:prstGeom>
      </xdr:spPr>
    </xdr:pic>
    <xdr:clientData/>
  </xdr:twoCellAnchor>
  <xdr:twoCellAnchor editAs="oneCell">
    <xdr:from>
      <xdr:col>0</xdr:col>
      <xdr:colOff>3638550</xdr:colOff>
      <xdr:row>15</xdr:row>
      <xdr:rowOff>28575</xdr:rowOff>
    </xdr:from>
    <xdr:to>
      <xdr:col>8</xdr:col>
      <xdr:colOff>9525</xdr:colOff>
      <xdr:row>25</xdr:row>
      <xdr:rowOff>128888</xdr:rowOff>
    </xdr:to>
    <xdr:pic>
      <xdr:nvPicPr>
        <xdr:cNvPr id="6" name="Imagen 5">
          <a:extLst>
            <a:ext uri="{FF2B5EF4-FFF2-40B4-BE49-F238E27FC236}">
              <a16:creationId xmlns:a16="http://schemas.microsoft.com/office/drawing/2014/main" id="{3302B0FE-3EB6-42E8-8F12-5BA71A021F10}"/>
            </a:ext>
          </a:extLst>
        </xdr:cNvPr>
        <xdr:cNvPicPr>
          <a:picLocks noChangeAspect="1"/>
        </xdr:cNvPicPr>
      </xdr:nvPicPr>
      <xdr:blipFill>
        <a:blip xmlns:r="http://schemas.openxmlformats.org/officeDocument/2006/relationships" r:embed="rId3"/>
        <a:stretch>
          <a:fillRect/>
        </a:stretch>
      </xdr:blipFill>
      <xdr:spPr>
        <a:xfrm>
          <a:off x="3638550" y="3543300"/>
          <a:ext cx="3448050" cy="2005313"/>
        </a:xfrm>
        <a:prstGeom prst="rect">
          <a:avLst/>
        </a:prstGeom>
      </xdr:spPr>
    </xdr:pic>
    <xdr:clientData/>
  </xdr:twoCellAnchor>
  <xdr:twoCellAnchor editAs="oneCell">
    <xdr:from>
      <xdr:col>57</xdr:col>
      <xdr:colOff>266700</xdr:colOff>
      <xdr:row>0</xdr:row>
      <xdr:rowOff>66675</xdr:rowOff>
    </xdr:from>
    <xdr:to>
      <xdr:col>59</xdr:col>
      <xdr:colOff>457200</xdr:colOff>
      <xdr:row>3</xdr:row>
      <xdr:rowOff>2158</xdr:rowOff>
    </xdr:to>
    <xdr:pic>
      <xdr:nvPicPr>
        <xdr:cNvPr id="7" name="Imagen 6">
          <a:extLst>
            <a:ext uri="{FF2B5EF4-FFF2-40B4-BE49-F238E27FC236}">
              <a16:creationId xmlns:a16="http://schemas.microsoft.com/office/drawing/2014/main" id="{C619D03C-B2B4-4D8F-ADB3-454B68AD6E62}"/>
            </a:ext>
          </a:extLst>
        </xdr:cNvPr>
        <xdr:cNvPicPr>
          <a:picLocks noChangeAspect="1"/>
        </xdr:cNvPicPr>
      </xdr:nvPicPr>
      <xdr:blipFill>
        <a:blip xmlns:r="http://schemas.openxmlformats.org/officeDocument/2006/relationships" r:embed="rId4"/>
        <a:stretch>
          <a:fillRect/>
        </a:stretch>
      </xdr:blipFill>
      <xdr:spPr>
        <a:xfrm>
          <a:off x="11134725" y="66675"/>
          <a:ext cx="1714500" cy="5165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182F02A2-4DB0-417C-A825-13326FF0B3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352425</xdr:colOff>
      <xdr:row>16</xdr:row>
      <xdr:rowOff>95250</xdr:rowOff>
    </xdr:from>
    <xdr:to>
      <xdr:col>2</xdr:col>
      <xdr:colOff>485774</xdr:colOff>
      <xdr:row>27</xdr:row>
      <xdr:rowOff>5063</xdr:rowOff>
    </xdr:to>
    <xdr:pic>
      <xdr:nvPicPr>
        <xdr:cNvPr id="5" name="Imagen 4">
          <a:extLst>
            <a:ext uri="{FF2B5EF4-FFF2-40B4-BE49-F238E27FC236}">
              <a16:creationId xmlns:a16="http://schemas.microsoft.com/office/drawing/2014/main" id="{95C2BD70-D235-41B0-8E60-5C9A1551E39A}"/>
            </a:ext>
          </a:extLst>
        </xdr:cNvPr>
        <xdr:cNvPicPr>
          <a:picLocks noChangeAspect="1"/>
        </xdr:cNvPicPr>
      </xdr:nvPicPr>
      <xdr:blipFill>
        <a:blip xmlns:r="http://schemas.openxmlformats.org/officeDocument/2006/relationships" r:embed="rId2"/>
        <a:stretch>
          <a:fillRect/>
        </a:stretch>
      </xdr:blipFill>
      <xdr:spPr>
        <a:xfrm>
          <a:off x="352425" y="8629650"/>
          <a:ext cx="3552824" cy="2005313"/>
        </a:xfrm>
        <a:prstGeom prst="rect">
          <a:avLst/>
        </a:prstGeom>
      </xdr:spPr>
    </xdr:pic>
    <xdr:clientData/>
  </xdr:twoCellAnchor>
  <xdr:twoCellAnchor editAs="oneCell">
    <xdr:from>
      <xdr:col>2</xdr:col>
      <xdr:colOff>561975</xdr:colOff>
      <xdr:row>16</xdr:row>
      <xdr:rowOff>95250</xdr:rowOff>
    </xdr:from>
    <xdr:to>
      <xdr:col>12</xdr:col>
      <xdr:colOff>114300</xdr:colOff>
      <xdr:row>27</xdr:row>
      <xdr:rowOff>5063</xdr:rowOff>
    </xdr:to>
    <xdr:pic>
      <xdr:nvPicPr>
        <xdr:cNvPr id="6" name="Imagen 5">
          <a:extLst>
            <a:ext uri="{FF2B5EF4-FFF2-40B4-BE49-F238E27FC236}">
              <a16:creationId xmlns:a16="http://schemas.microsoft.com/office/drawing/2014/main" id="{803CCDA0-5A2E-4334-9FE6-DA947BECD412}"/>
            </a:ext>
          </a:extLst>
        </xdr:cNvPr>
        <xdr:cNvPicPr>
          <a:picLocks noChangeAspect="1"/>
        </xdr:cNvPicPr>
      </xdr:nvPicPr>
      <xdr:blipFill>
        <a:blip xmlns:r="http://schemas.openxmlformats.org/officeDocument/2006/relationships" r:embed="rId3"/>
        <a:stretch>
          <a:fillRect/>
        </a:stretch>
      </xdr:blipFill>
      <xdr:spPr>
        <a:xfrm>
          <a:off x="3981450" y="8629650"/>
          <a:ext cx="3448050" cy="2005313"/>
        </a:xfrm>
        <a:prstGeom prst="rect">
          <a:avLst/>
        </a:prstGeom>
      </xdr:spPr>
    </xdr:pic>
    <xdr:clientData/>
  </xdr:twoCellAnchor>
  <xdr:twoCellAnchor editAs="oneCell">
    <xdr:from>
      <xdr:col>53</xdr:col>
      <xdr:colOff>323850</xdr:colOff>
      <xdr:row>0</xdr:row>
      <xdr:rowOff>114300</xdr:rowOff>
    </xdr:from>
    <xdr:to>
      <xdr:col>55</xdr:col>
      <xdr:colOff>514350</xdr:colOff>
      <xdr:row>2</xdr:row>
      <xdr:rowOff>116458</xdr:rowOff>
    </xdr:to>
    <xdr:pic>
      <xdr:nvPicPr>
        <xdr:cNvPr id="7" name="Imagen 6">
          <a:extLst>
            <a:ext uri="{FF2B5EF4-FFF2-40B4-BE49-F238E27FC236}">
              <a16:creationId xmlns:a16="http://schemas.microsoft.com/office/drawing/2014/main" id="{11CB4D24-7EA5-4231-8A1E-4CCBEDFDF0E1}"/>
            </a:ext>
          </a:extLst>
        </xdr:cNvPr>
        <xdr:cNvPicPr>
          <a:picLocks noChangeAspect="1"/>
        </xdr:cNvPicPr>
      </xdr:nvPicPr>
      <xdr:blipFill>
        <a:blip xmlns:r="http://schemas.openxmlformats.org/officeDocument/2006/relationships" r:embed="rId4"/>
        <a:stretch>
          <a:fillRect/>
        </a:stretch>
      </xdr:blipFill>
      <xdr:spPr>
        <a:xfrm>
          <a:off x="8077200" y="114300"/>
          <a:ext cx="1714500" cy="5165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994682</xdr:colOff>
      <xdr:row>0</xdr:row>
      <xdr:rowOff>0</xdr:rowOff>
    </xdr:from>
    <xdr:ext cx="1157967" cy="552450"/>
    <xdr:pic>
      <xdr:nvPicPr>
        <xdr:cNvPr id="2" name="Imagen 1">
          <a:extLst>
            <a:ext uri="{FF2B5EF4-FFF2-40B4-BE49-F238E27FC236}">
              <a16:creationId xmlns:a16="http://schemas.microsoft.com/office/drawing/2014/main" id="{32A6FA74-CC19-41B4-ADD3-76067F3039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4682" y="0"/>
          <a:ext cx="1157967" cy="55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119105</xdr:colOff>
      <xdr:row>15</xdr:row>
      <xdr:rowOff>107156</xdr:rowOff>
    </xdr:from>
    <xdr:to>
      <xdr:col>2</xdr:col>
      <xdr:colOff>254835</xdr:colOff>
      <xdr:row>26</xdr:row>
      <xdr:rowOff>16969</xdr:rowOff>
    </xdr:to>
    <xdr:pic>
      <xdr:nvPicPr>
        <xdr:cNvPr id="5" name="Imagen 4">
          <a:extLst>
            <a:ext uri="{FF2B5EF4-FFF2-40B4-BE49-F238E27FC236}">
              <a16:creationId xmlns:a16="http://schemas.microsoft.com/office/drawing/2014/main" id="{99754AFC-2ECA-48DD-934E-0631CBB0DBB3}"/>
            </a:ext>
          </a:extLst>
        </xdr:cNvPr>
        <xdr:cNvPicPr>
          <a:picLocks noChangeAspect="1"/>
        </xdr:cNvPicPr>
      </xdr:nvPicPr>
      <xdr:blipFill>
        <a:blip xmlns:r="http://schemas.openxmlformats.org/officeDocument/2006/relationships" r:embed="rId2"/>
        <a:stretch>
          <a:fillRect/>
        </a:stretch>
      </xdr:blipFill>
      <xdr:spPr>
        <a:xfrm>
          <a:off x="119105" y="5429250"/>
          <a:ext cx="3552824" cy="2005313"/>
        </a:xfrm>
        <a:prstGeom prst="rect">
          <a:avLst/>
        </a:prstGeom>
      </xdr:spPr>
    </xdr:pic>
    <xdr:clientData/>
  </xdr:twoCellAnchor>
  <xdr:twoCellAnchor editAs="oneCell">
    <xdr:from>
      <xdr:col>2</xdr:col>
      <xdr:colOff>843004</xdr:colOff>
      <xdr:row>15</xdr:row>
      <xdr:rowOff>107156</xdr:rowOff>
    </xdr:from>
    <xdr:to>
      <xdr:col>13</xdr:col>
      <xdr:colOff>123867</xdr:colOff>
      <xdr:row>26</xdr:row>
      <xdr:rowOff>16969</xdr:rowOff>
    </xdr:to>
    <xdr:pic>
      <xdr:nvPicPr>
        <xdr:cNvPr id="6" name="Imagen 5">
          <a:extLst>
            <a:ext uri="{FF2B5EF4-FFF2-40B4-BE49-F238E27FC236}">
              <a16:creationId xmlns:a16="http://schemas.microsoft.com/office/drawing/2014/main" id="{3D092D7F-315B-43B9-91D9-0F8E1FE1808B}"/>
            </a:ext>
          </a:extLst>
        </xdr:cNvPr>
        <xdr:cNvPicPr>
          <a:picLocks noChangeAspect="1"/>
        </xdr:cNvPicPr>
      </xdr:nvPicPr>
      <xdr:blipFill>
        <a:blip xmlns:r="http://schemas.openxmlformats.org/officeDocument/2006/relationships" r:embed="rId3"/>
        <a:stretch>
          <a:fillRect/>
        </a:stretch>
      </xdr:blipFill>
      <xdr:spPr>
        <a:xfrm>
          <a:off x="4260098" y="5738812"/>
          <a:ext cx="3448050" cy="2005313"/>
        </a:xfrm>
        <a:prstGeom prst="rect">
          <a:avLst/>
        </a:prstGeom>
      </xdr:spPr>
    </xdr:pic>
    <xdr:clientData/>
  </xdr:twoCellAnchor>
  <xdr:twoCellAnchor editAs="oneCell">
    <xdr:from>
      <xdr:col>53</xdr:col>
      <xdr:colOff>35719</xdr:colOff>
      <xdr:row>0</xdr:row>
      <xdr:rowOff>142874</xdr:rowOff>
    </xdr:from>
    <xdr:to>
      <xdr:col>55</xdr:col>
      <xdr:colOff>226219</xdr:colOff>
      <xdr:row>1</xdr:row>
      <xdr:rowOff>337913</xdr:rowOff>
    </xdr:to>
    <xdr:pic>
      <xdr:nvPicPr>
        <xdr:cNvPr id="7" name="Imagen 6">
          <a:extLst>
            <a:ext uri="{FF2B5EF4-FFF2-40B4-BE49-F238E27FC236}">
              <a16:creationId xmlns:a16="http://schemas.microsoft.com/office/drawing/2014/main" id="{E5ED71A3-29CE-48F8-AD11-8C0D421F8A9E}"/>
            </a:ext>
          </a:extLst>
        </xdr:cNvPr>
        <xdr:cNvPicPr>
          <a:picLocks noChangeAspect="1"/>
        </xdr:cNvPicPr>
      </xdr:nvPicPr>
      <xdr:blipFill>
        <a:blip xmlns:r="http://schemas.openxmlformats.org/officeDocument/2006/relationships" r:embed="rId4"/>
        <a:stretch>
          <a:fillRect/>
        </a:stretch>
      </xdr:blipFill>
      <xdr:spPr>
        <a:xfrm>
          <a:off x="11941969" y="142874"/>
          <a:ext cx="1714500" cy="5165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con%20ajustes%20PA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ES-F07-08_Plan_Accion_con_Cuadro_de_Mando_V03%20publicac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Users\norela.briceno\Documents\Plan%20de%20acci&#243;n\Plan%20Accion%202018\Plan%20Accion%20Integrado%20ADRES%20Vigencia%202018%20con%20Cuadro%20de%20Mando%20V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Avances%204&#176;%20Trimestre%20Plan%20Accion%20Integrado%20ADRES%202018%20con%20Cuadro%20de%20Mando%20Public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FBI6K8AZ/Copia%20de%20Plan%20Accion%20ADRES%20Vigencia%202018%20con%20Cuadro%20de%20Man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ndo.castro/Documents/Fcastro/Plan%20de%20acci&#243;n%202019/DIES-F07-08_Plan_Accion_2019_V01%20aprobado%20publicaci&#243;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tha.serna/ADRES/DIANA%20FERNANDA%20FORERO%20CORREDOR%20-%20GRUPO%20GESTI&#211;N%20DE%20SERVICIO%20AL%20CIUDADANO/Plan%20Accion%20Integrado%20ADRES%20Vigencia%202018%20%20con%20cuadro%20de%20mando%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4%20Otros%20planes%20T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Plan_Accion_2019_OCI_V0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on%202018/Plan%20Accion%20Integrado%20ADRES%20Vigencia%202018%20con%20Cuadro%20de%20Mando%20V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orela.briceno/Documents/Plan%20de%20acci&#243;n/Plan%20Acci&#243;n%202019/DIES-F07-08_Plan_Accion_con_Cuadro_de_Mando_V03%20Preliminar%20DGT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orela.briceno/AppData/Local/Microsoft/Windows/INetCache/Content.Outlook/23KQLUMF/DIES-F07-08_Plan_Accion_2019_V01%20aprobado%20public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Estadística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Proyectos estrat"/>
      <sheetName val="Plan de Accion Misional"/>
      <sheetName val="Plan de Accion apoyo transversa"/>
      <sheetName val="Plan de Accion ajustes normativ"/>
      <sheetName val="Excepciones presupuestales"/>
      <sheetName val="Cuadro Mando Integral Seguimien"/>
      <sheetName val="Cuadro Mando Integral Detallado"/>
      <sheetName val="Cumplimiento perspectivas conso"/>
      <sheetName val="Cumplimiento de objetivos"/>
      <sheetName val="Cumplimiento Tipo de Plan"/>
      <sheetName val="Cumplimiento Dependencias"/>
      <sheetName val="TAB. REF. PA"/>
      <sheetName val="Estadísticas"/>
      <sheetName val="Actividades relevantes Detalle"/>
      <sheetName val="PLAN DE ADQUISIONES COMPILADO"/>
    </sheetNames>
    <sheetDataSet>
      <sheetData sheetId="0"/>
      <sheetData sheetId="1"/>
      <sheetData sheetId="2">
        <row r="37">
          <cell r="P37">
            <v>42159994067.800003</v>
          </cell>
        </row>
      </sheetData>
      <sheetData sheetId="3">
        <row r="21">
          <cell r="N21">
            <v>909976656</v>
          </cell>
        </row>
      </sheetData>
      <sheetData sheetId="4">
        <row r="179">
          <cell r="AC179">
            <v>6693994995.0797157</v>
          </cell>
        </row>
      </sheetData>
      <sheetData sheetId="5">
        <row r="11">
          <cell r="N11">
            <v>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Final"/>
      <sheetName val="Hoja2"/>
      <sheetName val="Plan de Accion 2018"/>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 val="TAB. REF. PA"/>
    </sheetNames>
    <sheetDataSet>
      <sheetData sheetId="0"/>
      <sheetData sheetId="1"/>
      <sheetData sheetId="2">
        <row r="326">
          <cell r="L326">
            <v>42726949922000</v>
          </cell>
        </row>
        <row r="327">
          <cell r="L327">
            <v>123940944854</v>
          </cell>
          <cell r="AC327">
            <v>10741284867605.9</v>
          </cell>
        </row>
        <row r="328">
          <cell r="AC328">
            <v>17235928559.849998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Actividades relevantes Detalle"/>
      <sheetName val="PLAN DE ADQUISIONES COMPILAD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2018"/>
      <sheetName val="Cuadro Mando Integral Seguimien"/>
      <sheetName val="Cuadro Mando Integral Detallado"/>
      <sheetName val="Cumplimiento perspectivas conso"/>
      <sheetName val="Cumplimiento de objetivos"/>
      <sheetName val="Cumplimiento Dependencias"/>
      <sheetName val="Cumplimi actividades relevantes"/>
      <sheetName val="Control de Cambio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Resumen"/>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REF.PA"/>
      <sheetName val="Plan de Accion Final"/>
      <sheetName val="Hoja2"/>
      <sheetName val="Plan de Accion (2)"/>
      <sheetName val="Plan de Accion"/>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2018"/>
      <sheetName val="TAB. REF. PA"/>
      <sheetName val="Plan de Accion Final"/>
      <sheetName val="Hoja2"/>
      <sheetName val="Cuadro Mando Integral Seguimien"/>
      <sheetName val="Cumplimiento perspectivas conso"/>
      <sheetName val="Cuadro Mando Integral Detallado"/>
      <sheetName val="Cumplimiento perspectivas Mejor"/>
      <sheetName val="Cumplimiento de objetivos"/>
      <sheetName val="Cumplimi actividades relevantes"/>
      <sheetName val="Cumplimiento de objetivos Mejor"/>
      <sheetName val="Cumplimiento Dependencias"/>
      <sheetName val="Cumplimiento Dependencias Mejor"/>
      <sheetName val="Ejecución Presupuestal"/>
      <sheetName val="Control de Cambios"/>
      <sheetName val="Actividades relevantes Detalle"/>
      <sheetName val="PLAN DE ADQUISIONES COMPILADO"/>
    </sheetNames>
    <sheetDataSet>
      <sheetData sheetId="0">
        <row r="283">
          <cell r="B283" t="str">
            <v xml:space="preserve">Dirección de Otras Prestaciones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Final"/>
      <sheetName val="Hoja2"/>
      <sheetName val="Plan de Accion Proyectos estrat"/>
      <sheetName val="Plan de Accion apoyo transversa"/>
      <sheetName val="Plan de Accion ajustes normativ"/>
      <sheetName val="Cuadro Mando Integral Seguimien"/>
      <sheetName val="Cuadro Mando Integral Detallado"/>
      <sheetName val="Cumplimiento perspectivas conso"/>
      <sheetName val="Cumplimiento de objetivos"/>
      <sheetName val="Cumplimiento Dependencias"/>
      <sheetName val="Cumplimiento Tipo de Plan"/>
      <sheetName val="Cumplimi actividades relevantes"/>
      <sheetName val="Actividades relevantes Detalle"/>
      <sheetName val="PLAN DE ADQUISIONES COMPILA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REF. PA"/>
      <sheetName val="Plan de Accion Proyectos estrat"/>
      <sheetName val="Plan de Accion Misional"/>
      <sheetName val="Plan de Accion apoyo transversa"/>
      <sheetName val="Plan de Accion ajustes normativ"/>
      <sheetName val="Control de Cambios"/>
    </sheetNames>
    <sheetDataSet>
      <sheetData sheetId="0" refreshError="1"/>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5"/>
  <sheetViews>
    <sheetView showGridLines="0" tabSelected="1" zoomScale="80" zoomScaleNormal="80" workbookViewId="0">
      <pane ySplit="8" topLeftCell="A11" activePane="bottomLeft" state="frozen"/>
      <selection pane="bottomLeft" activeCell="F12" sqref="F12"/>
    </sheetView>
  </sheetViews>
  <sheetFormatPr baseColWidth="10" defaultRowHeight="14.25" x14ac:dyDescent="0.2"/>
  <cols>
    <col min="1" max="1" width="17.85546875" style="130" customWidth="1"/>
    <col min="2" max="2" width="30.42578125" style="130" bestFit="1" customWidth="1"/>
    <col min="3" max="3" width="10.28515625" style="132" customWidth="1"/>
    <col min="4" max="5" width="7.85546875" style="132" customWidth="1"/>
    <col min="6" max="6" width="17.5703125" style="130" customWidth="1"/>
    <col min="7" max="7" width="38.28515625" style="130" customWidth="1"/>
    <col min="8" max="8" width="18.5703125" style="130" customWidth="1"/>
    <col min="9" max="9" width="29.140625" style="130" customWidth="1"/>
    <col min="10" max="10" width="15.7109375" style="130" customWidth="1"/>
    <col min="11" max="11" width="26.140625" style="130" customWidth="1"/>
    <col min="12" max="12" width="12.85546875" style="132" customWidth="1"/>
    <col min="13" max="13" width="15.42578125" style="130" customWidth="1"/>
    <col min="14" max="14" width="14.5703125" style="130" customWidth="1"/>
    <col min="15" max="15" width="29.85546875" style="130" customWidth="1"/>
    <col min="16" max="16" width="23.5703125" style="130" customWidth="1"/>
    <col min="17" max="17" width="17.28515625" style="130" customWidth="1"/>
    <col min="18" max="18" width="21.42578125" style="130" customWidth="1"/>
    <col min="19" max="19" width="23.7109375" style="130" customWidth="1"/>
    <col min="20" max="20" width="25.7109375" style="130" customWidth="1"/>
    <col min="21" max="21" width="35" style="130" customWidth="1"/>
    <col min="22" max="22" width="19.85546875" style="130" customWidth="1"/>
    <col min="23" max="23" width="33.7109375" style="130" customWidth="1"/>
    <col min="24" max="24" width="26.5703125" style="130" customWidth="1"/>
    <col min="25" max="25" width="28.28515625" style="130" customWidth="1"/>
    <col min="26" max="26" width="13.140625" style="130" customWidth="1"/>
    <col min="27" max="27" width="35.7109375" style="130" customWidth="1"/>
    <col min="28" max="28" width="27.7109375" style="130" customWidth="1"/>
    <col min="29" max="29" width="18" style="130" customWidth="1"/>
    <col min="30" max="30" width="13.85546875" style="129" customWidth="1"/>
    <col min="31" max="31" width="35.7109375" style="129" customWidth="1"/>
    <col min="32" max="32" width="27.7109375" style="129" customWidth="1"/>
    <col min="33" max="33" width="13.5703125" style="129" customWidth="1"/>
    <col min="34" max="34" width="27.7109375" style="129" customWidth="1"/>
    <col min="35" max="35" width="11.42578125" style="129" customWidth="1"/>
    <col min="36" max="36" width="15.7109375" style="129" customWidth="1"/>
    <col min="37" max="37" width="11.42578125" style="129" customWidth="1"/>
    <col min="38" max="38" width="15.7109375" style="129" customWidth="1"/>
    <col min="39" max="39" width="50.7109375" style="129" customWidth="1"/>
    <col min="40" max="40" width="13.7109375" style="129" customWidth="1"/>
    <col min="41" max="41" width="35.7109375" style="129" customWidth="1"/>
    <col min="42" max="42" width="27.7109375" style="129" customWidth="1"/>
    <col min="43" max="43" width="17.140625" style="129" customWidth="1"/>
    <col min="44" max="44" width="27.7109375" style="129" customWidth="1"/>
    <col min="45" max="45" width="13.7109375" style="129" customWidth="1"/>
    <col min="46" max="46" width="15.7109375" style="129" customWidth="1"/>
    <col min="47" max="47" width="13.7109375" style="129" customWidth="1"/>
    <col min="48" max="48" width="15.7109375" style="129" customWidth="1"/>
    <col min="49" max="49" width="50.7109375" style="129" customWidth="1"/>
    <col min="50" max="50" width="13.7109375" style="129" customWidth="1"/>
    <col min="51" max="51" width="35.7109375" style="129" customWidth="1"/>
    <col min="52" max="52" width="27.7109375" style="129" customWidth="1"/>
    <col min="53" max="53" width="18" style="129" customWidth="1"/>
    <col min="54" max="54" width="27.7109375" style="129" customWidth="1"/>
    <col min="55" max="55" width="13.7109375" style="129" customWidth="1"/>
    <col min="56" max="56" width="15.7109375" style="129" customWidth="1"/>
    <col min="57" max="57" width="13.7109375" style="129" customWidth="1"/>
    <col min="58" max="58" width="15.7109375" style="129" customWidth="1"/>
    <col min="59" max="59" width="50.7109375" style="129" customWidth="1"/>
    <col min="60" max="60" width="13.7109375" style="129" customWidth="1"/>
    <col min="61" max="61" width="35.7109375" style="129" customWidth="1"/>
    <col min="62" max="62" width="27.7109375" style="129" customWidth="1"/>
    <col min="63" max="63" width="13.7109375" style="129" customWidth="1"/>
    <col min="64" max="64" width="27.7109375" style="129" customWidth="1"/>
    <col min="65" max="65" width="13.7109375" style="129" customWidth="1"/>
    <col min="66" max="66" width="15.7109375" style="129" customWidth="1"/>
    <col min="67" max="67" width="13.7109375" style="129" customWidth="1"/>
    <col min="68" max="68" width="15.7109375" style="129" customWidth="1"/>
    <col min="69" max="69" width="50.7109375" style="129" customWidth="1"/>
    <col min="70" max="70" width="13.7109375" style="129" customWidth="1"/>
    <col min="71" max="71" width="15.7109375" style="129" customWidth="1"/>
    <col min="72" max="72" width="15.42578125" style="129" customWidth="1"/>
    <col min="73" max="73" width="15.7109375" style="129" customWidth="1"/>
    <col min="74" max="74" width="13.7109375" style="129" customWidth="1"/>
    <col min="75" max="75" width="15.7109375" style="129" customWidth="1"/>
    <col min="76" max="76" width="13.7109375" style="129" customWidth="1"/>
    <col min="77" max="77" width="15.7109375" style="129" customWidth="1"/>
    <col min="78" max="78" width="17.5703125" style="129" hidden="1" customWidth="1"/>
    <col min="79" max="79" width="19.7109375" style="129" bestFit="1" customWidth="1"/>
    <col min="80" max="16384" width="11.42578125" style="129"/>
  </cols>
  <sheetData>
    <row r="1" spans="1:79" ht="22.5" customHeight="1" x14ac:dyDescent="0.2">
      <c r="A1" s="1099"/>
      <c r="B1" s="1100"/>
      <c r="C1" s="1105" t="s">
        <v>246</v>
      </c>
      <c r="D1" s="1106"/>
      <c r="E1" s="1106"/>
      <c r="F1" s="1106"/>
      <c r="G1" s="1106"/>
      <c r="H1" s="1106"/>
      <c r="I1" s="1106"/>
      <c r="J1" s="1107"/>
      <c r="K1" s="1108" t="s">
        <v>247</v>
      </c>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9"/>
      <c r="BV1" s="1120"/>
      <c r="BW1" s="1121"/>
      <c r="BX1" s="1121"/>
      <c r="BY1" s="1121"/>
    </row>
    <row r="2" spans="1:79" ht="24" customHeight="1" x14ac:dyDescent="0.2">
      <c r="A2" s="1101"/>
      <c r="B2" s="1102"/>
      <c r="C2" s="1126" t="s">
        <v>248</v>
      </c>
      <c r="D2" s="1127"/>
      <c r="E2" s="1127"/>
      <c r="F2" s="1127"/>
      <c r="G2" s="1127"/>
      <c r="H2" s="1127"/>
      <c r="I2" s="1127"/>
      <c r="J2" s="1128"/>
      <c r="K2" s="1129" t="s">
        <v>254</v>
      </c>
      <c r="L2" s="1131" t="s">
        <v>250</v>
      </c>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t="s">
        <v>249</v>
      </c>
      <c r="BU2" s="1133">
        <v>2</v>
      </c>
      <c r="BV2" s="1122"/>
      <c r="BW2" s="1123"/>
      <c r="BX2" s="1123"/>
      <c r="BY2" s="1123"/>
    </row>
    <row r="3" spans="1:79" ht="25.5" customHeight="1" thickBot="1" x14ac:dyDescent="0.25">
      <c r="A3" s="1103"/>
      <c r="B3" s="1104"/>
      <c r="C3" s="1135" t="s">
        <v>242</v>
      </c>
      <c r="D3" s="1136"/>
      <c r="E3" s="1136"/>
      <c r="F3" s="1136"/>
      <c r="G3" s="1136"/>
      <c r="H3" s="1136"/>
      <c r="I3" s="1136"/>
      <c r="J3" s="1137"/>
      <c r="K3" s="1130"/>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4"/>
      <c r="BV3" s="1124"/>
      <c r="BW3" s="1125"/>
      <c r="BX3" s="1125"/>
      <c r="BY3" s="1125"/>
    </row>
    <row r="4" spans="1:79" ht="15" x14ac:dyDescent="0.2">
      <c r="C4" s="130"/>
      <c r="D4" s="130"/>
      <c r="E4" s="130"/>
      <c r="G4" s="131"/>
      <c r="H4" s="131"/>
      <c r="I4" s="131"/>
      <c r="J4" s="131"/>
      <c r="K4" s="131"/>
      <c r="L4" s="131"/>
      <c r="M4" s="131"/>
      <c r="N4" s="131"/>
      <c r="O4" s="131"/>
      <c r="P4" s="131"/>
      <c r="Q4" s="131"/>
      <c r="R4" s="131"/>
    </row>
    <row r="5" spans="1:79" s="78" customFormat="1" ht="12.75" x14ac:dyDescent="0.2">
      <c r="A5" s="134" t="s">
        <v>346</v>
      </c>
      <c r="B5" s="22"/>
      <c r="C5" s="22"/>
      <c r="D5" s="22"/>
      <c r="E5" s="22"/>
      <c r="F5" s="22"/>
      <c r="G5" s="1116"/>
      <c r="H5" s="1116"/>
      <c r="I5" s="1116"/>
      <c r="J5" s="1116"/>
      <c r="K5" s="1116"/>
      <c r="L5" s="1116"/>
      <c r="M5" s="1116"/>
      <c r="N5" s="1116"/>
      <c r="O5" s="1116"/>
      <c r="P5" s="1116"/>
      <c r="Q5" s="1116"/>
      <c r="R5" s="1116"/>
      <c r="S5" s="22"/>
      <c r="T5" s="135"/>
      <c r="U5" s="22"/>
      <c r="V5" s="22"/>
      <c r="W5" s="22"/>
      <c r="X5" s="22"/>
      <c r="Y5" s="22"/>
      <c r="Z5" s="22"/>
      <c r="AA5" s="22"/>
      <c r="AB5" s="22"/>
      <c r="AC5" s="22"/>
    </row>
    <row r="6" spans="1:79" s="78" customFormat="1" ht="13.5" thickBot="1" x14ac:dyDescent="0.25">
      <c r="A6" s="134"/>
      <c r="B6" s="22"/>
      <c r="C6" s="22"/>
      <c r="D6" s="22"/>
      <c r="E6" s="22"/>
      <c r="F6" s="22"/>
      <c r="G6" s="163"/>
      <c r="H6" s="163"/>
      <c r="I6" s="163"/>
      <c r="J6" s="163"/>
      <c r="K6" s="163"/>
      <c r="L6" s="163"/>
      <c r="M6" s="163"/>
      <c r="N6" s="163"/>
      <c r="O6" s="163"/>
      <c r="P6" s="163"/>
      <c r="Q6" s="163"/>
      <c r="R6" s="163"/>
      <c r="S6" s="22"/>
      <c r="T6" s="135"/>
      <c r="U6" s="22"/>
      <c r="V6" s="22"/>
      <c r="W6" s="22"/>
      <c r="X6" s="22"/>
      <c r="Y6" s="22"/>
      <c r="Z6" s="22"/>
      <c r="AA6" s="22"/>
      <c r="AB6" s="22"/>
      <c r="AC6" s="22"/>
    </row>
    <row r="7" spans="1:79" s="78" customFormat="1" ht="30" customHeight="1" thickBot="1" x14ac:dyDescent="0.25">
      <c r="A7" s="1149" t="s">
        <v>30</v>
      </c>
      <c r="B7" s="1082" t="s">
        <v>31</v>
      </c>
      <c r="C7" s="1082" t="s">
        <v>255</v>
      </c>
      <c r="D7" s="1144" t="s">
        <v>255</v>
      </c>
      <c r="E7" s="1144"/>
      <c r="F7" s="1082" t="s">
        <v>57</v>
      </c>
      <c r="G7" s="1082" t="s">
        <v>257</v>
      </c>
      <c r="H7" s="1082" t="s">
        <v>256</v>
      </c>
      <c r="I7" s="1082" t="s">
        <v>258</v>
      </c>
      <c r="J7" s="1082" t="s">
        <v>32</v>
      </c>
      <c r="K7" s="1082" t="s">
        <v>49</v>
      </c>
      <c r="L7" s="1082" t="s">
        <v>35</v>
      </c>
      <c r="M7" s="1082" t="s">
        <v>8</v>
      </c>
      <c r="N7" s="1082" t="s">
        <v>33</v>
      </c>
      <c r="O7" s="1082" t="s">
        <v>50</v>
      </c>
      <c r="P7" s="1082" t="s">
        <v>151</v>
      </c>
      <c r="Q7" s="1082" t="s">
        <v>5</v>
      </c>
      <c r="R7" s="1082" t="s">
        <v>37</v>
      </c>
      <c r="S7" s="1082" t="s">
        <v>36</v>
      </c>
      <c r="T7" s="1082" t="s">
        <v>38</v>
      </c>
      <c r="U7" s="1082" t="s">
        <v>39</v>
      </c>
      <c r="V7" s="1082" t="s">
        <v>6</v>
      </c>
      <c r="W7" s="1151" t="s">
        <v>1256</v>
      </c>
      <c r="X7" s="1082" t="s">
        <v>0</v>
      </c>
      <c r="Y7" s="1082" t="s">
        <v>34</v>
      </c>
      <c r="Z7" s="1082" t="s">
        <v>8</v>
      </c>
      <c r="AA7" s="1082" t="s">
        <v>188</v>
      </c>
      <c r="AB7" s="1082" t="s">
        <v>151</v>
      </c>
      <c r="AC7" s="1087" t="s">
        <v>9</v>
      </c>
      <c r="AD7" s="1111" t="s">
        <v>190</v>
      </c>
      <c r="AE7" s="1111"/>
      <c r="AF7" s="1111"/>
      <c r="AG7" s="1111"/>
      <c r="AH7" s="1111"/>
      <c r="AI7" s="1111"/>
      <c r="AJ7" s="1111"/>
      <c r="AK7" s="1111"/>
      <c r="AL7" s="1111"/>
      <c r="AM7" s="1112"/>
      <c r="AN7" s="1113" t="s">
        <v>192</v>
      </c>
      <c r="AO7" s="1114"/>
      <c r="AP7" s="1114"/>
      <c r="AQ7" s="1114"/>
      <c r="AR7" s="1114"/>
      <c r="AS7" s="1114"/>
      <c r="AT7" s="1114"/>
      <c r="AU7" s="1114"/>
      <c r="AV7" s="1114"/>
      <c r="AW7" s="1115"/>
      <c r="AX7" s="1110" t="s">
        <v>191</v>
      </c>
      <c r="AY7" s="1111"/>
      <c r="AZ7" s="1111"/>
      <c r="BA7" s="1111"/>
      <c r="BB7" s="1111"/>
      <c r="BC7" s="1111"/>
      <c r="BD7" s="1111"/>
      <c r="BE7" s="1111"/>
      <c r="BF7" s="1111"/>
      <c r="BG7" s="1112"/>
      <c r="BH7" s="1113" t="s">
        <v>193</v>
      </c>
      <c r="BI7" s="1114"/>
      <c r="BJ7" s="1114"/>
      <c r="BK7" s="1114"/>
      <c r="BL7" s="1114"/>
      <c r="BM7" s="1114"/>
      <c r="BN7" s="1114"/>
      <c r="BO7" s="1114"/>
      <c r="BP7" s="1114"/>
      <c r="BQ7" s="1115"/>
      <c r="BR7" s="1117" t="s">
        <v>1150</v>
      </c>
      <c r="BS7" s="1118"/>
      <c r="BT7" s="1118"/>
      <c r="BU7" s="1118"/>
      <c r="BV7" s="1118"/>
      <c r="BW7" s="1118"/>
      <c r="BX7" s="1118"/>
      <c r="BY7" s="1119"/>
    </row>
    <row r="8" spans="1:79" s="162" customFormat="1" ht="39.75" customHeight="1" x14ac:dyDescent="0.2">
      <c r="A8" s="1150"/>
      <c r="B8" s="1083"/>
      <c r="C8" s="1083"/>
      <c r="D8" s="690">
        <v>2</v>
      </c>
      <c r="E8" s="690">
        <v>3</v>
      </c>
      <c r="F8" s="1083"/>
      <c r="G8" s="1083"/>
      <c r="H8" s="1083"/>
      <c r="I8" s="1083"/>
      <c r="J8" s="1083"/>
      <c r="K8" s="1083"/>
      <c r="L8" s="1083"/>
      <c r="M8" s="1083"/>
      <c r="N8" s="1083"/>
      <c r="O8" s="1083"/>
      <c r="P8" s="1083"/>
      <c r="Q8" s="1083"/>
      <c r="R8" s="1083"/>
      <c r="S8" s="1083"/>
      <c r="T8" s="1083"/>
      <c r="U8" s="1083"/>
      <c r="V8" s="1083"/>
      <c r="W8" s="1152"/>
      <c r="X8" s="1083"/>
      <c r="Y8" s="1083"/>
      <c r="Z8" s="1083"/>
      <c r="AA8" s="1083"/>
      <c r="AB8" s="1083"/>
      <c r="AC8" s="1088"/>
      <c r="AD8" s="167" t="s">
        <v>8</v>
      </c>
      <c r="AE8" s="141" t="s">
        <v>50</v>
      </c>
      <c r="AF8" s="141" t="s">
        <v>151</v>
      </c>
      <c r="AG8" s="141" t="s">
        <v>8</v>
      </c>
      <c r="AH8" s="141" t="s">
        <v>151</v>
      </c>
      <c r="AI8" s="141" t="s">
        <v>7</v>
      </c>
      <c r="AJ8" s="141" t="s">
        <v>10</v>
      </c>
      <c r="AK8" s="141" t="s">
        <v>7</v>
      </c>
      <c r="AL8" s="141" t="s">
        <v>10</v>
      </c>
      <c r="AM8" s="141" t="s">
        <v>189</v>
      </c>
      <c r="AN8" s="138" t="s">
        <v>8</v>
      </c>
      <c r="AO8" s="138" t="s">
        <v>50</v>
      </c>
      <c r="AP8" s="138" t="s">
        <v>151</v>
      </c>
      <c r="AQ8" s="138" t="s">
        <v>8</v>
      </c>
      <c r="AR8" s="138" t="s">
        <v>151</v>
      </c>
      <c r="AS8" s="138" t="s">
        <v>7</v>
      </c>
      <c r="AT8" s="138" t="s">
        <v>10</v>
      </c>
      <c r="AU8" s="138" t="s">
        <v>7</v>
      </c>
      <c r="AV8" s="138" t="s">
        <v>10</v>
      </c>
      <c r="AW8" s="138" t="s">
        <v>189</v>
      </c>
      <c r="AX8" s="141" t="s">
        <v>8</v>
      </c>
      <c r="AY8" s="141" t="s">
        <v>50</v>
      </c>
      <c r="AZ8" s="141" t="s">
        <v>151</v>
      </c>
      <c r="BA8" s="141" t="s">
        <v>8</v>
      </c>
      <c r="BB8" s="141" t="s">
        <v>151</v>
      </c>
      <c r="BC8" s="141" t="s">
        <v>7</v>
      </c>
      <c r="BD8" s="141" t="s">
        <v>10</v>
      </c>
      <c r="BE8" s="141" t="s">
        <v>7</v>
      </c>
      <c r="BF8" s="141" t="s">
        <v>10</v>
      </c>
      <c r="BG8" s="141" t="s">
        <v>189</v>
      </c>
      <c r="BH8" s="138" t="s">
        <v>8</v>
      </c>
      <c r="BI8" s="138" t="s">
        <v>50</v>
      </c>
      <c r="BJ8" s="138" t="s">
        <v>151</v>
      </c>
      <c r="BK8" s="138" t="s">
        <v>8</v>
      </c>
      <c r="BL8" s="138" t="s">
        <v>151</v>
      </c>
      <c r="BM8" s="138" t="s">
        <v>7</v>
      </c>
      <c r="BN8" s="138" t="s">
        <v>10</v>
      </c>
      <c r="BO8" s="138" t="s">
        <v>7</v>
      </c>
      <c r="BP8" s="138" t="s">
        <v>10</v>
      </c>
      <c r="BQ8" s="138" t="s">
        <v>189</v>
      </c>
      <c r="BR8" s="142" t="s">
        <v>7</v>
      </c>
      <c r="BS8" s="142" t="s">
        <v>10</v>
      </c>
      <c r="BT8" s="142" t="s">
        <v>7</v>
      </c>
      <c r="BU8" s="142" t="s">
        <v>10</v>
      </c>
      <c r="BV8" s="142" t="s">
        <v>7</v>
      </c>
      <c r="BW8" s="142" t="s">
        <v>10</v>
      </c>
      <c r="BX8" s="142" t="s">
        <v>7</v>
      </c>
      <c r="BY8" s="142" t="s">
        <v>10</v>
      </c>
    </row>
    <row r="9" spans="1:79" s="584" customFormat="1" ht="96" hidden="1" customHeight="1" x14ac:dyDescent="0.2">
      <c r="A9" s="792">
        <v>11500</v>
      </c>
      <c r="B9" s="793" t="s">
        <v>13</v>
      </c>
      <c r="C9" s="793" t="s">
        <v>330</v>
      </c>
      <c r="D9" s="794" t="s">
        <v>1020</v>
      </c>
      <c r="E9" s="794" t="s">
        <v>1020</v>
      </c>
      <c r="F9" s="795" t="s">
        <v>95</v>
      </c>
      <c r="G9" s="1042" t="s">
        <v>345</v>
      </c>
      <c r="H9" s="795" t="s">
        <v>110</v>
      </c>
      <c r="I9" s="793" t="s">
        <v>339</v>
      </c>
      <c r="J9" s="1066" t="s">
        <v>564</v>
      </c>
      <c r="K9" s="1048" t="s">
        <v>1464</v>
      </c>
      <c r="L9" s="712" t="s">
        <v>51</v>
      </c>
      <c r="M9" s="723">
        <v>1</v>
      </c>
      <c r="N9" s="1142" t="s">
        <v>109</v>
      </c>
      <c r="O9" s="1085" t="s">
        <v>1463</v>
      </c>
      <c r="P9" s="1063">
        <v>40053470870</v>
      </c>
      <c r="Q9" s="1069">
        <v>1</v>
      </c>
      <c r="R9" s="1048" t="s">
        <v>17</v>
      </c>
      <c r="S9" s="1048" t="s">
        <v>26</v>
      </c>
      <c r="T9" s="1048" t="s">
        <v>631</v>
      </c>
      <c r="U9" s="1048" t="s">
        <v>634</v>
      </c>
      <c r="V9" s="1048" t="s">
        <v>71</v>
      </c>
      <c r="W9" s="1048" t="s">
        <v>1263</v>
      </c>
      <c r="X9" s="709" t="s">
        <v>1751</v>
      </c>
      <c r="Y9" s="1085" t="s">
        <v>204</v>
      </c>
      <c r="Z9" s="776">
        <v>1</v>
      </c>
      <c r="AA9" s="1085" t="str">
        <f>+O9</f>
        <v>Validar la auditoría de los precierres de paquetes de recobros y reclamaciones entregados por la firma auditora. partir de enero de 2019</v>
      </c>
      <c r="AB9" s="1051">
        <f>+P9</f>
        <v>40053470870</v>
      </c>
      <c r="AC9" s="714" t="s">
        <v>46</v>
      </c>
      <c r="AD9" s="716">
        <v>0.25</v>
      </c>
      <c r="AE9" s="1085" t="str">
        <f>+AA9</f>
        <v>Validar la auditoría de los precierres de paquetes de recobros y reclamaciones entregados por la firma auditora. partir de enero de 2019</v>
      </c>
      <c r="AF9" s="1054">
        <f>+AB9/4</f>
        <v>10013367717.5</v>
      </c>
      <c r="AG9" s="777">
        <f>(109/7949088)*AD9</f>
        <v>3.4280662133819627E-6</v>
      </c>
      <c r="AH9" s="1057">
        <v>0</v>
      </c>
      <c r="AI9" s="784">
        <f>+(AG9/AD9)</f>
        <v>1.3712264853527851E-5</v>
      </c>
      <c r="AJ9" s="1060">
        <f>+(AH9/AF9)</f>
        <v>0</v>
      </c>
      <c r="AK9" s="784">
        <f>+(AG9/Z9)</f>
        <v>3.4280662133819627E-6</v>
      </c>
      <c r="AL9" s="1060">
        <f>+(AH9/AB9)</f>
        <v>0</v>
      </c>
      <c r="AM9" s="778" t="s">
        <v>1319</v>
      </c>
      <c r="AN9" s="716">
        <v>0.25</v>
      </c>
      <c r="AO9" s="1085" t="str">
        <f>+AA9</f>
        <v>Validar la auditoría de los precierres de paquetes de recobros y reclamaciones entregados por la firma auditora. partir de enero de 2019</v>
      </c>
      <c r="AP9" s="1054">
        <f>+AB9/4</f>
        <v>10013367717.5</v>
      </c>
      <c r="AQ9" s="779"/>
      <c r="AR9" s="1054">
        <v>0</v>
      </c>
      <c r="AS9" s="784">
        <f>+(AQ9/AN9)</f>
        <v>0</v>
      </c>
      <c r="AT9" s="1060">
        <f>+(AR9/AP9)</f>
        <v>0</v>
      </c>
      <c r="AU9" s="784">
        <f>+(AQ9+AG9)/Z9</f>
        <v>3.4280662133819627E-6</v>
      </c>
      <c r="AV9" s="1060">
        <f>+(AR9+AH9)/AB9</f>
        <v>0</v>
      </c>
      <c r="AW9" s="780"/>
      <c r="AX9" s="716">
        <v>0.25</v>
      </c>
      <c r="AY9" s="1085" t="str">
        <f>+AA9</f>
        <v>Validar la auditoría de los precierres de paquetes de recobros y reclamaciones entregados por la firma auditora. partir de enero de 2019</v>
      </c>
      <c r="AZ9" s="1054">
        <f>+AB9/4</f>
        <v>10013367717.5</v>
      </c>
      <c r="BA9" s="722"/>
      <c r="BB9" s="722"/>
      <c r="BC9" s="784">
        <f>+(BA9/AX9)</f>
        <v>0</v>
      </c>
      <c r="BD9" s="1060">
        <f>+(BB9/AZ9)</f>
        <v>0</v>
      </c>
      <c r="BE9" s="784">
        <f>+(AQ9+AG9+BA9)/Z9</f>
        <v>3.4280662133819627E-6</v>
      </c>
      <c r="BF9" s="1060">
        <f>+(AR9+AH9+BB9)/AB9</f>
        <v>0</v>
      </c>
      <c r="BG9" s="718"/>
      <c r="BH9" s="716">
        <v>0.25</v>
      </c>
      <c r="BI9" s="1085" t="str">
        <f>+AA9</f>
        <v>Validar la auditoría de los precierres de paquetes de recobros y reclamaciones entregados por la firma auditora. partir de enero de 2019</v>
      </c>
      <c r="BJ9" s="1054">
        <f>+AB9/4</f>
        <v>10013367717.5</v>
      </c>
      <c r="BK9" s="722"/>
      <c r="BL9" s="722"/>
      <c r="BM9" s="784">
        <f>+(BK9/BH9)</f>
        <v>0</v>
      </c>
      <c r="BN9" s="1060">
        <f>+(BL9/BJ9)</f>
        <v>0</v>
      </c>
      <c r="BO9" s="784">
        <f>+(AQ9+AG9+BA9+BK9)/Z9</f>
        <v>3.4280662133819627E-6</v>
      </c>
      <c r="BP9" s="1060">
        <f>+(AR9+AH9+BB9+BL9)/AB9</f>
        <v>0</v>
      </c>
      <c r="BQ9" s="776"/>
      <c r="BR9" s="785">
        <f>IF(AND(AD9=0,AG9=0),"No Prog ni Ejec",IF(AD9=0,CONCATENATE("No Prog, Ejec=  ",AG9),AG9/AD9))</f>
        <v>1.3712264853527851E-5</v>
      </c>
      <c r="BS9" s="1076">
        <f>IF(AND(AF9=0,AH9=0),"No Prog ni Ejec",IF(AF9=0,CONCATENATE("No Prog, Ejec=  ",AH9),AH9/AF9))</f>
        <v>0</v>
      </c>
      <c r="BT9" s="785">
        <f>IF(AND(AN9=0,AQ9=0),"No Prog ni Ejec",IF(AN9=0,CONCATENATE("No Prog, Ejec=  ",AQ9),AQ9/AN9))</f>
        <v>0</v>
      </c>
      <c r="BU9" s="1076">
        <f>IF(AND(AP9=0,AR9=0),"No Prog ni Ejec",IF(AP9=0,CONCATENATE("No Prog, Ejec=  ",AR9),AR9/AP9))</f>
        <v>0</v>
      </c>
      <c r="BV9" s="785">
        <f>IF(AND(AX9=0,BA9=0),"No Prog ni Ejec",IF(AX9=0,CONCATENATE("No Prog, Ejec=  ",BA9),BA9/AX9))</f>
        <v>0</v>
      </c>
      <c r="BW9" s="1076">
        <f>IF(AND(AZ9=0,BB9=0),"No Prog ni Ejec",IF(AZ9=0,CONCATENATE("No Prog, Ejec=  ",BB9),BB9/AZ9))</f>
        <v>0</v>
      </c>
      <c r="BX9" s="785">
        <f>IF(AND(BH9=0,BK9=0),"No Prog ni Ejec",IF(BH9=0,CONCATENATE("No Prog, Ejec=  ",BK9),BK9/BH9))</f>
        <v>0</v>
      </c>
      <c r="BY9" s="1079">
        <f>IF(AND(BJ9=0,BL9=0),"No Prog ni Ejec",IF(BJ9=0,CONCATENATE("No Prog, Ejec=  ",BL9),BL9/BJ9))</f>
        <v>0</v>
      </c>
      <c r="BZ9" s="781">
        <f>+AB9-AF9-AP9-AZ9-BJ9</f>
        <v>0</v>
      </c>
      <c r="CA9" s="781">
        <f>+P9-AF9-AP9-AZ9-BJ9</f>
        <v>0</v>
      </c>
    </row>
    <row r="10" spans="1:79" s="584" customFormat="1" ht="96" hidden="1" customHeight="1" x14ac:dyDescent="0.2">
      <c r="A10" s="857">
        <v>11500</v>
      </c>
      <c r="B10" s="853" t="s">
        <v>13</v>
      </c>
      <c r="C10" s="853" t="s">
        <v>330</v>
      </c>
      <c r="D10" s="871" t="s">
        <v>1020</v>
      </c>
      <c r="E10" s="871" t="s">
        <v>1020</v>
      </c>
      <c r="F10" s="858" t="s">
        <v>95</v>
      </c>
      <c r="G10" s="1042" t="s">
        <v>345</v>
      </c>
      <c r="H10" s="858" t="s">
        <v>110</v>
      </c>
      <c r="I10" s="853" t="s">
        <v>339</v>
      </c>
      <c r="J10" s="1067"/>
      <c r="K10" s="1049"/>
      <c r="L10" s="651" t="s">
        <v>51</v>
      </c>
      <c r="M10" s="786" t="s">
        <v>1077</v>
      </c>
      <c r="N10" s="1143"/>
      <c r="O10" s="1086"/>
      <c r="P10" s="1064"/>
      <c r="Q10" s="1070"/>
      <c r="R10" s="1049"/>
      <c r="S10" s="1049"/>
      <c r="T10" s="1049"/>
      <c r="U10" s="1049"/>
      <c r="V10" s="1049"/>
      <c r="W10" s="1049"/>
      <c r="X10" s="652" t="s">
        <v>1752</v>
      </c>
      <c r="Y10" s="1086"/>
      <c r="Z10" s="783" t="s">
        <v>1077</v>
      </c>
      <c r="AA10" s="1086"/>
      <c r="AB10" s="1052"/>
      <c r="AC10" s="587" t="s">
        <v>46</v>
      </c>
      <c r="AD10" s="783" t="s">
        <v>1077</v>
      </c>
      <c r="AE10" s="1086"/>
      <c r="AF10" s="1055"/>
      <c r="AG10" s="791">
        <v>0</v>
      </c>
      <c r="AH10" s="1058"/>
      <c r="AI10" s="856" t="e">
        <f>+(AG10/AD10)</f>
        <v>#VALUE!</v>
      </c>
      <c r="AJ10" s="1061"/>
      <c r="AK10" s="856" t="e">
        <f>+(AG10/Z10)</f>
        <v>#VALUE!</v>
      </c>
      <c r="AL10" s="1061"/>
      <c r="AM10" s="788" t="s">
        <v>1320</v>
      </c>
      <c r="AN10" s="588" t="s">
        <v>1077</v>
      </c>
      <c r="AO10" s="1086"/>
      <c r="AP10" s="1055"/>
      <c r="AQ10" s="789"/>
      <c r="AR10" s="1055"/>
      <c r="AS10" s="856" t="e">
        <f>+(AQ10/AN10)</f>
        <v>#VALUE!</v>
      </c>
      <c r="AT10" s="1061"/>
      <c r="AU10" s="856" t="e">
        <f>+(AQ10+AG10)/Z10</f>
        <v>#VALUE!</v>
      </c>
      <c r="AV10" s="1061"/>
      <c r="AW10" s="782"/>
      <c r="AX10" s="588" t="s">
        <v>1077</v>
      </c>
      <c r="AY10" s="1086"/>
      <c r="AZ10" s="1055"/>
      <c r="BA10" s="790"/>
      <c r="BB10" s="790"/>
      <c r="BC10" s="856" t="e">
        <f>+(BA10/AX10)</f>
        <v>#VALUE!</v>
      </c>
      <c r="BD10" s="1061"/>
      <c r="BE10" s="856" t="e">
        <f>+(AQ10+AG10+BA10)/Z10</f>
        <v>#VALUE!</v>
      </c>
      <c r="BF10" s="1061"/>
      <c r="BG10" s="783"/>
      <c r="BH10" s="588" t="s">
        <v>1077</v>
      </c>
      <c r="BI10" s="1086"/>
      <c r="BJ10" s="1055"/>
      <c r="BK10" s="790"/>
      <c r="BL10" s="790"/>
      <c r="BM10" s="856" t="e">
        <f>+(BK10/BH10)</f>
        <v>#VALUE!</v>
      </c>
      <c r="BN10" s="1061"/>
      <c r="BO10" s="856" t="e">
        <f>+(AQ10+AG10+BA10+BK10)/Z10</f>
        <v>#VALUE!</v>
      </c>
      <c r="BP10" s="1061"/>
      <c r="BQ10" s="787"/>
      <c r="BR10" s="642" t="e">
        <f>IF(AND(AD10=0,AG10=0),"No Prog ni Ejec",IF(AD10=0,CONCATENATE("No Prog, Ejec=  ",AG10),AG10/AD10))</f>
        <v>#VALUE!</v>
      </c>
      <c r="BS10" s="1077"/>
      <c r="BT10" s="642" t="e">
        <f>IF(AND(AN10=0,AQ10=0),"No Prog ni Ejec",IF(AN10=0,CONCATENATE("No Prog, Ejec=  ",AQ10),AQ10/AN10))</f>
        <v>#VALUE!</v>
      </c>
      <c r="BU10" s="1077"/>
      <c r="BV10" s="642" t="e">
        <f>IF(AND(AX10=0,BA10=0),"No Prog ni Ejec",IF(AX10=0,CONCATENATE("No Prog, Ejec=  ",BA10),BA10/AX10))</f>
        <v>#VALUE!</v>
      </c>
      <c r="BW10" s="1077"/>
      <c r="BX10" s="642" t="e">
        <f>IF(AND(BH10=0,BK10=0),"No Prog ni Ejec",IF(BH10=0,CONCATENATE("No Prog, Ejec=  ",BK10),BK10/BH10))</f>
        <v>#VALUE!</v>
      </c>
      <c r="BY10" s="1080"/>
      <c r="BZ10" s="781"/>
      <c r="CA10" s="781">
        <f t="shared" ref="CA10:CA20" si="0">+P10-AF10-AP10-AZ10-BJ10</f>
        <v>0</v>
      </c>
    </row>
    <row r="11" spans="1:79" s="78" customFormat="1" ht="142.5" customHeight="1" x14ac:dyDescent="0.2">
      <c r="A11" s="834">
        <v>11500</v>
      </c>
      <c r="B11" s="827" t="s">
        <v>13</v>
      </c>
      <c r="C11" s="827" t="s">
        <v>330</v>
      </c>
      <c r="D11" s="845" t="s">
        <v>1020</v>
      </c>
      <c r="E11" s="845" t="s">
        <v>1020</v>
      </c>
      <c r="F11" s="835" t="s">
        <v>95</v>
      </c>
      <c r="G11" s="1041" t="s">
        <v>345</v>
      </c>
      <c r="H11" s="835" t="s">
        <v>110</v>
      </c>
      <c r="I11" s="827" t="s">
        <v>339</v>
      </c>
      <c r="J11" s="1067"/>
      <c r="K11" s="1049"/>
      <c r="L11" s="838" t="s">
        <v>1076</v>
      </c>
      <c r="M11" s="907">
        <v>0.75</v>
      </c>
      <c r="N11" s="1143"/>
      <c r="O11" s="1086"/>
      <c r="P11" s="1064"/>
      <c r="Q11" s="1070"/>
      <c r="R11" s="1049"/>
      <c r="S11" s="1049"/>
      <c r="T11" s="1049"/>
      <c r="U11" s="1049"/>
      <c r="V11" s="1049"/>
      <c r="W11" s="1049"/>
      <c r="X11" s="844" t="s">
        <v>1465</v>
      </c>
      <c r="Y11" s="1086"/>
      <c r="Z11" s="773">
        <v>0.75</v>
      </c>
      <c r="AA11" s="1086"/>
      <c r="AB11" s="1052"/>
      <c r="AC11" s="164" t="s">
        <v>46</v>
      </c>
      <c r="AD11" s="908" t="s">
        <v>204</v>
      </c>
      <c r="AE11" s="1086"/>
      <c r="AF11" s="1055"/>
      <c r="AG11" s="774" t="s">
        <v>204</v>
      </c>
      <c r="AH11" s="1058"/>
      <c r="AI11" s="828" t="e">
        <f>+(AG11/AD11)</f>
        <v>#VALUE!</v>
      </c>
      <c r="AJ11" s="1061"/>
      <c r="AK11" s="629" t="e">
        <f>+(AG11/Z11)</f>
        <v>#VALUE!</v>
      </c>
      <c r="AL11" s="1061"/>
      <c r="AM11" s="775"/>
      <c r="AN11" s="908">
        <v>0.25</v>
      </c>
      <c r="AO11" s="1086"/>
      <c r="AP11" s="1055"/>
      <c r="AQ11" s="631">
        <f>(3/3)*25%</f>
        <v>0.25</v>
      </c>
      <c r="AR11" s="1055"/>
      <c r="AS11" s="629">
        <f>+(AQ11/AN11)</f>
        <v>1</v>
      </c>
      <c r="AT11" s="1061"/>
      <c r="AU11" s="629">
        <f>+(AQ11)/Z11</f>
        <v>0.33333333333333331</v>
      </c>
      <c r="AV11" s="1061"/>
      <c r="AW11" s="807" t="s">
        <v>1686</v>
      </c>
      <c r="AX11" s="908">
        <v>0.25</v>
      </c>
      <c r="AY11" s="1086"/>
      <c r="AZ11" s="1055"/>
      <c r="BA11" s="631">
        <f>(2/2)*25%</f>
        <v>0.25</v>
      </c>
      <c r="BB11" s="1089">
        <v>0</v>
      </c>
      <c r="BC11" s="629">
        <f>+(BA11/AX11)</f>
        <v>1</v>
      </c>
      <c r="BD11" s="1061"/>
      <c r="BE11" s="629">
        <f>+(AQ11+BA11)/Z11</f>
        <v>0.66666666666666663</v>
      </c>
      <c r="BF11" s="1061"/>
      <c r="BG11" s="980" t="s">
        <v>1841</v>
      </c>
      <c r="BH11" s="908">
        <v>0.25</v>
      </c>
      <c r="BI11" s="1086"/>
      <c r="BJ11" s="1055"/>
      <c r="BK11" s="630"/>
      <c r="BL11" s="630"/>
      <c r="BM11" s="828">
        <f>+(BK11/BH11)</f>
        <v>0</v>
      </c>
      <c r="BN11" s="1061"/>
      <c r="BO11" s="828">
        <f>+(AQ11+BA11+BK11)/Z11</f>
        <v>0.66666666666666663</v>
      </c>
      <c r="BP11" s="1061"/>
      <c r="BQ11" s="773"/>
      <c r="BR11" s="642" t="e">
        <f>IF(AND(AD11=0,AG11=0),"No Prog ni Ejec",IF(AD11=0,CONCATENATE("No Prog, Ejec=  ",AG11),AG11/AD11))</f>
        <v>#VALUE!</v>
      </c>
      <c r="BS11" s="1077"/>
      <c r="BT11" s="642">
        <f>IF(AND(AN11=0,AQ11=0),"No Prog ni Ejec",IF(AN11=0,CONCATENATE("No Prog, Ejec=  ",AQ11),AQ11/AN11))</f>
        <v>1</v>
      </c>
      <c r="BU11" s="1077"/>
      <c r="BV11" s="642">
        <f>IF(AND(AX11=0,BA11=0),"No Prog ni Ejec",IF(AX11=0,CONCATENATE("No Prog, Ejec=  ",BA11),BA11/AX11))</f>
        <v>1</v>
      </c>
      <c r="BW11" s="1077"/>
      <c r="BX11" s="642">
        <f>IF(AND(BH11=0,BK11=0),"No Prog ni Ejec",IF(BH11=0,CONCATENATE("No Prog, Ejec=  ",BK11),BK11/BH11))</f>
        <v>0</v>
      </c>
      <c r="BY11" s="1080"/>
      <c r="BZ11" s="149"/>
      <c r="CA11" s="781">
        <f t="shared" si="0"/>
        <v>0</v>
      </c>
    </row>
    <row r="12" spans="1:79" s="78" customFormat="1" ht="121.5" customHeight="1" x14ac:dyDescent="0.2">
      <c r="A12" s="834">
        <v>11500</v>
      </c>
      <c r="B12" s="827" t="s">
        <v>13</v>
      </c>
      <c r="C12" s="827" t="s">
        <v>330</v>
      </c>
      <c r="D12" s="845" t="s">
        <v>1020</v>
      </c>
      <c r="E12" s="845" t="s">
        <v>1020</v>
      </c>
      <c r="F12" s="835" t="s">
        <v>95</v>
      </c>
      <c r="G12" s="1041" t="s">
        <v>345</v>
      </c>
      <c r="H12" s="835" t="s">
        <v>110</v>
      </c>
      <c r="I12" s="827" t="s">
        <v>339</v>
      </c>
      <c r="J12" s="1068"/>
      <c r="K12" s="1050"/>
      <c r="L12" s="838" t="s">
        <v>1076</v>
      </c>
      <c r="M12" s="826">
        <v>0.75</v>
      </c>
      <c r="N12" s="1139"/>
      <c r="O12" s="1072"/>
      <c r="P12" s="1065"/>
      <c r="Q12" s="1071"/>
      <c r="R12" s="1050"/>
      <c r="S12" s="1050"/>
      <c r="T12" s="1050"/>
      <c r="U12" s="1050"/>
      <c r="V12" s="1050"/>
      <c r="W12" s="1050"/>
      <c r="X12" s="827" t="s">
        <v>1466</v>
      </c>
      <c r="Y12" s="1072"/>
      <c r="Z12" s="826">
        <v>0.75</v>
      </c>
      <c r="AA12" s="1072"/>
      <c r="AB12" s="1053"/>
      <c r="AC12" s="860" t="s">
        <v>46</v>
      </c>
      <c r="AD12" s="826" t="s">
        <v>204</v>
      </c>
      <c r="AE12" s="1072"/>
      <c r="AF12" s="1056"/>
      <c r="AG12" s="467" t="s">
        <v>204</v>
      </c>
      <c r="AH12" s="1059"/>
      <c r="AI12" s="828" t="e">
        <f>+(AG12/AD12)</f>
        <v>#VALUE!</v>
      </c>
      <c r="AJ12" s="1062"/>
      <c r="AK12" s="828" t="e">
        <f>+(AG12/Z12)</f>
        <v>#VALUE!</v>
      </c>
      <c r="AL12" s="1062"/>
      <c r="AM12" s="470"/>
      <c r="AN12" s="826">
        <v>0.25</v>
      </c>
      <c r="AO12" s="1072"/>
      <c r="AP12" s="1056"/>
      <c r="AQ12" s="851">
        <f>(13/13)*25%</f>
        <v>0.25</v>
      </c>
      <c r="AR12" s="1056"/>
      <c r="AS12" s="828">
        <f>+(AQ12/AN12)</f>
        <v>1</v>
      </c>
      <c r="AT12" s="1062"/>
      <c r="AU12" s="828">
        <f>+(AQ12)/Z12</f>
        <v>0.33333333333333331</v>
      </c>
      <c r="AV12" s="1062"/>
      <c r="AW12" s="829" t="s">
        <v>1687</v>
      </c>
      <c r="AX12" s="826">
        <v>0.25</v>
      </c>
      <c r="AY12" s="1072"/>
      <c r="AZ12" s="1056"/>
      <c r="BA12" s="970">
        <f>(34/37)*25%</f>
        <v>0.22972972972972974</v>
      </c>
      <c r="BB12" s="1090"/>
      <c r="BC12" s="828">
        <f>+(BA12/AX12)</f>
        <v>0.91891891891891897</v>
      </c>
      <c r="BD12" s="1062"/>
      <c r="BE12" s="828">
        <f>+(AQ12+BA12)/Z12</f>
        <v>0.63963963963963966</v>
      </c>
      <c r="BF12" s="1062"/>
      <c r="BG12" s="466" t="s">
        <v>1842</v>
      </c>
      <c r="BH12" s="826">
        <v>0.25</v>
      </c>
      <c r="BI12" s="1072"/>
      <c r="BJ12" s="1056"/>
      <c r="BK12" s="840"/>
      <c r="BL12" s="1084"/>
      <c r="BM12" s="828">
        <f>+(BK12/BH12)</f>
        <v>0</v>
      </c>
      <c r="BN12" s="1062"/>
      <c r="BO12" s="828">
        <f>+(AQ12+BA12+BK12)/Z12</f>
        <v>0.63963963963963966</v>
      </c>
      <c r="BP12" s="1062"/>
      <c r="BQ12" s="68"/>
      <c r="BR12" s="640" t="e">
        <f>IF(AND(AD12=0,AG12=0),"No Prog ni Ejec",IF(AD12=0,CONCATENATE("No Prog, Ejec=  ",AG12),AG12/AD12))</f>
        <v>#VALUE!</v>
      </c>
      <c r="BS12" s="1078"/>
      <c r="BT12" s="640">
        <f>IF(AND(AN12=0,AQ12=0),"No Prog ni Ejec",IF(AN12=0,CONCATENATE("No Prog, Ejec=  ",AQ12),AQ12/AN12))</f>
        <v>1</v>
      </c>
      <c r="BU12" s="1078"/>
      <c r="BV12" s="640">
        <f>IF(AND(AX12=0,BA12=0),"No Prog ni Ejec",IF(AX12=0,CONCATENATE("No Prog, Ejec=  ",BA12),BA12/AX12))</f>
        <v>0.91891891891891897</v>
      </c>
      <c r="BW12" s="1078"/>
      <c r="BX12" s="640">
        <f>IF(AND(BH12=0,BK12=0),"No Prog ni Ejec",IF(BH12=0,CONCATENATE("No Prog, Ejec=  ",BK12),BK12/BH12))</f>
        <v>0</v>
      </c>
      <c r="BY12" s="1081"/>
      <c r="BZ12" s="149">
        <f t="shared" ref="BZ12:BZ38" si="1">+AB12-AF12-AP12-AZ12-BJ12</f>
        <v>0</v>
      </c>
      <c r="CA12" s="781">
        <f t="shared" si="0"/>
        <v>0</v>
      </c>
    </row>
    <row r="13" spans="1:79" s="78" customFormat="1" ht="121.5" customHeight="1" x14ac:dyDescent="0.2">
      <c r="A13" s="834">
        <v>11500</v>
      </c>
      <c r="B13" s="827" t="s">
        <v>13</v>
      </c>
      <c r="C13" s="827" t="s">
        <v>330</v>
      </c>
      <c r="D13" s="845" t="s">
        <v>1020</v>
      </c>
      <c r="E13" s="845" t="s">
        <v>1020</v>
      </c>
      <c r="F13" s="835" t="s">
        <v>95</v>
      </c>
      <c r="G13" s="1041" t="s">
        <v>345</v>
      </c>
      <c r="H13" s="835" t="s">
        <v>110</v>
      </c>
      <c r="I13" s="827" t="s">
        <v>339</v>
      </c>
      <c r="J13" s="1068"/>
      <c r="K13" s="1050"/>
      <c r="L13" s="838" t="s">
        <v>391</v>
      </c>
      <c r="M13" s="66">
        <v>6</v>
      </c>
      <c r="N13" s="835" t="s">
        <v>1470</v>
      </c>
      <c r="O13" s="827" t="s">
        <v>1471</v>
      </c>
      <c r="P13" s="1065"/>
      <c r="Q13" s="1071"/>
      <c r="R13" s="1050"/>
      <c r="S13" s="1050"/>
      <c r="T13" s="1050"/>
      <c r="U13" s="1050"/>
      <c r="V13" s="1050"/>
      <c r="W13" s="1050"/>
      <c r="X13" s="827" t="s">
        <v>1472</v>
      </c>
      <c r="Y13" s="827" t="s">
        <v>204</v>
      </c>
      <c r="Z13" s="66">
        <v>6</v>
      </c>
      <c r="AA13" s="827" t="str">
        <f>+O13</f>
        <v>Efectuar seguimiento a la entrega de paquetes de recobros y reclamaciones.</v>
      </c>
      <c r="AB13" s="1053"/>
      <c r="AC13" s="860" t="s">
        <v>46</v>
      </c>
      <c r="AD13" s="66" t="s">
        <v>204</v>
      </c>
      <c r="AE13" s="827" t="str">
        <f>+AA13</f>
        <v>Efectuar seguimiento a la entrega de paquetes de recobros y reclamaciones.</v>
      </c>
      <c r="AF13" s="1056"/>
      <c r="AG13" s="468" t="s">
        <v>204</v>
      </c>
      <c r="AH13" s="1059"/>
      <c r="AI13" s="828" t="e">
        <f t="shared" ref="AI13" si="2">+(AG13/AD13)</f>
        <v>#VALUE!</v>
      </c>
      <c r="AJ13" s="1062"/>
      <c r="AK13" s="828" t="e">
        <f t="shared" ref="AK13" si="3">+(AG13/Z13)</f>
        <v>#VALUE!</v>
      </c>
      <c r="AL13" s="1062"/>
      <c r="AM13" s="471"/>
      <c r="AN13" s="835">
        <v>2</v>
      </c>
      <c r="AO13" s="827" t="str">
        <f>+AA13</f>
        <v>Efectuar seguimiento a la entrega de paquetes de recobros y reclamaciones.</v>
      </c>
      <c r="AP13" s="1056"/>
      <c r="AQ13" s="772">
        <v>2</v>
      </c>
      <c r="AR13" s="1056"/>
      <c r="AS13" s="828">
        <f t="shared" ref="AS13" si="4">+(AQ13/AN13)</f>
        <v>1</v>
      </c>
      <c r="AT13" s="1062"/>
      <c r="AU13" s="828">
        <f>+(AQ13)/Z13</f>
        <v>0.33333333333333331</v>
      </c>
      <c r="AV13" s="1062"/>
      <c r="AW13" s="829" t="s">
        <v>1688</v>
      </c>
      <c r="AX13" s="835">
        <v>2</v>
      </c>
      <c r="AY13" s="827" t="str">
        <f>+AA13</f>
        <v>Efectuar seguimiento a la entrega de paquetes de recobros y reclamaciones.</v>
      </c>
      <c r="AZ13" s="1056"/>
      <c r="BA13" s="743">
        <f>2</f>
        <v>2</v>
      </c>
      <c r="BB13" s="1055"/>
      <c r="BC13" s="828">
        <f t="shared" ref="BC13" si="5">+(BA13/AX13)</f>
        <v>1</v>
      </c>
      <c r="BD13" s="1062"/>
      <c r="BE13" s="828">
        <f>+(AQ13+BA13)/Z13</f>
        <v>0.66666666666666663</v>
      </c>
      <c r="BF13" s="1062"/>
      <c r="BG13" s="466" t="s">
        <v>1843</v>
      </c>
      <c r="BH13" s="835">
        <v>2</v>
      </c>
      <c r="BI13" s="827" t="str">
        <f>+AA13</f>
        <v>Efectuar seguimiento a la entrega de paquetes de recobros y reclamaciones.</v>
      </c>
      <c r="BJ13" s="1056"/>
      <c r="BK13" s="840"/>
      <c r="BL13" s="1084"/>
      <c r="BM13" s="828">
        <f t="shared" ref="BM13" si="6">+(BK13/BH13)</f>
        <v>0</v>
      </c>
      <c r="BN13" s="1062"/>
      <c r="BO13" s="828">
        <f>+(AQ13+BA13+BK13)/Z13</f>
        <v>0.66666666666666663</v>
      </c>
      <c r="BP13" s="1062"/>
      <c r="BQ13" s="68"/>
      <c r="BR13" s="640" t="e">
        <f t="shared" ref="BR13" si="7">IF(AND(AD13=0,AG13=0),"No Prog ni Ejec",IF(AD13=0,CONCATENATE("No Prog, Ejec=  ",AG13),AG13/AD13))</f>
        <v>#VALUE!</v>
      </c>
      <c r="BS13" s="1078"/>
      <c r="BT13" s="640">
        <f t="shared" ref="BT13" si="8">IF(AND(AN13=0,AQ13=0),"No Prog ni Ejec",IF(AN13=0,CONCATENATE("No Prog, Ejec=  ",AQ13),AQ13/AN13))</f>
        <v>1</v>
      </c>
      <c r="BU13" s="1078"/>
      <c r="BV13" s="640">
        <f t="shared" ref="BV13" si="9">IF(AND(AX13=0,BA13=0),"No Prog ni Ejec",IF(AX13=0,CONCATENATE("No Prog, Ejec=  ",BA13),BA13/AX13))</f>
        <v>1</v>
      </c>
      <c r="BW13" s="1078"/>
      <c r="BX13" s="640">
        <f t="shared" ref="BX13" si="10">IF(AND(BH13=0,BK13=0),"No Prog ni Ejec",IF(BH13=0,CONCATENATE("No Prog, Ejec=  ",BK13),BK13/BH13))</f>
        <v>0</v>
      </c>
      <c r="BY13" s="1081"/>
      <c r="BZ13" s="149"/>
      <c r="CA13" s="781">
        <f t="shared" si="0"/>
        <v>0</v>
      </c>
    </row>
    <row r="14" spans="1:79" s="70" customFormat="1" ht="165.75" x14ac:dyDescent="0.2">
      <c r="A14" s="834">
        <v>11500</v>
      </c>
      <c r="B14" s="827" t="s">
        <v>13</v>
      </c>
      <c r="C14" s="827" t="s">
        <v>330</v>
      </c>
      <c r="D14" s="845" t="s">
        <v>1020</v>
      </c>
      <c r="E14" s="845" t="s">
        <v>1020</v>
      </c>
      <c r="F14" s="835" t="s">
        <v>95</v>
      </c>
      <c r="G14" s="827" t="s">
        <v>345</v>
      </c>
      <c r="H14" s="835" t="s">
        <v>110</v>
      </c>
      <c r="I14" s="827" t="s">
        <v>339</v>
      </c>
      <c r="J14" s="835" t="s">
        <v>566</v>
      </c>
      <c r="K14" s="827" t="s">
        <v>1474</v>
      </c>
      <c r="L14" s="838" t="s">
        <v>51</v>
      </c>
      <c r="M14" s="826">
        <v>1</v>
      </c>
      <c r="N14" s="835" t="s">
        <v>565</v>
      </c>
      <c r="O14" s="827" t="s">
        <v>358</v>
      </c>
      <c r="P14" s="849">
        <f>48960000*2</f>
        <v>97920000</v>
      </c>
      <c r="Q14" s="832">
        <v>1</v>
      </c>
      <c r="R14" s="827" t="s">
        <v>18</v>
      </c>
      <c r="S14" s="827" t="s">
        <v>24</v>
      </c>
      <c r="T14" s="827" t="s">
        <v>631</v>
      </c>
      <c r="U14" s="827" t="s">
        <v>634</v>
      </c>
      <c r="V14" s="827" t="s">
        <v>71</v>
      </c>
      <c r="W14" s="827" t="s">
        <v>204</v>
      </c>
      <c r="X14" s="827" t="s">
        <v>1475</v>
      </c>
      <c r="Y14" s="827" t="s">
        <v>204</v>
      </c>
      <c r="Z14" s="828">
        <v>1</v>
      </c>
      <c r="AA14" s="827" t="str">
        <f t="shared" ref="AA14:AA20" si="11">+O14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B14" s="833">
        <f t="shared" ref="AB14:AB20" si="12">+P14</f>
        <v>97920000</v>
      </c>
      <c r="AC14" s="860" t="s">
        <v>46</v>
      </c>
      <c r="AD14" s="832">
        <v>0.25</v>
      </c>
      <c r="AE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F14" s="831">
        <f>+AB14/4</f>
        <v>24480000</v>
      </c>
      <c r="AG14" s="468">
        <f>(236/236)*25%</f>
        <v>0.25</v>
      </c>
      <c r="AH14" s="864">
        <v>16864000</v>
      </c>
      <c r="AI14" s="828">
        <f t="shared" ref="AI14:AI20" si="13">+(AG14/AD14)</f>
        <v>1</v>
      </c>
      <c r="AJ14" s="828">
        <f t="shared" ref="AJ14:AJ20" si="14">+(AH14/AF14)</f>
        <v>0.68888888888888888</v>
      </c>
      <c r="AK14" s="828">
        <f t="shared" ref="AK14:AK20" si="15">+(AG14/Z14)</f>
        <v>0.25</v>
      </c>
      <c r="AL14" s="828">
        <f t="shared" ref="AL14:AL20" si="16">+(AH14/AB14)</f>
        <v>0.17222222222222222</v>
      </c>
      <c r="AM14" s="471" t="s">
        <v>1321</v>
      </c>
      <c r="AN14" s="832">
        <v>0.25</v>
      </c>
      <c r="AO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P14" s="831">
        <f>+AB14/4</f>
        <v>24480000</v>
      </c>
      <c r="AQ14" s="851">
        <f>(375/375)*25%</f>
        <v>0.25</v>
      </c>
      <c r="AR14" s="628">
        <v>24480000</v>
      </c>
      <c r="AS14" s="828">
        <f t="shared" ref="AS14:AS20" si="17">+(AQ14/AN14)</f>
        <v>1</v>
      </c>
      <c r="AT14" s="828">
        <f t="shared" ref="AT14:AT20" si="18">+(AR14/AP14)</f>
        <v>1</v>
      </c>
      <c r="AU14" s="828">
        <f t="shared" ref="AU14:AU20" si="19">+(AQ14+AG14)/Z14</f>
        <v>0.5</v>
      </c>
      <c r="AV14" s="828">
        <f t="shared" ref="AV14:AV20" si="20">+(AR14+AH14)/AB14</f>
        <v>0.42222222222222222</v>
      </c>
      <c r="AW14" s="829" t="s">
        <v>1689</v>
      </c>
      <c r="AX14" s="832">
        <v>0.25</v>
      </c>
      <c r="AY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AZ14" s="831">
        <f>+AB14/4</f>
        <v>24480000</v>
      </c>
      <c r="BA14" s="970">
        <f>(345/345)*25%</f>
        <v>0.25</v>
      </c>
      <c r="BB14" s="968">
        <v>24480000</v>
      </c>
      <c r="BC14" s="828">
        <f t="shared" ref="BC14:BC20" si="21">+(BA14/AX14)</f>
        <v>1</v>
      </c>
      <c r="BD14" s="828">
        <f t="shared" ref="BD14:BD20" si="22">+(BB14/AZ14)</f>
        <v>1</v>
      </c>
      <c r="BE14" s="828">
        <f t="shared" ref="BE14:BE20" si="23">+(AQ14+AG14+BA14)/Z14</f>
        <v>0.75</v>
      </c>
      <c r="BF14" s="828">
        <f t="shared" ref="BF14:BF20" si="24">+(AR14+AH14+BB14)/AB14</f>
        <v>0.67222222222222228</v>
      </c>
      <c r="BG14" s="466" t="s">
        <v>1844</v>
      </c>
      <c r="BH14" s="832">
        <v>0.25</v>
      </c>
      <c r="BI14" s="827" t="str">
        <f>+AA14</f>
        <v xml:space="preserve">Análisis, verificación y cruce de la información de las fuentes internas y externas, involucradas en los procesos de recobros y reclamaciones, efectuando las validaciones que se consideren pertinente, así como en la elaboración de apoyos y conceptos técnicos que se requieran para atender la operación de la dependencia </v>
      </c>
      <c r="BJ14" s="831">
        <f>+AB14/4</f>
        <v>24480000</v>
      </c>
      <c r="BK14" s="840"/>
      <c r="BL14" s="840"/>
      <c r="BM14" s="828">
        <f t="shared" ref="BM14:BM20" si="25">+(BK14/BH14)</f>
        <v>0</v>
      </c>
      <c r="BN14" s="828">
        <f t="shared" ref="BN14:BN20" si="26">+(BL14/BJ14)</f>
        <v>0</v>
      </c>
      <c r="BO14" s="828">
        <f t="shared" ref="BO14:BO20" si="27">+(AQ14+AG14+BA14+BK14)/Z14</f>
        <v>0.75</v>
      </c>
      <c r="BP14" s="828">
        <f t="shared" ref="BP14:BP20" si="28">+(AR14+AH14+BB14+BL14)/AB14</f>
        <v>0.67222222222222228</v>
      </c>
      <c r="BQ14" s="68"/>
      <c r="BR14" s="640">
        <f t="shared" ref="BR14:BR20" si="29">IF(AND(AD14=0,AG14=0),"No Prog ni Ejec",IF(AD14=0,CONCATENATE("No Prog, Ejec=  ",AG14),AG14/AD14))</f>
        <v>1</v>
      </c>
      <c r="BS14" s="640">
        <f t="shared" ref="BS14:BS20" si="30">IF(AND(AF14=0,AH14=0),"No Prog ni Ejec",IF(AF14=0,CONCATENATE("No Prog, Ejec=  ",AH14),AH14/AF14))</f>
        <v>0.68888888888888888</v>
      </c>
      <c r="BT14" s="640">
        <f t="shared" ref="BT14:BT20" si="31">IF(AND(AN14=0,AQ14=0),"No Prog ni Ejec",IF(AN14=0,CONCATENATE("No Prog, Ejec=  ",AQ14),AQ14/AN14))</f>
        <v>1</v>
      </c>
      <c r="BU14" s="640">
        <f t="shared" ref="BU14:BU20" si="32">IF(AND(AP14=0,AR14=0),"No Prog ni Ejec",IF(AP14=0,CONCATENATE("No Prog, Ejec=  ",AR14),AR14/AP14))</f>
        <v>1</v>
      </c>
      <c r="BV14" s="640">
        <f t="shared" ref="BV14:BV20" si="33">IF(AND(AX14=0,BA14=0),"No Prog ni Ejec",IF(AX14=0,CONCATENATE("No Prog, Ejec=  ",BA14),BA14/AX14))</f>
        <v>1</v>
      </c>
      <c r="BW14" s="640">
        <f t="shared" ref="BW14:BW20" si="34">IF(AND(AZ14=0,BB14=0),"No Prog ni Ejec",IF(AZ14=0,CONCATENATE("No Prog, Ejec=  ",BB14),BB14/AZ14))</f>
        <v>1</v>
      </c>
      <c r="BX14" s="640">
        <f t="shared" ref="BX14:BX20" si="35">IF(AND(BH14=0,BK14=0),"No Prog ni Ejec",IF(BH14=0,CONCATENATE("No Prog, Ejec=  ",BK14),BK14/BH14))</f>
        <v>0</v>
      </c>
      <c r="BY14" s="698">
        <f t="shared" ref="BY14:BY20" si="36">IF(AND(BJ14=0,BL14=0),"No Prog ni Ejec",IF(BJ14=0,CONCATENATE("No Prog, Ejec=  ",BL14),BL14/BJ14))</f>
        <v>0</v>
      </c>
      <c r="BZ14" s="149">
        <f t="shared" si="1"/>
        <v>0</v>
      </c>
      <c r="CA14" s="781">
        <f t="shared" si="0"/>
        <v>0</v>
      </c>
    </row>
    <row r="15" spans="1:79" s="70" customFormat="1" ht="51" customHeight="1" x14ac:dyDescent="0.2">
      <c r="A15" s="834">
        <v>11500</v>
      </c>
      <c r="B15" s="827" t="s">
        <v>13</v>
      </c>
      <c r="C15" s="827" t="s">
        <v>330</v>
      </c>
      <c r="D15" s="845" t="s">
        <v>1020</v>
      </c>
      <c r="E15" s="845" t="s">
        <v>1020</v>
      </c>
      <c r="F15" s="835" t="s">
        <v>95</v>
      </c>
      <c r="G15" s="827" t="s">
        <v>345</v>
      </c>
      <c r="H15" s="835" t="s">
        <v>110</v>
      </c>
      <c r="I15" s="827" t="s">
        <v>339</v>
      </c>
      <c r="J15" s="835" t="s">
        <v>568</v>
      </c>
      <c r="K15" s="827" t="s">
        <v>602</v>
      </c>
      <c r="L15" s="838" t="s">
        <v>169</v>
      </c>
      <c r="M15" s="67">
        <v>4</v>
      </c>
      <c r="N15" s="835" t="s">
        <v>567</v>
      </c>
      <c r="O15" s="827" t="s">
        <v>1589</v>
      </c>
      <c r="P15" s="850">
        <f>143990000</f>
        <v>143990000</v>
      </c>
      <c r="Q15" s="832">
        <v>1</v>
      </c>
      <c r="R15" s="827" t="s">
        <v>17</v>
      </c>
      <c r="S15" s="827" t="s">
        <v>295</v>
      </c>
      <c r="T15" s="827" t="s">
        <v>631</v>
      </c>
      <c r="U15" s="827" t="s">
        <v>634</v>
      </c>
      <c r="V15" s="827" t="s">
        <v>71</v>
      </c>
      <c r="W15" s="827" t="s">
        <v>1269</v>
      </c>
      <c r="X15" s="827" t="s">
        <v>906</v>
      </c>
      <c r="Y15" s="827" t="s">
        <v>204</v>
      </c>
      <c r="Z15" s="67">
        <v>4</v>
      </c>
      <c r="AA15" s="827" t="str">
        <f>+O15</f>
        <v>Optimizar y sistematizar el proceso de auditoría integral en salud, jurídica y financiera de recobros y reclamaciones</v>
      </c>
      <c r="AB15" s="833">
        <f>+P15</f>
        <v>143990000</v>
      </c>
      <c r="AC15" s="860" t="s">
        <v>46</v>
      </c>
      <c r="AD15" s="67">
        <v>1</v>
      </c>
      <c r="AE15" s="827" t="str">
        <f>+AA15</f>
        <v>Optimizar y sistematizar el proceso de auditoría integral en salud, jurídica y financiera de recobros y reclamaciones</v>
      </c>
      <c r="AF15" s="831">
        <f>(AB15/11)*2</f>
        <v>26180000</v>
      </c>
      <c r="AG15" s="467">
        <v>1</v>
      </c>
      <c r="AH15" s="864">
        <v>11272713.4</v>
      </c>
      <c r="AI15" s="828">
        <f>+(AG15/AD15)</f>
        <v>1</v>
      </c>
      <c r="AJ15" s="828">
        <f>+(AH15/AF15)</f>
        <v>0.43058492742551568</v>
      </c>
      <c r="AK15" s="828">
        <f>+(AG15/Z15)</f>
        <v>0.25</v>
      </c>
      <c r="AL15" s="828">
        <f>+(AH15/AB15)</f>
        <v>7.8288168622821036E-2</v>
      </c>
      <c r="AM15" s="470" t="s">
        <v>1322</v>
      </c>
      <c r="AN15" s="67">
        <v>1</v>
      </c>
      <c r="AO15" s="827" t="str">
        <f>+AA15</f>
        <v>Optimizar y sistematizar el proceso de auditoría integral en salud, jurídica y financiera de recobros y reclamaciones</v>
      </c>
      <c r="AP15" s="831">
        <f>(AB15/11)*3</f>
        <v>39270000</v>
      </c>
      <c r="AQ15" s="838">
        <v>1</v>
      </c>
      <c r="AR15" s="628">
        <v>56363566.979999997</v>
      </c>
      <c r="AS15" s="828">
        <f>+(AQ15/AN15)</f>
        <v>1</v>
      </c>
      <c r="AT15" s="828">
        <f>+(AR15/AP15)</f>
        <v>1.4352830909090908</v>
      </c>
      <c r="AU15" s="828">
        <f>+(AQ15+AG15)/Z15</f>
        <v>0.5</v>
      </c>
      <c r="AV15" s="828">
        <f>+(AR15+AH15)/AB15</f>
        <v>0.4697290115980276</v>
      </c>
      <c r="AW15" s="829" t="s">
        <v>1690</v>
      </c>
      <c r="AX15" s="67">
        <v>1</v>
      </c>
      <c r="AY15" s="827" t="str">
        <f>+AA15</f>
        <v>Optimizar y sistematizar el proceso de auditoría integral en salud, jurídica y financiera de recobros y reclamaciones</v>
      </c>
      <c r="AZ15" s="831">
        <f>(AB15/11)*3</f>
        <v>39270000</v>
      </c>
      <c r="BA15" s="967">
        <v>1</v>
      </c>
      <c r="BB15" s="968">
        <v>56363566.979999997</v>
      </c>
      <c r="BC15" s="828">
        <f>+(BA15/AX15)</f>
        <v>1</v>
      </c>
      <c r="BD15" s="828">
        <f>+(BB15/AZ15)</f>
        <v>1.4352830909090908</v>
      </c>
      <c r="BE15" s="828">
        <f>+(AQ15+AG15+BA15)/Z15</f>
        <v>0.75</v>
      </c>
      <c r="BF15" s="828">
        <f>+(AR15+AH15+BB15)/AB15</f>
        <v>0.86116985457323414</v>
      </c>
      <c r="BG15" s="466" t="s">
        <v>1845</v>
      </c>
      <c r="BH15" s="67">
        <v>1</v>
      </c>
      <c r="BI15" s="827" t="str">
        <f>+AA15</f>
        <v>Optimizar y sistematizar el proceso de auditoría integral en salud, jurídica y financiera de recobros y reclamaciones</v>
      </c>
      <c r="BJ15" s="831">
        <f>(AB15/11)*3</f>
        <v>39270000</v>
      </c>
      <c r="BK15" s="840"/>
      <c r="BL15" s="840"/>
      <c r="BM15" s="828">
        <f>+(BK15/BH15)</f>
        <v>0</v>
      </c>
      <c r="BN15" s="828">
        <f>+(BL15/BJ15)</f>
        <v>0</v>
      </c>
      <c r="BO15" s="828">
        <f>+(AQ15+AG15+BA15+BK15)/Z15</f>
        <v>0.75</v>
      </c>
      <c r="BP15" s="828">
        <f>+(AR15+AH15+BB15+BL15)/AB15</f>
        <v>0.86116985457323414</v>
      </c>
      <c r="BQ15" s="68"/>
      <c r="BR15" s="640">
        <f>IF(AND(AD15=0,AG15=0),"No Prog ni Ejec",IF(AD15=0,CONCATENATE("No Prog, Ejec=  ",AG15),AG15/AD15))</f>
        <v>1</v>
      </c>
      <c r="BS15" s="640">
        <f>IF(AND(AF15=0,AH15=0),"No Prog ni Ejec",IF(AF15=0,CONCATENATE("No Prog, Ejec=  ",AH15),AH15/AF15))</f>
        <v>0.43058492742551568</v>
      </c>
      <c r="BT15" s="640">
        <f>IF(AND(AN15=0,AQ15=0),"No Prog ni Ejec",IF(AN15=0,CONCATENATE("No Prog, Ejec=  ",AQ15),AQ15/AN15))</f>
        <v>1</v>
      </c>
      <c r="BU15" s="640">
        <f>IF(AND(AP15=0,AR15=0),"No Prog ni Ejec",IF(AP15=0,CONCATENATE("No Prog, Ejec=  ",AR15),AR15/AP15))</f>
        <v>1.4352830909090908</v>
      </c>
      <c r="BV15" s="640">
        <f>IF(AND(AX15=0,BA15=0),"No Prog ni Ejec",IF(AX15=0,CONCATENATE("No Prog, Ejec=  ",BA15),BA15/AX15))</f>
        <v>1</v>
      </c>
      <c r="BW15" s="640">
        <f>IF(AND(AZ15=0,BB15=0),"No Prog ni Ejec",IF(AZ15=0,CONCATENATE("No Prog, Ejec=  ",BB15),BB15/AZ15))</f>
        <v>1.4352830909090908</v>
      </c>
      <c r="BX15" s="640">
        <f>IF(AND(BH15=0,BK15=0),"No Prog ni Ejec",IF(BH15=0,CONCATENATE("No Prog, Ejec=  ",BK15),BK15/BH15))</f>
        <v>0</v>
      </c>
      <c r="BY15" s="698">
        <f>IF(AND(BJ15=0,BL15=0),"No Prog ni Ejec",IF(BJ15=0,CONCATENATE("No Prog, Ejec=  ",BL15),BL15/BJ15))</f>
        <v>0</v>
      </c>
      <c r="BZ15" s="149">
        <f t="shared" si="1"/>
        <v>0</v>
      </c>
      <c r="CA15" s="781">
        <f t="shared" si="0"/>
        <v>0</v>
      </c>
    </row>
    <row r="16" spans="1:79" s="70" customFormat="1" ht="357" x14ac:dyDescent="0.2">
      <c r="A16" s="834">
        <v>11500</v>
      </c>
      <c r="B16" s="827" t="s">
        <v>13</v>
      </c>
      <c r="C16" s="827" t="s">
        <v>330</v>
      </c>
      <c r="D16" s="845" t="s">
        <v>1020</v>
      </c>
      <c r="E16" s="845"/>
      <c r="F16" s="835" t="s">
        <v>95</v>
      </c>
      <c r="G16" s="827" t="s">
        <v>345</v>
      </c>
      <c r="H16" s="835" t="s">
        <v>110</v>
      </c>
      <c r="I16" s="827" t="s">
        <v>339</v>
      </c>
      <c r="J16" s="835" t="s">
        <v>570</v>
      </c>
      <c r="K16" s="827" t="s">
        <v>409</v>
      </c>
      <c r="L16" s="838" t="s">
        <v>391</v>
      </c>
      <c r="M16" s="67">
        <v>12</v>
      </c>
      <c r="N16" s="835" t="s">
        <v>569</v>
      </c>
      <c r="O16" s="65" t="s">
        <v>414</v>
      </c>
      <c r="P16" s="849">
        <v>0</v>
      </c>
      <c r="Q16" s="832">
        <v>1</v>
      </c>
      <c r="R16" s="827" t="s">
        <v>17</v>
      </c>
      <c r="S16" s="827" t="s">
        <v>26</v>
      </c>
      <c r="T16" s="827" t="s">
        <v>631</v>
      </c>
      <c r="U16" s="827" t="s">
        <v>634</v>
      </c>
      <c r="V16" s="827" t="s">
        <v>71</v>
      </c>
      <c r="W16" s="827" t="s">
        <v>1262</v>
      </c>
      <c r="X16" s="827" t="s">
        <v>418</v>
      </c>
      <c r="Y16" s="827" t="s">
        <v>284</v>
      </c>
      <c r="Z16" s="67">
        <v>12</v>
      </c>
      <c r="AA16" s="827" t="str">
        <f t="shared" si="11"/>
        <v>Ordenar el giro previo a favor de las entidades recobrantes y proveedores de servicios y tecnologías no incluidas en el PB con cargo a la UPC</v>
      </c>
      <c r="AB16" s="833">
        <f t="shared" si="12"/>
        <v>0</v>
      </c>
      <c r="AC16" s="860" t="s">
        <v>48</v>
      </c>
      <c r="AD16" s="67">
        <v>3</v>
      </c>
      <c r="AE16" s="827" t="str">
        <f t="shared" ref="AE16:AE21" si="37">+AA16</f>
        <v>Ordenar el giro previo a favor de las entidades recobrantes y proveedores de servicios y tecnologías no incluidas en el PB con cargo a la UPC</v>
      </c>
      <c r="AF16" s="831">
        <v>0</v>
      </c>
      <c r="AG16" s="467">
        <v>3</v>
      </c>
      <c r="AH16" s="864">
        <v>0</v>
      </c>
      <c r="AI16" s="828">
        <f t="shared" si="13"/>
        <v>1</v>
      </c>
      <c r="AJ16" s="828" t="e">
        <f t="shared" si="14"/>
        <v>#DIV/0!</v>
      </c>
      <c r="AK16" s="828">
        <f t="shared" si="15"/>
        <v>0.25</v>
      </c>
      <c r="AL16" s="828" t="e">
        <f t="shared" si="16"/>
        <v>#DIV/0!</v>
      </c>
      <c r="AM16" s="472" t="s">
        <v>1323</v>
      </c>
      <c r="AN16" s="67">
        <v>3</v>
      </c>
      <c r="AO16" s="827" t="str">
        <f t="shared" ref="AO16:AO21" si="38">+AA16</f>
        <v>Ordenar el giro previo a favor de las entidades recobrantes y proveedores de servicios y tecnologías no incluidas en el PB con cargo a la UPC</v>
      </c>
      <c r="AP16" s="831">
        <v>0</v>
      </c>
      <c r="AQ16" s="838">
        <v>6</v>
      </c>
      <c r="AR16" s="831">
        <v>0</v>
      </c>
      <c r="AS16" s="828">
        <f t="shared" si="17"/>
        <v>2</v>
      </c>
      <c r="AT16" s="828" t="e">
        <f t="shared" si="18"/>
        <v>#DIV/0!</v>
      </c>
      <c r="AU16" s="828">
        <f t="shared" si="19"/>
        <v>0.75</v>
      </c>
      <c r="AV16" s="828" t="e">
        <f t="shared" si="20"/>
        <v>#DIV/0!</v>
      </c>
      <c r="AW16" s="829" t="s">
        <v>1756</v>
      </c>
      <c r="AX16" s="67">
        <v>3</v>
      </c>
      <c r="AY16" s="827" t="str">
        <f>+AA16</f>
        <v>Ordenar el giro previo a favor de las entidades recobrantes y proveedores de servicios y tecnologías no incluidas en el PB con cargo a la UPC</v>
      </c>
      <c r="AZ16" s="831">
        <v>0</v>
      </c>
      <c r="BA16" s="967">
        <v>8</v>
      </c>
      <c r="BB16" s="975">
        <v>0</v>
      </c>
      <c r="BC16" s="828">
        <f t="shared" si="21"/>
        <v>2.6666666666666665</v>
      </c>
      <c r="BD16" s="828" t="e">
        <f t="shared" si="22"/>
        <v>#DIV/0!</v>
      </c>
      <c r="BE16" s="828">
        <f t="shared" si="23"/>
        <v>1.4166666666666667</v>
      </c>
      <c r="BF16" s="828" t="e">
        <f t="shared" si="24"/>
        <v>#DIV/0!</v>
      </c>
      <c r="BG16" s="466" t="s">
        <v>1852</v>
      </c>
      <c r="BH16" s="67">
        <v>3</v>
      </c>
      <c r="BI16" s="827" t="str">
        <f t="shared" ref="BI16:BI21" si="39">+AA16</f>
        <v>Ordenar el giro previo a favor de las entidades recobrantes y proveedores de servicios y tecnologías no incluidas en el PB con cargo a la UPC</v>
      </c>
      <c r="BJ16" s="831">
        <v>0</v>
      </c>
      <c r="BK16" s="840"/>
      <c r="BL16" s="840"/>
      <c r="BM16" s="828">
        <f t="shared" si="25"/>
        <v>0</v>
      </c>
      <c r="BN16" s="828" t="e">
        <f>+(BL16/BJ16)</f>
        <v>#DIV/0!</v>
      </c>
      <c r="BO16" s="828">
        <f t="shared" si="27"/>
        <v>1.4166666666666667</v>
      </c>
      <c r="BP16" s="828" t="e">
        <f t="shared" si="28"/>
        <v>#DIV/0!</v>
      </c>
      <c r="BQ16" s="68"/>
      <c r="BR16" s="640">
        <f t="shared" si="29"/>
        <v>1</v>
      </c>
      <c r="BS16" s="640" t="str">
        <f t="shared" si="30"/>
        <v>No Prog ni Ejec</v>
      </c>
      <c r="BT16" s="640">
        <f t="shared" si="31"/>
        <v>2</v>
      </c>
      <c r="BU16" s="640" t="str">
        <f t="shared" si="32"/>
        <v>No Prog ni Ejec</v>
      </c>
      <c r="BV16" s="640">
        <f t="shared" si="33"/>
        <v>2.6666666666666665</v>
      </c>
      <c r="BW16" s="640" t="str">
        <f t="shared" si="34"/>
        <v>No Prog ni Ejec</v>
      </c>
      <c r="BX16" s="640">
        <f t="shared" si="35"/>
        <v>0</v>
      </c>
      <c r="BY16" s="698" t="str">
        <f t="shared" si="36"/>
        <v>No Prog ni Ejec</v>
      </c>
      <c r="BZ16" s="149">
        <f t="shared" si="1"/>
        <v>0</v>
      </c>
      <c r="CA16" s="781">
        <f t="shared" si="0"/>
        <v>0</v>
      </c>
    </row>
    <row r="17" spans="1:79" s="70" customFormat="1" ht="114.75" customHeight="1" x14ac:dyDescent="0.2">
      <c r="A17" s="834">
        <v>11500</v>
      </c>
      <c r="B17" s="827" t="s">
        <v>13</v>
      </c>
      <c r="C17" s="827" t="s">
        <v>330</v>
      </c>
      <c r="D17" s="845" t="s">
        <v>1020</v>
      </c>
      <c r="E17" s="845"/>
      <c r="F17" s="835" t="s">
        <v>95</v>
      </c>
      <c r="G17" s="827" t="s">
        <v>345</v>
      </c>
      <c r="H17" s="835" t="s">
        <v>110</v>
      </c>
      <c r="I17" s="827" t="s">
        <v>339</v>
      </c>
      <c r="J17" s="835" t="s">
        <v>588</v>
      </c>
      <c r="K17" s="827" t="s">
        <v>410</v>
      </c>
      <c r="L17" s="838" t="s">
        <v>169</v>
      </c>
      <c r="M17" s="826">
        <v>1</v>
      </c>
      <c r="N17" s="835" t="s">
        <v>585</v>
      </c>
      <c r="O17" s="691" t="s">
        <v>1476</v>
      </c>
      <c r="P17" s="833">
        <v>0</v>
      </c>
      <c r="Q17" s="832">
        <v>1</v>
      </c>
      <c r="R17" s="827" t="s">
        <v>17</v>
      </c>
      <c r="S17" s="827" t="s">
        <v>26</v>
      </c>
      <c r="T17" s="827" t="s">
        <v>631</v>
      </c>
      <c r="U17" s="827" t="s">
        <v>634</v>
      </c>
      <c r="V17" s="827" t="s">
        <v>71</v>
      </c>
      <c r="W17" s="827" t="s">
        <v>1261</v>
      </c>
      <c r="X17" s="827" t="s">
        <v>1478</v>
      </c>
      <c r="Y17" s="827" t="s">
        <v>284</v>
      </c>
      <c r="Z17" s="828">
        <v>1</v>
      </c>
      <c r="AA17" s="691" t="str">
        <f t="shared" si="11"/>
        <v>Ordenar el pago de los paquetes de recobros cuyo trámite de auditoría se encuentre certificado o haya sido allegado el auto de desistimiento para el caso de recobros inmersos en procesos judiciales.</v>
      </c>
      <c r="AB17" s="833">
        <f t="shared" si="12"/>
        <v>0</v>
      </c>
      <c r="AC17" s="860" t="s">
        <v>48</v>
      </c>
      <c r="AD17" s="828">
        <v>0.25</v>
      </c>
      <c r="AE17" s="691" t="str">
        <f t="shared" si="37"/>
        <v>Ordenar el pago de los paquetes de recobros cuyo trámite de auditoría se encuentre certificado o haya sido allegado el auto de desistimiento para el caso de recobros inmersos en procesos judiciales.</v>
      </c>
      <c r="AF17" s="831">
        <v>0</v>
      </c>
      <c r="AG17" s="467">
        <v>0</v>
      </c>
      <c r="AH17" s="864">
        <v>0</v>
      </c>
      <c r="AI17" s="828">
        <f t="shared" si="13"/>
        <v>0</v>
      </c>
      <c r="AJ17" s="828" t="e">
        <f t="shared" si="14"/>
        <v>#DIV/0!</v>
      </c>
      <c r="AK17" s="828">
        <f t="shared" si="15"/>
        <v>0</v>
      </c>
      <c r="AL17" s="828" t="e">
        <f t="shared" si="16"/>
        <v>#DIV/0!</v>
      </c>
      <c r="AM17" s="472" t="s">
        <v>1324</v>
      </c>
      <c r="AN17" s="828">
        <v>0.25</v>
      </c>
      <c r="AO17" s="691" t="str">
        <f t="shared" si="38"/>
        <v>Ordenar el pago de los paquetes de recobros cuyo trámite de auditoría se encuentre certificado o haya sido allegado el auto de desistimiento para el caso de recobros inmersos en procesos judiciales.</v>
      </c>
      <c r="AP17" s="831">
        <v>0</v>
      </c>
      <c r="AQ17" s="851">
        <f>(3/3)*25%</f>
        <v>0.25</v>
      </c>
      <c r="AR17" s="831">
        <v>0</v>
      </c>
      <c r="AS17" s="828">
        <f t="shared" si="17"/>
        <v>1</v>
      </c>
      <c r="AT17" s="828" t="e">
        <f t="shared" si="18"/>
        <v>#DIV/0!</v>
      </c>
      <c r="AU17" s="828">
        <f t="shared" si="19"/>
        <v>0.25</v>
      </c>
      <c r="AV17" s="828" t="e">
        <f t="shared" si="20"/>
        <v>#DIV/0!</v>
      </c>
      <c r="AW17" s="829" t="s">
        <v>1757</v>
      </c>
      <c r="AX17" s="828">
        <v>0.25</v>
      </c>
      <c r="AY17" s="691" t="str">
        <f t="shared" ref="AY17:AY21" si="40">+AA17</f>
        <v>Ordenar el pago de los paquetes de recobros cuyo trámite de auditoría se encuentre certificado o haya sido allegado el auto de desistimiento para el caso de recobros inmersos en procesos judiciales.</v>
      </c>
      <c r="AZ17" s="831">
        <v>0</v>
      </c>
      <c r="BA17" s="686">
        <f>(10/10)*25%</f>
        <v>0.25</v>
      </c>
      <c r="BB17" s="975">
        <v>0</v>
      </c>
      <c r="BC17" s="828">
        <f t="shared" si="21"/>
        <v>1</v>
      </c>
      <c r="BD17" s="828" t="e">
        <f t="shared" si="22"/>
        <v>#DIV/0!</v>
      </c>
      <c r="BE17" s="828">
        <f t="shared" si="23"/>
        <v>0.5</v>
      </c>
      <c r="BF17" s="828" t="e">
        <f t="shared" si="24"/>
        <v>#DIV/0!</v>
      </c>
      <c r="BG17" s="466" t="s">
        <v>1846</v>
      </c>
      <c r="BH17" s="828">
        <v>0.25</v>
      </c>
      <c r="BI17" s="691" t="str">
        <f t="shared" si="39"/>
        <v>Ordenar el pago de los paquetes de recobros cuyo trámite de auditoría se encuentre certificado o haya sido allegado el auto de desistimiento para el caso de recobros inmersos en procesos judiciales.</v>
      </c>
      <c r="BJ17" s="831">
        <v>0</v>
      </c>
      <c r="BK17" s="840"/>
      <c r="BL17" s="840"/>
      <c r="BM17" s="828">
        <f t="shared" si="25"/>
        <v>0</v>
      </c>
      <c r="BN17" s="828" t="e">
        <f t="shared" si="26"/>
        <v>#DIV/0!</v>
      </c>
      <c r="BO17" s="828">
        <f t="shared" si="27"/>
        <v>0.5</v>
      </c>
      <c r="BP17" s="828" t="e">
        <f t="shared" si="28"/>
        <v>#DIV/0!</v>
      </c>
      <c r="BQ17" s="68"/>
      <c r="BR17" s="640">
        <f t="shared" si="29"/>
        <v>0</v>
      </c>
      <c r="BS17" s="640" t="str">
        <f t="shared" si="30"/>
        <v>No Prog ni Ejec</v>
      </c>
      <c r="BT17" s="640">
        <f t="shared" si="31"/>
        <v>1</v>
      </c>
      <c r="BU17" s="640" t="str">
        <f t="shared" si="32"/>
        <v>No Prog ni Ejec</v>
      </c>
      <c r="BV17" s="640">
        <f t="shared" si="33"/>
        <v>1</v>
      </c>
      <c r="BW17" s="640" t="str">
        <f t="shared" si="34"/>
        <v>No Prog ni Ejec</v>
      </c>
      <c r="BX17" s="640">
        <f t="shared" si="35"/>
        <v>0</v>
      </c>
      <c r="BY17" s="698" t="str">
        <f t="shared" si="36"/>
        <v>No Prog ni Ejec</v>
      </c>
      <c r="BZ17" s="149">
        <f t="shared" si="1"/>
        <v>0</v>
      </c>
      <c r="CA17" s="781">
        <f t="shared" si="0"/>
        <v>0</v>
      </c>
    </row>
    <row r="18" spans="1:79" s="70" customFormat="1" ht="76.5" x14ac:dyDescent="0.2">
      <c r="A18" s="834">
        <v>11500</v>
      </c>
      <c r="B18" s="827" t="s">
        <v>13</v>
      </c>
      <c r="C18" s="827" t="s">
        <v>330</v>
      </c>
      <c r="D18" s="845" t="s">
        <v>1020</v>
      </c>
      <c r="E18" s="845"/>
      <c r="F18" s="835" t="s">
        <v>95</v>
      </c>
      <c r="G18" s="827" t="s">
        <v>345</v>
      </c>
      <c r="H18" s="835" t="s">
        <v>110</v>
      </c>
      <c r="I18" s="827" t="s">
        <v>339</v>
      </c>
      <c r="J18" s="835" t="s">
        <v>587</v>
      </c>
      <c r="K18" s="827" t="s">
        <v>411</v>
      </c>
      <c r="L18" s="838" t="s">
        <v>169</v>
      </c>
      <c r="M18" s="826">
        <v>1</v>
      </c>
      <c r="N18" s="835" t="s">
        <v>586</v>
      </c>
      <c r="O18" s="65" t="s">
        <v>415</v>
      </c>
      <c r="P18" s="849">
        <v>0</v>
      </c>
      <c r="Q18" s="832">
        <v>1</v>
      </c>
      <c r="R18" s="827" t="s">
        <v>18</v>
      </c>
      <c r="S18" s="827" t="s">
        <v>24</v>
      </c>
      <c r="T18" s="827" t="s">
        <v>631</v>
      </c>
      <c r="U18" s="827" t="s">
        <v>634</v>
      </c>
      <c r="V18" s="827" t="s">
        <v>71</v>
      </c>
      <c r="W18" s="827" t="s">
        <v>204</v>
      </c>
      <c r="X18" s="827" t="s">
        <v>419</v>
      </c>
      <c r="Y18" s="827" t="s">
        <v>40</v>
      </c>
      <c r="Z18" s="826">
        <v>1</v>
      </c>
      <c r="AA18" s="827" t="str">
        <f t="shared" si="11"/>
        <v xml:space="preserve">Solicitar la publicación del los giros ordenados por recobros </v>
      </c>
      <c r="AB18" s="833">
        <f t="shared" si="12"/>
        <v>0</v>
      </c>
      <c r="AC18" s="860" t="s">
        <v>48</v>
      </c>
      <c r="AD18" s="828">
        <v>0.25</v>
      </c>
      <c r="AE18" s="827" t="str">
        <f t="shared" si="37"/>
        <v xml:space="preserve">Solicitar la publicación del los giros ordenados por recobros </v>
      </c>
      <c r="AF18" s="831">
        <v>0</v>
      </c>
      <c r="AG18" s="468">
        <f>(3/3)*25%</f>
        <v>0.25</v>
      </c>
      <c r="AH18" s="494">
        <v>0</v>
      </c>
      <c r="AI18" s="828">
        <f t="shared" si="13"/>
        <v>1</v>
      </c>
      <c r="AJ18" s="828" t="e">
        <f t="shared" si="14"/>
        <v>#DIV/0!</v>
      </c>
      <c r="AK18" s="828">
        <f t="shared" si="15"/>
        <v>0.25</v>
      </c>
      <c r="AL18" s="828" t="e">
        <f t="shared" si="16"/>
        <v>#DIV/0!</v>
      </c>
      <c r="AM18" s="471" t="s">
        <v>1325</v>
      </c>
      <c r="AN18" s="828">
        <v>0.25</v>
      </c>
      <c r="AO18" s="827" t="str">
        <f t="shared" si="38"/>
        <v xml:space="preserve">Solicitar la publicación del los giros ordenados por recobros </v>
      </c>
      <c r="AP18" s="831">
        <v>0</v>
      </c>
      <c r="AQ18" s="851">
        <f>(9/9)*25%</f>
        <v>0.25</v>
      </c>
      <c r="AR18" s="831">
        <v>0</v>
      </c>
      <c r="AS18" s="828">
        <f t="shared" si="17"/>
        <v>1</v>
      </c>
      <c r="AT18" s="828" t="e">
        <f t="shared" si="18"/>
        <v>#DIV/0!</v>
      </c>
      <c r="AU18" s="828">
        <f t="shared" si="19"/>
        <v>0.5</v>
      </c>
      <c r="AV18" s="828" t="e">
        <f t="shared" si="20"/>
        <v>#DIV/0!</v>
      </c>
      <c r="AW18" s="829" t="s">
        <v>1691</v>
      </c>
      <c r="AX18" s="828">
        <v>0.25</v>
      </c>
      <c r="AY18" s="827" t="str">
        <f t="shared" si="40"/>
        <v xml:space="preserve">Solicitar la publicación del los giros ordenados por recobros </v>
      </c>
      <c r="AZ18" s="831">
        <v>0</v>
      </c>
      <c r="BA18" s="686">
        <f>(18/18)*25%</f>
        <v>0.25</v>
      </c>
      <c r="BB18" s="975">
        <v>0</v>
      </c>
      <c r="BC18" s="828">
        <f t="shared" si="21"/>
        <v>1</v>
      </c>
      <c r="BD18" s="828" t="e">
        <f t="shared" si="22"/>
        <v>#DIV/0!</v>
      </c>
      <c r="BE18" s="828">
        <f t="shared" si="23"/>
        <v>0.75</v>
      </c>
      <c r="BF18" s="828" t="e">
        <f t="shared" si="24"/>
        <v>#DIV/0!</v>
      </c>
      <c r="BG18" s="466" t="s">
        <v>1847</v>
      </c>
      <c r="BH18" s="828">
        <v>0.25</v>
      </c>
      <c r="BI18" s="827" t="str">
        <f t="shared" si="39"/>
        <v xml:space="preserve">Solicitar la publicación del los giros ordenados por recobros </v>
      </c>
      <c r="BJ18" s="831">
        <v>0</v>
      </c>
      <c r="BK18" s="840"/>
      <c r="BL18" s="840"/>
      <c r="BM18" s="828">
        <f t="shared" si="25"/>
        <v>0</v>
      </c>
      <c r="BN18" s="828" t="e">
        <f t="shared" si="26"/>
        <v>#DIV/0!</v>
      </c>
      <c r="BO18" s="828">
        <f t="shared" si="27"/>
        <v>0.75</v>
      </c>
      <c r="BP18" s="828" t="e">
        <f t="shared" si="28"/>
        <v>#DIV/0!</v>
      </c>
      <c r="BQ18" s="68"/>
      <c r="BR18" s="640">
        <f t="shared" si="29"/>
        <v>1</v>
      </c>
      <c r="BS18" s="640" t="str">
        <f t="shared" si="30"/>
        <v>No Prog ni Ejec</v>
      </c>
      <c r="BT18" s="640">
        <f t="shared" si="31"/>
        <v>1</v>
      </c>
      <c r="BU18" s="640" t="str">
        <f t="shared" si="32"/>
        <v>No Prog ni Ejec</v>
      </c>
      <c r="BV18" s="640">
        <f t="shared" si="33"/>
        <v>1</v>
      </c>
      <c r="BW18" s="640" t="str">
        <f t="shared" si="34"/>
        <v>No Prog ni Ejec</v>
      </c>
      <c r="BX18" s="640">
        <f t="shared" si="35"/>
        <v>0</v>
      </c>
      <c r="BY18" s="698" t="str">
        <f t="shared" si="36"/>
        <v>No Prog ni Ejec</v>
      </c>
      <c r="BZ18" s="149">
        <f t="shared" si="1"/>
        <v>0</v>
      </c>
      <c r="CA18" s="781">
        <f t="shared" si="0"/>
        <v>0</v>
      </c>
    </row>
    <row r="19" spans="1:79" s="70" customFormat="1" ht="153" x14ac:dyDescent="0.2">
      <c r="A19" s="834">
        <v>11500</v>
      </c>
      <c r="B19" s="827" t="s">
        <v>13</v>
      </c>
      <c r="C19" s="827" t="s">
        <v>330</v>
      </c>
      <c r="D19" s="845" t="s">
        <v>1020</v>
      </c>
      <c r="E19" s="845"/>
      <c r="F19" s="835" t="s">
        <v>95</v>
      </c>
      <c r="G19" s="827" t="s">
        <v>345</v>
      </c>
      <c r="H19" s="835" t="s">
        <v>110</v>
      </c>
      <c r="I19" s="827" t="s">
        <v>339</v>
      </c>
      <c r="J19" s="835" t="s">
        <v>591</v>
      </c>
      <c r="K19" s="827" t="s">
        <v>412</v>
      </c>
      <c r="L19" s="838" t="s">
        <v>169</v>
      </c>
      <c r="M19" s="826">
        <v>1</v>
      </c>
      <c r="N19" s="835" t="s">
        <v>589</v>
      </c>
      <c r="O19" s="65" t="s">
        <v>1477</v>
      </c>
      <c r="P19" s="849">
        <v>0</v>
      </c>
      <c r="Q19" s="832">
        <v>1</v>
      </c>
      <c r="R19" s="827" t="s">
        <v>17</v>
      </c>
      <c r="S19" s="827" t="s">
        <v>26</v>
      </c>
      <c r="T19" s="827" t="s">
        <v>631</v>
      </c>
      <c r="U19" s="827" t="s">
        <v>634</v>
      </c>
      <c r="V19" s="827" t="s">
        <v>71</v>
      </c>
      <c r="W19" s="827" t="s">
        <v>1264</v>
      </c>
      <c r="X19" s="827" t="s">
        <v>1479</v>
      </c>
      <c r="Y19" s="827" t="s">
        <v>284</v>
      </c>
      <c r="Z19" s="828">
        <v>1</v>
      </c>
      <c r="AA19" s="827" t="str">
        <f t="shared" si="11"/>
        <v>Ordenar el pago de los paquetes de reclamaciones cuyo trámite de auditoría se encuentre certificado o haya sido allegado el auto de desistimiento para el caso de reclamaciones inmersas en procesos judiciales</v>
      </c>
      <c r="AB19" s="833">
        <f t="shared" si="12"/>
        <v>0</v>
      </c>
      <c r="AC19" s="860" t="s">
        <v>48</v>
      </c>
      <c r="AD19" s="828">
        <v>0.25</v>
      </c>
      <c r="AE19" s="827" t="str">
        <f t="shared" si="37"/>
        <v>Ordenar el pago de los paquetes de reclamaciones cuyo trámite de auditoría se encuentre certificado o haya sido allegado el auto de desistimiento para el caso de reclamaciones inmersas en procesos judiciales</v>
      </c>
      <c r="AF19" s="831">
        <v>0</v>
      </c>
      <c r="AG19" s="468">
        <f>(10/10)*25%</f>
        <v>0.25</v>
      </c>
      <c r="AH19" s="494">
        <v>0</v>
      </c>
      <c r="AI19" s="828">
        <f t="shared" si="13"/>
        <v>1</v>
      </c>
      <c r="AJ19" s="828" t="e">
        <f t="shared" si="14"/>
        <v>#DIV/0!</v>
      </c>
      <c r="AK19" s="828">
        <f t="shared" si="15"/>
        <v>0.25</v>
      </c>
      <c r="AL19" s="828" t="e">
        <f t="shared" si="16"/>
        <v>#DIV/0!</v>
      </c>
      <c r="AM19" s="472" t="s">
        <v>1326</v>
      </c>
      <c r="AN19" s="828">
        <v>0.25</v>
      </c>
      <c r="AO19" s="827" t="str">
        <f t="shared" si="38"/>
        <v>Ordenar el pago de los paquetes de reclamaciones cuyo trámite de auditoría se encuentre certificado o haya sido allegado el auto de desistimiento para el caso de reclamaciones inmersas en procesos judiciales</v>
      </c>
      <c r="AP19" s="831">
        <v>0</v>
      </c>
      <c r="AQ19" s="851">
        <f>(23/23)*25%</f>
        <v>0.25</v>
      </c>
      <c r="AR19" s="831">
        <v>0</v>
      </c>
      <c r="AS19" s="828">
        <f t="shared" si="17"/>
        <v>1</v>
      </c>
      <c r="AT19" s="828" t="e">
        <f t="shared" si="18"/>
        <v>#DIV/0!</v>
      </c>
      <c r="AU19" s="828">
        <f t="shared" si="19"/>
        <v>0.5</v>
      </c>
      <c r="AV19" s="828" t="e">
        <f t="shared" si="20"/>
        <v>#DIV/0!</v>
      </c>
      <c r="AW19" s="829" t="s">
        <v>1692</v>
      </c>
      <c r="AX19" s="828">
        <v>0.25</v>
      </c>
      <c r="AY19" s="827" t="str">
        <f t="shared" si="40"/>
        <v>Ordenar el pago de los paquetes de reclamaciones cuyo trámite de auditoría se encuentre certificado o haya sido allegado el auto de desistimiento para el caso de reclamaciones inmersas en procesos judiciales</v>
      </c>
      <c r="AZ19" s="831">
        <v>0</v>
      </c>
      <c r="BA19" s="970">
        <f>(35/35)*25%</f>
        <v>0.25</v>
      </c>
      <c r="BB19" s="975">
        <v>0</v>
      </c>
      <c r="BC19" s="828">
        <f t="shared" si="21"/>
        <v>1</v>
      </c>
      <c r="BD19" s="828" t="e">
        <f t="shared" si="22"/>
        <v>#DIV/0!</v>
      </c>
      <c r="BE19" s="828">
        <f t="shared" si="23"/>
        <v>0.75</v>
      </c>
      <c r="BF19" s="828" t="e">
        <f t="shared" si="24"/>
        <v>#DIV/0!</v>
      </c>
      <c r="BG19" s="466" t="s">
        <v>1848</v>
      </c>
      <c r="BH19" s="828">
        <v>0.25</v>
      </c>
      <c r="BI19" s="827" t="str">
        <f t="shared" si="39"/>
        <v>Ordenar el pago de los paquetes de reclamaciones cuyo trámite de auditoría se encuentre certificado o haya sido allegado el auto de desistimiento para el caso de reclamaciones inmersas en procesos judiciales</v>
      </c>
      <c r="BJ19" s="831">
        <v>0</v>
      </c>
      <c r="BK19" s="840"/>
      <c r="BL19" s="840"/>
      <c r="BM19" s="828">
        <f t="shared" si="25"/>
        <v>0</v>
      </c>
      <c r="BN19" s="828" t="e">
        <f t="shared" si="26"/>
        <v>#DIV/0!</v>
      </c>
      <c r="BO19" s="828">
        <f t="shared" si="27"/>
        <v>0.75</v>
      </c>
      <c r="BP19" s="828" t="e">
        <f t="shared" si="28"/>
        <v>#DIV/0!</v>
      </c>
      <c r="BQ19" s="68"/>
      <c r="BR19" s="640">
        <f t="shared" si="29"/>
        <v>1</v>
      </c>
      <c r="BS19" s="640" t="str">
        <f t="shared" si="30"/>
        <v>No Prog ni Ejec</v>
      </c>
      <c r="BT19" s="640">
        <f t="shared" si="31"/>
        <v>1</v>
      </c>
      <c r="BU19" s="640" t="str">
        <f t="shared" si="32"/>
        <v>No Prog ni Ejec</v>
      </c>
      <c r="BV19" s="640">
        <f t="shared" si="33"/>
        <v>1</v>
      </c>
      <c r="BW19" s="640" t="str">
        <f t="shared" si="34"/>
        <v>No Prog ni Ejec</v>
      </c>
      <c r="BX19" s="640">
        <f t="shared" si="35"/>
        <v>0</v>
      </c>
      <c r="BY19" s="698" t="str">
        <f t="shared" si="36"/>
        <v>No Prog ni Ejec</v>
      </c>
      <c r="BZ19" s="149">
        <f t="shared" si="1"/>
        <v>0</v>
      </c>
      <c r="CA19" s="781">
        <f t="shared" si="0"/>
        <v>0</v>
      </c>
    </row>
    <row r="20" spans="1:79" s="70" customFormat="1" ht="89.25" x14ac:dyDescent="0.2">
      <c r="A20" s="834">
        <v>11500</v>
      </c>
      <c r="B20" s="827" t="s">
        <v>13</v>
      </c>
      <c r="C20" s="827" t="s">
        <v>330</v>
      </c>
      <c r="D20" s="845" t="s">
        <v>1020</v>
      </c>
      <c r="E20" s="845"/>
      <c r="F20" s="835" t="s">
        <v>95</v>
      </c>
      <c r="G20" s="827" t="s">
        <v>345</v>
      </c>
      <c r="H20" s="835" t="s">
        <v>110</v>
      </c>
      <c r="I20" s="827" t="s">
        <v>339</v>
      </c>
      <c r="J20" s="835" t="s">
        <v>590</v>
      </c>
      <c r="K20" s="827" t="s">
        <v>413</v>
      </c>
      <c r="L20" s="838" t="s">
        <v>169</v>
      </c>
      <c r="M20" s="826">
        <v>1</v>
      </c>
      <c r="N20" s="835" t="s">
        <v>584</v>
      </c>
      <c r="O20" s="65" t="s">
        <v>416</v>
      </c>
      <c r="P20" s="849">
        <v>0</v>
      </c>
      <c r="Q20" s="832">
        <v>1</v>
      </c>
      <c r="R20" s="827" t="s">
        <v>18</v>
      </c>
      <c r="S20" s="827" t="s">
        <v>24</v>
      </c>
      <c r="T20" s="827" t="s">
        <v>631</v>
      </c>
      <c r="U20" s="827" t="s">
        <v>634</v>
      </c>
      <c r="V20" s="827" t="s">
        <v>71</v>
      </c>
      <c r="W20" s="827" t="s">
        <v>204</v>
      </c>
      <c r="X20" s="827" t="s">
        <v>1480</v>
      </c>
      <c r="Y20" s="827" t="s">
        <v>40</v>
      </c>
      <c r="Z20" s="826">
        <v>1</v>
      </c>
      <c r="AA20" s="827" t="str">
        <f t="shared" si="11"/>
        <v>Solicitar la publicación del los giros ordenados por reclamaciones</v>
      </c>
      <c r="AB20" s="833">
        <f t="shared" si="12"/>
        <v>0</v>
      </c>
      <c r="AC20" s="860" t="s">
        <v>48</v>
      </c>
      <c r="AD20" s="828">
        <v>0.25</v>
      </c>
      <c r="AE20" s="827" t="str">
        <f t="shared" si="37"/>
        <v>Solicitar la publicación del los giros ordenados por reclamaciones</v>
      </c>
      <c r="AF20" s="831">
        <v>0</v>
      </c>
      <c r="AG20" s="468">
        <f>(10/10)*25%</f>
        <v>0.25</v>
      </c>
      <c r="AH20" s="494">
        <v>0</v>
      </c>
      <c r="AI20" s="828">
        <f t="shared" si="13"/>
        <v>1</v>
      </c>
      <c r="AJ20" s="828" t="e">
        <f t="shared" si="14"/>
        <v>#DIV/0!</v>
      </c>
      <c r="AK20" s="828">
        <f t="shared" si="15"/>
        <v>0.25</v>
      </c>
      <c r="AL20" s="828" t="e">
        <f t="shared" si="16"/>
        <v>#DIV/0!</v>
      </c>
      <c r="AM20" s="471" t="s">
        <v>1327</v>
      </c>
      <c r="AN20" s="828">
        <v>0.25</v>
      </c>
      <c r="AO20" s="827" t="str">
        <f t="shared" si="38"/>
        <v>Solicitar la publicación del los giros ordenados por reclamaciones</v>
      </c>
      <c r="AP20" s="831">
        <v>0</v>
      </c>
      <c r="AQ20" s="851">
        <f>(23/23)*25%</f>
        <v>0.25</v>
      </c>
      <c r="AR20" s="831">
        <v>0</v>
      </c>
      <c r="AS20" s="828">
        <f t="shared" si="17"/>
        <v>1</v>
      </c>
      <c r="AT20" s="828" t="e">
        <f t="shared" si="18"/>
        <v>#DIV/0!</v>
      </c>
      <c r="AU20" s="828">
        <f t="shared" si="19"/>
        <v>0.5</v>
      </c>
      <c r="AV20" s="828" t="e">
        <f t="shared" si="20"/>
        <v>#DIV/0!</v>
      </c>
      <c r="AW20" s="829" t="s">
        <v>1693</v>
      </c>
      <c r="AX20" s="828">
        <v>0.25</v>
      </c>
      <c r="AY20" s="827" t="str">
        <f t="shared" si="40"/>
        <v>Solicitar la publicación del los giros ordenados por reclamaciones</v>
      </c>
      <c r="AZ20" s="831">
        <v>0</v>
      </c>
      <c r="BA20" s="970">
        <f>(35/35)*25%</f>
        <v>0.25</v>
      </c>
      <c r="BB20" s="975">
        <v>0</v>
      </c>
      <c r="BC20" s="828">
        <f t="shared" si="21"/>
        <v>1</v>
      </c>
      <c r="BD20" s="828" t="e">
        <f t="shared" si="22"/>
        <v>#DIV/0!</v>
      </c>
      <c r="BE20" s="828">
        <f t="shared" si="23"/>
        <v>0.75</v>
      </c>
      <c r="BF20" s="828" t="e">
        <f t="shared" si="24"/>
        <v>#DIV/0!</v>
      </c>
      <c r="BG20" s="466" t="s">
        <v>1849</v>
      </c>
      <c r="BH20" s="828">
        <v>0.25</v>
      </c>
      <c r="BI20" s="827" t="str">
        <f t="shared" si="39"/>
        <v>Solicitar la publicación del los giros ordenados por reclamaciones</v>
      </c>
      <c r="BJ20" s="831">
        <v>0</v>
      </c>
      <c r="BK20" s="840"/>
      <c r="BL20" s="840"/>
      <c r="BM20" s="828">
        <f t="shared" si="25"/>
        <v>0</v>
      </c>
      <c r="BN20" s="828" t="e">
        <f t="shared" si="26"/>
        <v>#DIV/0!</v>
      </c>
      <c r="BO20" s="828">
        <f t="shared" si="27"/>
        <v>0.75</v>
      </c>
      <c r="BP20" s="828" t="e">
        <f t="shared" si="28"/>
        <v>#DIV/0!</v>
      </c>
      <c r="BQ20" s="68"/>
      <c r="BR20" s="640">
        <f t="shared" si="29"/>
        <v>1</v>
      </c>
      <c r="BS20" s="640" t="str">
        <f t="shared" si="30"/>
        <v>No Prog ni Ejec</v>
      </c>
      <c r="BT20" s="640">
        <f t="shared" si="31"/>
        <v>1</v>
      </c>
      <c r="BU20" s="640" t="str">
        <f t="shared" si="32"/>
        <v>No Prog ni Ejec</v>
      </c>
      <c r="BV20" s="640">
        <f t="shared" si="33"/>
        <v>1</v>
      </c>
      <c r="BW20" s="640" t="str">
        <f t="shared" si="34"/>
        <v>No Prog ni Ejec</v>
      </c>
      <c r="BX20" s="640">
        <f t="shared" si="35"/>
        <v>0</v>
      </c>
      <c r="BY20" s="698" t="str">
        <f t="shared" si="36"/>
        <v>No Prog ni Ejec</v>
      </c>
      <c r="BZ20" s="149">
        <f t="shared" si="1"/>
        <v>0</v>
      </c>
      <c r="CA20" s="781">
        <f t="shared" si="0"/>
        <v>0</v>
      </c>
    </row>
    <row r="21" spans="1:79" s="70" customFormat="1" ht="409.5" customHeight="1" x14ac:dyDescent="0.2">
      <c r="A21" s="1138">
        <v>11600</v>
      </c>
      <c r="B21" s="827" t="s">
        <v>4</v>
      </c>
      <c r="C21" s="1072" t="s">
        <v>330</v>
      </c>
      <c r="D21" s="845" t="s">
        <v>1020</v>
      </c>
      <c r="E21" s="845" t="s">
        <v>1020</v>
      </c>
      <c r="F21" s="1139" t="s">
        <v>99</v>
      </c>
      <c r="G21" s="1072" t="s">
        <v>348</v>
      </c>
      <c r="H21" s="1140" t="s">
        <v>101</v>
      </c>
      <c r="I21" s="1072" t="s">
        <v>341</v>
      </c>
      <c r="J21" s="835" t="s">
        <v>571</v>
      </c>
      <c r="K21" s="827" t="s">
        <v>1070</v>
      </c>
      <c r="L21" s="838" t="s">
        <v>51</v>
      </c>
      <c r="M21" s="826">
        <v>0.1</v>
      </c>
      <c r="N21" s="1139" t="s">
        <v>104</v>
      </c>
      <c r="O21" s="1072" t="s">
        <v>1078</v>
      </c>
      <c r="P21" s="1075">
        <v>146880000</v>
      </c>
      <c r="Q21" s="1147">
        <v>1</v>
      </c>
      <c r="R21" s="1072" t="s">
        <v>18</v>
      </c>
      <c r="S21" s="1072" t="s">
        <v>24</v>
      </c>
      <c r="T21" s="1072" t="s">
        <v>631</v>
      </c>
      <c r="U21" s="1072" t="s">
        <v>634</v>
      </c>
      <c r="V21" s="1072" t="s">
        <v>1590</v>
      </c>
      <c r="W21" s="1072" t="s">
        <v>1265</v>
      </c>
      <c r="X21" s="827" t="s">
        <v>1073</v>
      </c>
      <c r="Y21" s="1072" t="s">
        <v>42</v>
      </c>
      <c r="Z21" s="463">
        <v>0.1</v>
      </c>
      <c r="AA21" s="1072" t="str">
        <f>+O21</f>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B21" s="1148">
        <f>+P21</f>
        <v>146880000</v>
      </c>
      <c r="AC21" s="860" t="s">
        <v>46</v>
      </c>
      <c r="AD21" s="126">
        <v>2.5000000000000001E-2</v>
      </c>
      <c r="AE21" s="1072" t="str">
        <f t="shared" si="37"/>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F21" s="1075">
        <f>+AB21/4</f>
        <v>36720000</v>
      </c>
      <c r="AG21" s="464">
        <f>(18595/743779)</f>
        <v>2.5000705854830534E-2</v>
      </c>
      <c r="AH21" s="1056">
        <f>(272000+4080000+4080000)+(272000+4080000+4080000)+(0+2448000+4080000)</f>
        <v>23392000</v>
      </c>
      <c r="AI21" s="828">
        <f>+(AG21/AD21)</f>
        <v>1.0000282341932214</v>
      </c>
      <c r="AJ21" s="1073">
        <f>+(AH21/AF21)</f>
        <v>0.63703703703703707</v>
      </c>
      <c r="AK21" s="828">
        <f>+(AG21/Z21)</f>
        <v>0.25000705854830535</v>
      </c>
      <c r="AL21" s="1073">
        <f>+(AH21/AB21)</f>
        <v>0.15925925925925927</v>
      </c>
      <c r="AM21" s="465" t="s">
        <v>1727</v>
      </c>
      <c r="AN21" s="126">
        <v>2.5000000000000001E-2</v>
      </c>
      <c r="AO21" s="1072" t="str">
        <f t="shared" si="38"/>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P21" s="1075">
        <f>+AB21/4</f>
        <v>36720000</v>
      </c>
      <c r="AQ21" s="687">
        <f>(16307/652266)</f>
        <v>2.5000536590900031E-2</v>
      </c>
      <c r="AR21" s="1075">
        <f>(4080000+4080000+4080000)+(4080000+4080000+4080000)+(4080000+4080000+4080000)</f>
        <v>36720000</v>
      </c>
      <c r="AS21" s="828">
        <f>+(AQ21/AN21)</f>
        <v>1.0000214636360012</v>
      </c>
      <c r="AT21" s="1073">
        <f>+(AR21/AP21)</f>
        <v>1</v>
      </c>
      <c r="AU21" s="828">
        <f>+(AQ21+AG21)/Z21</f>
        <v>0.50001242445730565</v>
      </c>
      <c r="AV21" s="1073">
        <f>+(AR21+AH21)/AB21</f>
        <v>0.40925925925925927</v>
      </c>
      <c r="AW21" s="829" t="s">
        <v>1728</v>
      </c>
      <c r="AX21" s="126">
        <v>2.5000000000000001E-2</v>
      </c>
      <c r="AY21" s="1072" t="str">
        <f t="shared" si="40"/>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AZ21" s="1075">
        <f>+AB21/4</f>
        <v>36720000</v>
      </c>
      <c r="BA21" s="126">
        <v>2.5000000000000001E-2</v>
      </c>
      <c r="BB21" s="1094">
        <f>(4080000+4080000+4080000)+ (4080000+4080000+4080000)+(4080000+4080000+4080000)</f>
        <v>36720000</v>
      </c>
      <c r="BC21" s="828">
        <f>+(BA21/AX21)</f>
        <v>1</v>
      </c>
      <c r="BD21" s="1073">
        <f>+(BB21/AZ21)</f>
        <v>1</v>
      </c>
      <c r="BE21" s="828">
        <f>+(AQ21+AG21+BA21)/Z21</f>
        <v>0.75001242445730554</v>
      </c>
      <c r="BF21" s="1073">
        <f>+(AR21+AH21+BB21)/AB21</f>
        <v>0.65925925925925921</v>
      </c>
      <c r="BG21" s="466" t="s">
        <v>1820</v>
      </c>
      <c r="BH21" s="126">
        <v>2.5000000000000001E-2</v>
      </c>
      <c r="BI21" s="1072" t="str">
        <f t="shared" si="39"/>
        <v>Apoyar la gestión de los procesos y procedimientos misionales y tecnológicos de la Base de Datos Única de Afiliados – BDUA realizando auditorias preventivas y correctivas de inconsistencias que se detecten, brindando la asistencia técnica necesaria a los actores del proceso bajo y depurando esta información según aplique el marco normativo vigente la normativa vigente.</v>
      </c>
      <c r="BJ21" s="1075">
        <f>+AB21/4</f>
        <v>36720000</v>
      </c>
      <c r="BK21" s="840"/>
      <c r="BL21" s="1093"/>
      <c r="BM21" s="828">
        <f>+(BK21/BH21)</f>
        <v>0</v>
      </c>
      <c r="BN21" s="1073">
        <f>+(BL21/BJ21)</f>
        <v>0</v>
      </c>
      <c r="BO21" s="828">
        <f>+(AQ21+AG21+BA21+BK21)/Z21</f>
        <v>0.75001242445730554</v>
      </c>
      <c r="BP21" s="1073">
        <f>+(AR21+AH21+BB21+BL21)/AB21</f>
        <v>0.65925925925925921</v>
      </c>
      <c r="BQ21" s="68"/>
      <c r="BR21" s="640">
        <f>IF(AND(AD21=0,AG21=0),"No Prog ni Ejec",IF(AD21=0,CONCATENATE("No Prog, Ejec=  ",AG21),AG21/AD21))</f>
        <v>1.0000282341932214</v>
      </c>
      <c r="BS21" s="1092">
        <f>IF(AND(AF21=0,AH21=0),"No Prog ni Ejec",IF(AF21=0,CONCATENATE("No Prog, Ejec=  ",AH21),AH21/AF21))</f>
        <v>0.63703703703703707</v>
      </c>
      <c r="BT21" s="640">
        <f>IF(AND(AN21=0,AQ21=0),"No Prog ni Ejec",IF(AN21=0,CONCATENATE("No Prog, Ejec=  ",AQ21),AQ21/AN21))</f>
        <v>1.0000214636360012</v>
      </c>
      <c r="BU21" s="1092">
        <f>IF(AND(AP21=0,AR21=0),"No Prog ni Ejec",IF(AP21=0,CONCATENATE("No Prog, Ejec=  ",AR21),AR21/AP21))</f>
        <v>1</v>
      </c>
      <c r="BV21" s="640">
        <f>IF(AND(AX21=0,BA21=0),"No Prog ni Ejec",IF(AX21=0,CONCATENATE("No Prog, Ejec=  ",BA21),BA21/AX21))</f>
        <v>1</v>
      </c>
      <c r="BW21" s="1092">
        <f>IF(AND(AZ21=0,BB21=0),"No Prog ni Ejec",IF(AZ21=0,CONCATENATE("No Prog, Ejec=  ",BB21),BB21/AZ21))</f>
        <v>1</v>
      </c>
      <c r="BX21" s="640">
        <f>IF(AND(BH21=0,BK21=0),"No Prog ni Ejec",IF(BH21=0,CONCATENATE("No Prog, Ejec=  ",BK21),BK21/BH21))</f>
        <v>0</v>
      </c>
      <c r="BY21" s="1091">
        <f>IF(AND(BJ21=0,BL21=0),"No Prog ni Ejec",IF(BJ21=0,CONCATENATE("No Prog, Ejec=  ",BL21),BL21/BJ21))</f>
        <v>0</v>
      </c>
      <c r="BZ21" s="149">
        <f t="shared" si="1"/>
        <v>0</v>
      </c>
    </row>
    <row r="22" spans="1:79" s="70" customFormat="1" ht="200.25" customHeight="1" x14ac:dyDescent="0.2">
      <c r="A22" s="1138"/>
      <c r="B22" s="827" t="s">
        <v>4</v>
      </c>
      <c r="C22" s="1072"/>
      <c r="D22" s="845" t="s">
        <v>1020</v>
      </c>
      <c r="E22" s="845" t="s">
        <v>1020</v>
      </c>
      <c r="F22" s="1139"/>
      <c r="G22" s="1072"/>
      <c r="H22" s="1140"/>
      <c r="I22" s="1072"/>
      <c r="J22" s="835" t="s">
        <v>1079</v>
      </c>
      <c r="K22" s="827" t="s">
        <v>1071</v>
      </c>
      <c r="L22" s="1068" t="s">
        <v>51</v>
      </c>
      <c r="M22" s="1141">
        <v>1</v>
      </c>
      <c r="N22" s="1139"/>
      <c r="O22" s="1072"/>
      <c r="P22" s="1075"/>
      <c r="Q22" s="1147"/>
      <c r="R22" s="1072"/>
      <c r="S22" s="1072"/>
      <c r="T22" s="1072"/>
      <c r="U22" s="1072"/>
      <c r="V22" s="1072"/>
      <c r="W22" s="1072"/>
      <c r="X22" s="1072" t="s">
        <v>1075</v>
      </c>
      <c r="Y22" s="1072"/>
      <c r="Z22" s="1141">
        <v>1</v>
      </c>
      <c r="AA22" s="1072"/>
      <c r="AB22" s="1148"/>
      <c r="AC22" s="860" t="s">
        <v>46</v>
      </c>
      <c r="AD22" s="1073">
        <v>0.25</v>
      </c>
      <c r="AE22" s="1072"/>
      <c r="AF22" s="1075"/>
      <c r="AG22" s="1074">
        <f>(((((44760+36947)/81707)+((1745+4284)/6029))*AD22))/2</f>
        <v>0.25</v>
      </c>
      <c r="AH22" s="1056"/>
      <c r="AI22" s="1073">
        <f>+(AG22/AD22)</f>
        <v>1</v>
      </c>
      <c r="AJ22" s="1073"/>
      <c r="AK22" s="1073">
        <f>+(AG22/Z22)</f>
        <v>0.25</v>
      </c>
      <c r="AL22" s="1073"/>
      <c r="AM22" s="1078" t="s">
        <v>1312</v>
      </c>
      <c r="AN22" s="1073">
        <v>0.25</v>
      </c>
      <c r="AO22" s="1072"/>
      <c r="AP22" s="1075"/>
      <c r="AQ22" s="1062">
        <f>(((912+0)/912)*AN22+((27386+45895 )/73281)*AN22)/2</f>
        <v>0.25</v>
      </c>
      <c r="AR22" s="1075"/>
      <c r="AS22" s="1073">
        <f>+(AQ22/AN22)</f>
        <v>1</v>
      </c>
      <c r="AT22" s="1073"/>
      <c r="AU22" s="1073">
        <f>+(AQ22+AG22)/Z22</f>
        <v>0.5</v>
      </c>
      <c r="AV22" s="1073"/>
      <c r="AW22" s="1145" t="s">
        <v>1659</v>
      </c>
      <c r="AX22" s="1073">
        <v>0.25</v>
      </c>
      <c r="AY22" s="1072"/>
      <c r="AZ22" s="1075"/>
      <c r="BA22" s="1073">
        <f>(((1323+0)/1323)*AN22+((11231+5949 )/17180)*AN22)/2</f>
        <v>0.25</v>
      </c>
      <c r="BB22" s="1095"/>
      <c r="BC22" s="1073">
        <f>+(BA22/AX22)</f>
        <v>1</v>
      </c>
      <c r="BD22" s="1073"/>
      <c r="BE22" s="1073">
        <f>+(AQ22+AG22+BA22)/Z22</f>
        <v>0.75</v>
      </c>
      <c r="BF22" s="1073"/>
      <c r="BG22" s="1097" t="s">
        <v>1952</v>
      </c>
      <c r="BH22" s="1073">
        <v>0.25</v>
      </c>
      <c r="BI22" s="1072"/>
      <c r="BJ22" s="1075"/>
      <c r="BK22" s="1093"/>
      <c r="BL22" s="1093"/>
      <c r="BM22" s="1073">
        <f>+(BK22/BH22)</f>
        <v>0</v>
      </c>
      <c r="BN22" s="1073"/>
      <c r="BO22" s="1073">
        <f>+(AQ22+AG22+BA22+BK22)/Z21</f>
        <v>7.5</v>
      </c>
      <c r="BP22" s="1073"/>
      <c r="BQ22" s="68"/>
      <c r="BR22" s="1092">
        <f>IF(AND(AD22=0,AG22=0),"No Prog ni Ejec",IF(AD22=0,CONCATENATE("No Prog, Ejec=  ",AG22),AG22/AD22))</f>
        <v>1</v>
      </c>
      <c r="BS22" s="1092"/>
      <c r="BT22" s="1092">
        <f>IF(AND(AN22=0,AQ22=0),"No Prog ni Ejec",IF(AN22=0,CONCATENATE("No Prog, Ejec=  ",AQ22),AQ22/AN22))</f>
        <v>1</v>
      </c>
      <c r="BU22" s="1092"/>
      <c r="BV22" s="1092">
        <f>IF(AND(AX22=0,BA22=0),"No Prog ni Ejec",IF(AX22=0,CONCATENATE("No Prog, Ejec=  ",BA22),BA22/AX22))</f>
        <v>1</v>
      </c>
      <c r="BW22" s="1092"/>
      <c r="BX22" s="1092">
        <f>IF(AND(BH22=0,BK22=0),"No Prog ni Ejec",IF(BH22=0,CONCATENATE("No Prog, Ejec=  ",BK22),BK22/BH22))</f>
        <v>0</v>
      </c>
      <c r="BY22" s="1091"/>
      <c r="BZ22" s="149">
        <f t="shared" si="1"/>
        <v>0</v>
      </c>
    </row>
    <row r="23" spans="1:79" s="70" customFormat="1" ht="218.25" customHeight="1" x14ac:dyDescent="0.2">
      <c r="A23" s="1138"/>
      <c r="B23" s="827" t="s">
        <v>4</v>
      </c>
      <c r="C23" s="1072"/>
      <c r="D23" s="845" t="s">
        <v>1020</v>
      </c>
      <c r="E23" s="845" t="s">
        <v>1020</v>
      </c>
      <c r="F23" s="1139"/>
      <c r="G23" s="1072"/>
      <c r="H23" s="1140"/>
      <c r="I23" s="1072"/>
      <c r="J23" s="835" t="s">
        <v>1080</v>
      </c>
      <c r="K23" s="827" t="s">
        <v>1072</v>
      </c>
      <c r="L23" s="1068"/>
      <c r="M23" s="1141"/>
      <c r="N23" s="1139"/>
      <c r="O23" s="1072"/>
      <c r="P23" s="1075"/>
      <c r="Q23" s="1147"/>
      <c r="R23" s="1072"/>
      <c r="S23" s="1072"/>
      <c r="T23" s="1072"/>
      <c r="U23" s="1072"/>
      <c r="V23" s="1072"/>
      <c r="W23" s="1072"/>
      <c r="X23" s="1072"/>
      <c r="Y23" s="1072"/>
      <c r="Z23" s="1141"/>
      <c r="AA23" s="1072"/>
      <c r="AB23" s="1148"/>
      <c r="AC23" s="860" t="s">
        <v>46</v>
      </c>
      <c r="AD23" s="1073"/>
      <c r="AE23" s="1072"/>
      <c r="AF23" s="1075"/>
      <c r="AG23" s="1074"/>
      <c r="AH23" s="1056"/>
      <c r="AI23" s="1073"/>
      <c r="AJ23" s="1073"/>
      <c r="AK23" s="1073"/>
      <c r="AL23" s="1073"/>
      <c r="AM23" s="1062"/>
      <c r="AN23" s="1073"/>
      <c r="AO23" s="1072"/>
      <c r="AP23" s="1075"/>
      <c r="AQ23" s="1062"/>
      <c r="AR23" s="1075"/>
      <c r="AS23" s="1073"/>
      <c r="AT23" s="1073"/>
      <c r="AU23" s="1073"/>
      <c r="AV23" s="1073"/>
      <c r="AW23" s="1146"/>
      <c r="AX23" s="1073"/>
      <c r="AY23" s="1072"/>
      <c r="AZ23" s="1075"/>
      <c r="BA23" s="1073"/>
      <c r="BB23" s="1095"/>
      <c r="BC23" s="1073"/>
      <c r="BD23" s="1073"/>
      <c r="BE23" s="1073"/>
      <c r="BF23" s="1073"/>
      <c r="BG23" s="1098"/>
      <c r="BH23" s="1073"/>
      <c r="BI23" s="1072"/>
      <c r="BJ23" s="1075"/>
      <c r="BK23" s="1093"/>
      <c r="BL23" s="1093"/>
      <c r="BM23" s="1073"/>
      <c r="BN23" s="1073"/>
      <c r="BO23" s="1073"/>
      <c r="BP23" s="1073"/>
      <c r="BQ23" s="68"/>
      <c r="BR23" s="1092"/>
      <c r="BS23" s="1092"/>
      <c r="BT23" s="1092"/>
      <c r="BU23" s="1092"/>
      <c r="BV23" s="1092"/>
      <c r="BW23" s="1092"/>
      <c r="BX23" s="1092"/>
      <c r="BY23" s="1091"/>
      <c r="BZ23" s="149">
        <f t="shared" si="1"/>
        <v>0</v>
      </c>
    </row>
    <row r="24" spans="1:79" s="70" customFormat="1" ht="359.25" customHeight="1" x14ac:dyDescent="0.2">
      <c r="A24" s="1138"/>
      <c r="B24" s="827" t="s">
        <v>4</v>
      </c>
      <c r="C24" s="1072"/>
      <c r="D24" s="845" t="s">
        <v>1020</v>
      </c>
      <c r="E24" s="845" t="s">
        <v>1020</v>
      </c>
      <c r="F24" s="1139"/>
      <c r="G24" s="1072"/>
      <c r="H24" s="1140"/>
      <c r="I24" s="1072"/>
      <c r="J24" s="835" t="s">
        <v>1081</v>
      </c>
      <c r="K24" s="827" t="s">
        <v>386</v>
      </c>
      <c r="L24" s="838" t="s">
        <v>51</v>
      </c>
      <c r="M24" s="826">
        <v>1</v>
      </c>
      <c r="N24" s="1139"/>
      <c r="O24" s="1072"/>
      <c r="P24" s="1075"/>
      <c r="Q24" s="1147"/>
      <c r="R24" s="1072"/>
      <c r="S24" s="1072"/>
      <c r="T24" s="1072"/>
      <c r="U24" s="1072"/>
      <c r="V24" s="1072"/>
      <c r="W24" s="1072"/>
      <c r="X24" s="827" t="s">
        <v>1074</v>
      </c>
      <c r="Y24" s="1072"/>
      <c r="Z24" s="463">
        <v>1</v>
      </c>
      <c r="AA24" s="1072"/>
      <c r="AB24" s="1148"/>
      <c r="AC24" s="860" t="s">
        <v>46</v>
      </c>
      <c r="AD24" s="826">
        <v>0.25</v>
      </c>
      <c r="AE24" s="1072"/>
      <c r="AF24" s="1075"/>
      <c r="AG24" s="495">
        <f>(((632/642)+(55/55))/2)*AD24</f>
        <v>0.24805295950155765</v>
      </c>
      <c r="AH24" s="1056"/>
      <c r="AI24" s="828">
        <f>+(AG24/AD24)</f>
        <v>0.99221183800623058</v>
      </c>
      <c r="AJ24" s="1073"/>
      <c r="AK24" s="828">
        <f>+(AG24/Z24)</f>
        <v>0.24805295950155765</v>
      </c>
      <c r="AL24" s="1073"/>
      <c r="AM24" s="479" t="s">
        <v>1313</v>
      </c>
      <c r="AN24" s="826">
        <v>0.25</v>
      </c>
      <c r="AO24" s="1072"/>
      <c r="AP24" s="1075"/>
      <c r="AQ24" s="495">
        <f>(((1338)/1339)*AN24+((554 )/554)*AN24)/2</f>
        <v>0.24990664675130694</v>
      </c>
      <c r="AR24" s="1075"/>
      <c r="AS24" s="828">
        <f>+(AQ24/AN24)</f>
        <v>0.99962658700522777</v>
      </c>
      <c r="AT24" s="1073"/>
      <c r="AU24" s="828">
        <f>+(AQ24+AG24)/Z24</f>
        <v>0.49795960625286462</v>
      </c>
      <c r="AV24" s="1073"/>
      <c r="AW24" s="829" t="s">
        <v>1660</v>
      </c>
      <c r="AX24" s="826">
        <v>0.25</v>
      </c>
      <c r="AY24" s="1072"/>
      <c r="AZ24" s="1075"/>
      <c r="BA24" s="813">
        <f>(((999)/1036)*AN24+((980)/1069)*AN24)/2</f>
        <v>0.23512879192837099</v>
      </c>
      <c r="BB24" s="1096"/>
      <c r="BC24" s="828">
        <f>+(BA24/AX24)</f>
        <v>0.94051516771348398</v>
      </c>
      <c r="BD24" s="1073"/>
      <c r="BE24" s="828">
        <f>+(AQ24+AG24+BA24)/Z24</f>
        <v>0.73308839818123561</v>
      </c>
      <c r="BF24" s="1073"/>
      <c r="BG24" s="466" t="s">
        <v>1821</v>
      </c>
      <c r="BH24" s="826">
        <v>0.25</v>
      </c>
      <c r="BI24" s="1072"/>
      <c r="BJ24" s="1075"/>
      <c r="BK24" s="840"/>
      <c r="BL24" s="1093"/>
      <c r="BM24" s="828">
        <f>+(BK24/BH24)</f>
        <v>0</v>
      </c>
      <c r="BN24" s="1073"/>
      <c r="BO24" s="828">
        <f>+(AQ24+AG24+BA24+BK24)/Z21</f>
        <v>7.3308839818123559</v>
      </c>
      <c r="BP24" s="1073"/>
      <c r="BQ24" s="68"/>
      <c r="BR24" s="640">
        <f>IF(AND(AD24=0,AG24=0),"No Prog ni Ejec",IF(AD24=0,CONCATENATE("No Prog, Ejec=  ",AG24),AG24/AD24))</f>
        <v>0.99221183800623058</v>
      </c>
      <c r="BS24" s="1092"/>
      <c r="BT24" s="640">
        <f>IF(AND(AN24=0,AQ24=0),"No Prog ni Ejec",IF(AN24=0,CONCATENATE("No Prog, Ejec=  ",AQ24),AQ24/AN24))</f>
        <v>0.99962658700522777</v>
      </c>
      <c r="BU24" s="1092"/>
      <c r="BV24" s="640">
        <f>IF(AND(AX24=0,BA24=0),"No Prog ni Ejec",IF(AX24=0,CONCATENATE("No Prog, Ejec=  ",BA24),BA24/AX24))</f>
        <v>0.94051516771348398</v>
      </c>
      <c r="BW24" s="1092"/>
      <c r="BX24" s="640">
        <f>IF(AND(BH24=0,BK24=0),"No Prog ni Ejec",IF(BH24=0,CONCATENATE("No Prog, Ejec=  ",BK24),BK24/BH24))</f>
        <v>0</v>
      </c>
      <c r="BY24" s="1091"/>
      <c r="BZ24" s="149">
        <f t="shared" si="1"/>
        <v>0</v>
      </c>
    </row>
    <row r="25" spans="1:79" s="70" customFormat="1" ht="408.75" customHeight="1" x14ac:dyDescent="0.2">
      <c r="A25" s="834">
        <v>11600</v>
      </c>
      <c r="B25" s="827" t="s">
        <v>4</v>
      </c>
      <c r="C25" s="827" t="s">
        <v>330</v>
      </c>
      <c r="D25" s="845" t="s">
        <v>1020</v>
      </c>
      <c r="E25" s="845" t="s">
        <v>1020</v>
      </c>
      <c r="F25" s="835" t="s">
        <v>99</v>
      </c>
      <c r="G25" s="827" t="s">
        <v>348</v>
      </c>
      <c r="H25" s="836" t="s">
        <v>101</v>
      </c>
      <c r="I25" s="827" t="s">
        <v>341</v>
      </c>
      <c r="J25" s="836" t="s">
        <v>573</v>
      </c>
      <c r="K25" s="827" t="s">
        <v>912</v>
      </c>
      <c r="L25" s="838" t="s">
        <v>51</v>
      </c>
      <c r="M25" s="826">
        <v>1</v>
      </c>
      <c r="N25" s="836" t="s">
        <v>572</v>
      </c>
      <c r="O25" s="827" t="s">
        <v>911</v>
      </c>
      <c r="P25" s="831">
        <f>255645072+110602068+364000000+277671089</f>
        <v>1007918229</v>
      </c>
      <c r="Q25" s="832">
        <v>1</v>
      </c>
      <c r="R25" s="827" t="s">
        <v>18</v>
      </c>
      <c r="S25" s="827" t="s">
        <v>24</v>
      </c>
      <c r="T25" s="827" t="s">
        <v>631</v>
      </c>
      <c r="U25" s="827" t="s">
        <v>634</v>
      </c>
      <c r="V25" s="827" t="s">
        <v>81</v>
      </c>
      <c r="W25" s="827" t="s">
        <v>1266</v>
      </c>
      <c r="X25" s="827" t="s">
        <v>1302</v>
      </c>
      <c r="Y25" s="827" t="s">
        <v>44</v>
      </c>
      <c r="Z25" s="826">
        <v>1</v>
      </c>
      <c r="AA25" s="827" t="str">
        <f t="shared" ref="AA25:AB30" si="41">+O25</f>
        <v>Desarrollo, soporte, mantenimiento, actualización e integración de los aplicativos que soportan las operaciones misionales de la Entidad</v>
      </c>
      <c r="AB25" s="833">
        <f t="shared" si="41"/>
        <v>1007918229</v>
      </c>
      <c r="AC25" s="860" t="s">
        <v>46</v>
      </c>
      <c r="AD25" s="826">
        <v>0.25</v>
      </c>
      <c r="AE25" s="827" t="str">
        <f>+AA25</f>
        <v>Desarrollo, soporte, mantenimiento, actualización e integración de los aplicativos que soportan las operaciones misionales de la Entidad</v>
      </c>
      <c r="AF25" s="831">
        <f t="shared" ref="AF25:AF31" si="42">+AB25/4</f>
        <v>251979557.25</v>
      </c>
      <c r="AG25" s="495">
        <f>(763/768)*AD25</f>
        <v>0.24837239583333334</v>
      </c>
      <c r="AH25" s="831">
        <f>(342456+5136839+5136839)+(0+4623155+5136839)+(0+3672000+4080000)+(147680+4430407+4430407)+(952000-544000+4080000+4080000)</f>
        <v>45704622</v>
      </c>
      <c r="AI25" s="828">
        <f>+(AG25/AD25)</f>
        <v>0.99348958333333337</v>
      </c>
      <c r="AJ25" s="828">
        <f>+(AH25/AF25)</f>
        <v>0.18138226171520111</v>
      </c>
      <c r="AK25" s="828">
        <f>+(AG25/Z25)</f>
        <v>0.24837239583333334</v>
      </c>
      <c r="AL25" s="828">
        <f>+(AH25/AB25)</f>
        <v>4.5345565428800277E-2</v>
      </c>
      <c r="AM25" s="479" t="s">
        <v>1729</v>
      </c>
      <c r="AN25" s="826">
        <v>0.25</v>
      </c>
      <c r="AO25" s="827" t="str">
        <f>+AA25</f>
        <v>Desarrollo, soporte, mantenimiento, actualización e integración de los aplicativos que soportan las operaciones misionales de la Entidad</v>
      </c>
      <c r="AP25" s="831">
        <f t="shared" ref="AP25:AP31" si="43">+AB25/4</f>
        <v>251979557.25</v>
      </c>
      <c r="AQ25" s="495">
        <f>(1471/1474)*AN25</f>
        <v>0.2494911804613297</v>
      </c>
      <c r="AR25" s="831">
        <f>(5136839+5136839+5136839) + (5136839+5136839+5136839) + (4080000+4080000+4080000)+(4430407+4282726+0)+ (4080000+4080000+4080000)</f>
        <v>64014167</v>
      </c>
      <c r="AS25" s="828">
        <f>+(AQ25/AN25)</f>
        <v>0.99796472184531881</v>
      </c>
      <c r="AT25" s="828">
        <f>+(AR25/AP25)</f>
        <v>0.2540450808733215</v>
      </c>
      <c r="AU25" s="828">
        <f>+(AQ25+AG25)/Z25</f>
        <v>0.49786357629466305</v>
      </c>
      <c r="AV25" s="828">
        <f>+(AR25+AH25)/AB25</f>
        <v>0.10885683564713065</v>
      </c>
      <c r="AW25" s="829" t="s">
        <v>1730</v>
      </c>
      <c r="AX25" s="826">
        <v>0.25</v>
      </c>
      <c r="AY25" s="827" t="str">
        <f>+AA25</f>
        <v>Desarrollo, soporte, mantenimiento, actualización e integración de los aplicativos que soportan las operaciones misionales de la Entidad</v>
      </c>
      <c r="AZ25" s="831">
        <f t="shared" ref="AZ25:AZ31" si="44">+AB25/4</f>
        <v>251979557.25</v>
      </c>
      <c r="BA25" s="495">
        <f>(902/1164)*AX25</f>
        <v>0.19372852233676977</v>
      </c>
      <c r="BB25" s="955">
        <f>(5136839+5136839+5136839)+(5136839+5136839+5136839)+(4080000+4080000+4080000)+(4080000+4080000+4080000)</f>
        <v>55301034</v>
      </c>
      <c r="BC25" s="828">
        <f>+(BA25/AX25)</f>
        <v>0.77491408934707906</v>
      </c>
      <c r="BD25" s="828">
        <f>+(BB25/AZ25)</f>
        <v>0.21946635117361291</v>
      </c>
      <c r="BE25" s="828">
        <f>+(AQ25+AG25+BA25)/Z25</f>
        <v>0.69159209863143278</v>
      </c>
      <c r="BF25" s="828">
        <f>+(AR25+AH25+BB25)/AB25</f>
        <v>0.16372342344053389</v>
      </c>
      <c r="BG25" s="466" t="s">
        <v>1822</v>
      </c>
      <c r="BH25" s="826">
        <v>0.25</v>
      </c>
      <c r="BI25" s="827" t="str">
        <f>+AA25</f>
        <v>Desarrollo, soporte, mantenimiento, actualización e integración de los aplicativos que soportan las operaciones misionales de la Entidad</v>
      </c>
      <c r="BJ25" s="831">
        <f t="shared" ref="BJ25:BJ31" si="45">+AB25/4</f>
        <v>251979557.25</v>
      </c>
      <c r="BK25" s="840"/>
      <c r="BL25" s="840"/>
      <c r="BM25" s="828">
        <f>+(BK25/BH25)</f>
        <v>0</v>
      </c>
      <c r="BN25" s="828">
        <f>+(BL25/BJ25)</f>
        <v>0</v>
      </c>
      <c r="BO25" s="828">
        <f>+(AQ25+AG25+BA25+BK25)/Z25</f>
        <v>0.69159209863143278</v>
      </c>
      <c r="BP25" s="828">
        <f>+(AR25+AH25+BB25+BL25)/AB25</f>
        <v>0.16372342344053389</v>
      </c>
      <c r="BQ25" s="68"/>
      <c r="BR25" s="640">
        <f>IF(AND(AD25=0,AG25=0),"No Prog ni Ejec",IF(AD25=0,CONCATENATE("No Prog, Ejec=  ",AG25),AG25/AD25))</f>
        <v>0.99348958333333337</v>
      </c>
      <c r="BS25" s="640">
        <f>IF(AND(AF25=0,AH25=0),"No Prog ni Ejec",IF(AF25=0,CONCATENATE("No Prog, Ejec=  ",AH25),AH25/AF25))</f>
        <v>0.18138226171520111</v>
      </c>
      <c r="BT25" s="640">
        <f>IF(AND(AN25=0,AQ25=0),"No Prog ni Ejec",IF(AN25=0,CONCATENATE("No Prog, Ejec=  ",AQ25),AQ25/AN25))</f>
        <v>0.99796472184531881</v>
      </c>
      <c r="BU25" s="640">
        <f>IF(AND(AP25=0,AR25=0),"No Prog ni Ejec",IF(AP25=0,CONCATENATE("No Prog, Ejec=  ",AR25),AR25/AP25))</f>
        <v>0.2540450808733215</v>
      </c>
      <c r="BV25" s="640">
        <f>IF(AND(AX25=0,BA25=0),"No Prog ni Ejec",IF(AX25=0,CONCATENATE("No Prog, Ejec=  ",BA25),BA25/AX25))</f>
        <v>0.77491408934707906</v>
      </c>
      <c r="BW25" s="640">
        <f>IF(AND(AZ25=0,BB25=0),"No Prog ni Ejec",IF(AZ25=0,CONCATENATE("No Prog, Ejec=  ",BB25),BB25/AZ25))</f>
        <v>0.21946635117361291</v>
      </c>
      <c r="BX25" s="640">
        <f>IF(AND(BH25=0,BK25=0),"No Prog ni Ejec",IF(BH25=0,CONCATENATE("No Prog, Ejec=  ",BK25),BK25/BH25))</f>
        <v>0</v>
      </c>
      <c r="BY25" s="698">
        <f>IF(AND(BJ25=0,BL25=0),"No Prog ni Ejec",IF(BJ25=0,CONCATENATE("No Prog, Ejec=  ",BL25),BL25/BJ25))</f>
        <v>0</v>
      </c>
      <c r="BZ25" s="149">
        <f t="shared" si="1"/>
        <v>0</v>
      </c>
    </row>
    <row r="26" spans="1:79" s="70" customFormat="1" ht="140.25" x14ac:dyDescent="0.2">
      <c r="A26" s="834">
        <v>11400</v>
      </c>
      <c r="B26" s="827" t="s">
        <v>12</v>
      </c>
      <c r="C26" s="827" t="s">
        <v>330</v>
      </c>
      <c r="D26" s="845" t="s">
        <v>1020</v>
      </c>
      <c r="E26" s="845" t="s">
        <v>1020</v>
      </c>
      <c r="F26" s="835" t="s">
        <v>65</v>
      </c>
      <c r="G26" s="827" t="s">
        <v>344</v>
      </c>
      <c r="H26" s="835" t="s">
        <v>66</v>
      </c>
      <c r="I26" s="827" t="s">
        <v>340</v>
      </c>
      <c r="J26" s="835" t="s">
        <v>1084</v>
      </c>
      <c r="K26" s="827" t="s">
        <v>401</v>
      </c>
      <c r="L26" s="838" t="s">
        <v>51</v>
      </c>
      <c r="M26" s="826">
        <v>1</v>
      </c>
      <c r="N26" s="835" t="s">
        <v>114</v>
      </c>
      <c r="O26" s="827" t="s">
        <v>356</v>
      </c>
      <c r="P26" s="831">
        <v>100435620</v>
      </c>
      <c r="Q26" s="832">
        <v>1</v>
      </c>
      <c r="R26" s="827" t="s">
        <v>17</v>
      </c>
      <c r="S26" s="827" t="s">
        <v>295</v>
      </c>
      <c r="T26" s="827" t="s">
        <v>631</v>
      </c>
      <c r="U26" s="827" t="s">
        <v>634</v>
      </c>
      <c r="V26" s="827" t="s">
        <v>75</v>
      </c>
      <c r="W26" s="827" t="s">
        <v>1269</v>
      </c>
      <c r="X26" s="827" t="s">
        <v>420</v>
      </c>
      <c r="Y26" s="827" t="s">
        <v>204</v>
      </c>
      <c r="Z26" s="832">
        <v>1</v>
      </c>
      <c r="AA26" s="827" t="str">
        <f t="shared" si="41"/>
        <v xml:space="preserve">Realizar el proceso de saneamiento de aportes patronales y el consecuente cierre de las cuentas bancarias de SGP, conforme al cronograma adoptado. </v>
      </c>
      <c r="AB26" s="833">
        <f t="shared" si="41"/>
        <v>100435620</v>
      </c>
      <c r="AC26" s="860" t="s">
        <v>46</v>
      </c>
      <c r="AD26" s="826">
        <v>0.25</v>
      </c>
      <c r="AE26" s="827" t="str">
        <f t="shared" ref="AE26:AE38" si="46">+AA26</f>
        <v xml:space="preserve">Realizar el proceso de saneamiento de aportes patronales y el consecuente cierre de las cuentas bancarias de SGP, conforme al cronograma adoptado. </v>
      </c>
      <c r="AF26" s="831">
        <f t="shared" si="42"/>
        <v>25108905</v>
      </c>
      <c r="AG26" s="832">
        <f>(2/2)*25%</f>
        <v>0.25</v>
      </c>
      <c r="AH26" s="491">
        <v>18971173</v>
      </c>
      <c r="AI26" s="828">
        <f t="shared" ref="AI26:AI38" si="47">+(AG26/AD26)</f>
        <v>1</v>
      </c>
      <c r="AJ26" s="828">
        <f t="shared" ref="AJ26:AJ38" si="48">+(AH26/AF26)</f>
        <v>0.75555556883105812</v>
      </c>
      <c r="AK26" s="828">
        <f t="shared" ref="AK26:AK38" si="49">+(AG26/Z26)</f>
        <v>0.25</v>
      </c>
      <c r="AL26" s="828">
        <f t="shared" ref="AL26:AL38" si="50">+(AH26/AB26)</f>
        <v>0.18888889220776453</v>
      </c>
      <c r="AM26" s="466" t="s">
        <v>1364</v>
      </c>
      <c r="AN26" s="826">
        <v>0.25</v>
      </c>
      <c r="AO26" s="827" t="str">
        <f t="shared" ref="AO26:AO38" si="51">+AA26</f>
        <v xml:space="preserve">Realizar el proceso de saneamiento de aportes patronales y el consecuente cierre de las cuentas bancarias de SGP, conforme al cronograma adoptado. </v>
      </c>
      <c r="AP26" s="831">
        <f t="shared" si="43"/>
        <v>25108905</v>
      </c>
      <c r="AQ26" s="851">
        <v>0.25</v>
      </c>
      <c r="AR26" s="491">
        <v>25108905</v>
      </c>
      <c r="AS26" s="828">
        <f t="shared" ref="AS26:AS38" si="52">+(AQ26/AN26)</f>
        <v>1</v>
      </c>
      <c r="AT26" s="828">
        <f t="shared" ref="AT26:AT38" si="53">+(AR26/AP26)</f>
        <v>1</v>
      </c>
      <c r="AU26" s="828">
        <f t="shared" ref="AU26:AU38" si="54">+(AQ26+AG26)/Z26</f>
        <v>0.5</v>
      </c>
      <c r="AV26" s="828">
        <f t="shared" ref="AV26:AV38" si="55">+(AR26+AH26)/AB26</f>
        <v>0.43888889220776456</v>
      </c>
      <c r="AW26" s="829" t="s">
        <v>1674</v>
      </c>
      <c r="AX26" s="826">
        <v>0.25</v>
      </c>
      <c r="AY26" s="827" t="str">
        <f t="shared" ref="AY26:AY38" si="56">+AA26</f>
        <v xml:space="preserve">Realizar el proceso de saneamiento de aportes patronales y el consecuente cierre de las cuentas bancarias de SGP, conforme al cronograma adoptado. </v>
      </c>
      <c r="AZ26" s="831">
        <f t="shared" si="44"/>
        <v>25108905</v>
      </c>
      <c r="BA26" s="986">
        <v>0.25</v>
      </c>
      <c r="BB26" s="989">
        <v>25108905</v>
      </c>
      <c r="BC26" s="828">
        <f t="shared" ref="BC26:BC38" si="57">+(BA26/AX26)</f>
        <v>1</v>
      </c>
      <c r="BD26" s="828">
        <f t="shared" ref="BD26:BD38" si="58">+(BB26/AZ26)</f>
        <v>1</v>
      </c>
      <c r="BE26" s="828">
        <f t="shared" ref="BE26:BE38" si="59">+(AQ26+AG26+BA26)/Z26</f>
        <v>0.75</v>
      </c>
      <c r="BF26" s="828">
        <f t="shared" ref="BF26:BF38" si="60">+(AR26+AH26+BB26)/AB26</f>
        <v>0.6888888922077645</v>
      </c>
      <c r="BG26" s="987" t="s">
        <v>1874</v>
      </c>
      <c r="BH26" s="826">
        <v>0.25</v>
      </c>
      <c r="BI26" s="827" t="str">
        <f t="shared" ref="BI26:BI38" si="61">+AA26</f>
        <v xml:space="preserve">Realizar el proceso de saneamiento de aportes patronales y el consecuente cierre de las cuentas bancarias de SGP, conforme al cronograma adoptado. </v>
      </c>
      <c r="BJ26" s="831">
        <f t="shared" si="45"/>
        <v>25108905</v>
      </c>
      <c r="BK26" s="840"/>
      <c r="BL26" s="840"/>
      <c r="BM26" s="826">
        <f t="shared" ref="BM26:BM38" si="62">+(BK26/BH26)</f>
        <v>0</v>
      </c>
      <c r="BN26" s="826">
        <f t="shared" ref="BN26:BN38" si="63">+(BL26/BJ26)</f>
        <v>0</v>
      </c>
      <c r="BO26" s="826">
        <f t="shared" ref="BO26:BO38" si="64">+(AQ26+AG26+BA26+BK26)/Z26</f>
        <v>0.75</v>
      </c>
      <c r="BP26" s="826">
        <f t="shared" ref="BP26:BP38" si="65">+(AR26+AH26+BB26+BL26)/AB26</f>
        <v>0.6888888922077645</v>
      </c>
      <c r="BQ26" s="826"/>
      <c r="BR26" s="640">
        <f t="shared" ref="BR26:BR38" si="66">IF(AND(AD26=0,AG26=0),"No Prog ni Ejec",IF(AD26=0,CONCATENATE("No Prog, Ejec=  ",AG26),AG26/AD26))</f>
        <v>1</v>
      </c>
      <c r="BS26" s="640">
        <f t="shared" ref="BS26:BS38" si="67">IF(AND(AF26=0,AH26=0),"No Prog ni Ejec",IF(AF26=0,CONCATENATE("No Prog, Ejec=  ",AH26),AH26/AF26))</f>
        <v>0.75555556883105812</v>
      </c>
      <c r="BT26" s="640">
        <f t="shared" ref="BT26:BT38" si="68">IF(AND(AN26=0,AQ26=0),"No Prog ni Ejec",IF(AN26=0,CONCATENATE("No Prog, Ejec=  ",AQ26),AQ26/AN26))</f>
        <v>1</v>
      </c>
      <c r="BU26" s="640">
        <f t="shared" ref="BU26:BU38" si="69">IF(AND(AP26=0,AR26=0),"No Prog ni Ejec",IF(AP26=0,CONCATENATE("No Prog, Ejec=  ",AR26),AR26/AP26))</f>
        <v>1</v>
      </c>
      <c r="BV26" s="640">
        <f t="shared" ref="BV26:BV38" si="70">IF(AND(AX26=0,BA26=0),"No Prog ni Ejec",IF(AX26=0,CONCATENATE("No Prog, Ejec=  ",BA26),BA26/AX26))</f>
        <v>1</v>
      </c>
      <c r="BW26" s="640">
        <f t="shared" ref="BW26:BW38" si="71">IF(AND(AZ26=0,BB26=0),"No Prog ni Ejec",IF(AZ26=0,CONCATENATE("No Prog, Ejec=  ",BB26),BB26/AZ26))</f>
        <v>1</v>
      </c>
      <c r="BX26" s="640">
        <f t="shared" ref="BX26:BX38" si="72">IF(AND(BH26=0,BK26=0),"No Prog ni Ejec",IF(BH26=0,CONCATENATE("No Prog, Ejec=  ",BK26),BK26/BH26))</f>
        <v>0</v>
      </c>
      <c r="BY26" s="698">
        <f t="shared" ref="BY26:BY38" si="73">IF(AND(BJ26=0,BL26=0),"No Prog ni Ejec",IF(BJ26=0,CONCATENATE("No Prog, Ejec=  ",BL26),BL26/BJ26))</f>
        <v>0</v>
      </c>
      <c r="BZ26" s="149">
        <f t="shared" si="1"/>
        <v>0</v>
      </c>
    </row>
    <row r="27" spans="1:79" s="70" customFormat="1" ht="197.25" customHeight="1" x14ac:dyDescent="0.2">
      <c r="A27" s="834">
        <v>11400</v>
      </c>
      <c r="B27" s="827" t="s">
        <v>12</v>
      </c>
      <c r="C27" s="827" t="s">
        <v>330</v>
      </c>
      <c r="D27" s="845" t="s">
        <v>1020</v>
      </c>
      <c r="E27" s="845" t="s">
        <v>1020</v>
      </c>
      <c r="F27" s="835" t="s">
        <v>65</v>
      </c>
      <c r="G27" s="827" t="s">
        <v>344</v>
      </c>
      <c r="H27" s="835" t="s">
        <v>66</v>
      </c>
      <c r="I27" s="827" t="s">
        <v>340</v>
      </c>
      <c r="J27" s="835" t="s">
        <v>965</v>
      </c>
      <c r="K27" s="827" t="s">
        <v>434</v>
      </c>
      <c r="L27" s="838" t="s">
        <v>391</v>
      </c>
      <c r="M27" s="66">
        <v>4</v>
      </c>
      <c r="N27" s="835" t="s">
        <v>973</v>
      </c>
      <c r="O27" s="827" t="s">
        <v>357</v>
      </c>
      <c r="P27" s="831">
        <v>233474760</v>
      </c>
      <c r="Q27" s="832">
        <v>1</v>
      </c>
      <c r="R27" s="827" t="s">
        <v>17</v>
      </c>
      <c r="S27" s="827" t="s">
        <v>295</v>
      </c>
      <c r="T27" s="827" t="s">
        <v>631</v>
      </c>
      <c r="U27" s="827" t="s">
        <v>634</v>
      </c>
      <c r="V27" s="827" t="s">
        <v>1041</v>
      </c>
      <c r="W27" s="827" t="s">
        <v>1270</v>
      </c>
      <c r="X27" s="827" t="s">
        <v>400</v>
      </c>
      <c r="Y27" s="827" t="s">
        <v>204</v>
      </c>
      <c r="Z27" s="67">
        <v>4</v>
      </c>
      <c r="AA27" s="827" t="str">
        <f t="shared" si="4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B27" s="833">
        <f t="shared" si="41"/>
        <v>233474760</v>
      </c>
      <c r="AC27" s="860" t="s">
        <v>46</v>
      </c>
      <c r="AD27" s="66">
        <v>0</v>
      </c>
      <c r="AE27" s="827" t="str">
        <f t="shared" si="4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F27" s="831">
        <f t="shared" si="42"/>
        <v>58368690</v>
      </c>
      <c r="AG27" s="835">
        <v>0</v>
      </c>
      <c r="AH27" s="831">
        <v>0</v>
      </c>
      <c r="AI27" s="828" t="e">
        <f>+(AG27/AD27)</f>
        <v>#DIV/0!</v>
      </c>
      <c r="AJ27" s="828">
        <f>+(AH27/AF27)</f>
        <v>0</v>
      </c>
      <c r="AK27" s="828">
        <f>+(AG27/Z27)</f>
        <v>0</v>
      </c>
      <c r="AL27" s="828">
        <f>+(AH27/AB27)</f>
        <v>0</v>
      </c>
      <c r="AM27" s="466" t="s">
        <v>1365</v>
      </c>
      <c r="AN27" s="66">
        <v>0</v>
      </c>
      <c r="AO27" s="827" t="str">
        <f t="shared" si="5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P27" s="831">
        <f t="shared" si="43"/>
        <v>58368690</v>
      </c>
      <c r="AQ27" s="838">
        <v>0</v>
      </c>
      <c r="AR27" s="491">
        <v>39698687</v>
      </c>
      <c r="AS27" s="828" t="e">
        <f t="shared" si="52"/>
        <v>#DIV/0!</v>
      </c>
      <c r="AT27" s="828">
        <f t="shared" si="53"/>
        <v>0.68013667944235168</v>
      </c>
      <c r="AU27" s="828">
        <f t="shared" si="54"/>
        <v>0</v>
      </c>
      <c r="AV27" s="828">
        <f t="shared" si="55"/>
        <v>0.17003416986058792</v>
      </c>
      <c r="AW27" s="829" t="s">
        <v>1675</v>
      </c>
      <c r="AX27" s="66">
        <v>0</v>
      </c>
      <c r="AY27" s="827" t="str">
        <f t="shared" si="56"/>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AZ27" s="831">
        <f t="shared" si="44"/>
        <v>58368690</v>
      </c>
      <c r="BA27" s="66">
        <v>0</v>
      </c>
      <c r="BB27" s="989">
        <v>58736538</v>
      </c>
      <c r="BC27" s="828" t="e">
        <f t="shared" si="57"/>
        <v>#DIV/0!</v>
      </c>
      <c r="BD27" s="828">
        <f t="shared" si="58"/>
        <v>1.006302145893629</v>
      </c>
      <c r="BE27" s="828">
        <f t="shared" si="59"/>
        <v>0</v>
      </c>
      <c r="BF27" s="828">
        <f t="shared" si="60"/>
        <v>0.42160970633399514</v>
      </c>
      <c r="BG27" s="987" t="s">
        <v>1875</v>
      </c>
      <c r="BH27" s="66">
        <v>4</v>
      </c>
      <c r="BI27" s="827" t="str">
        <f t="shared" si="61"/>
        <v>Optimizar 4 procesos mediante la realización de desarrollos o ajustes tecnológicos (Reintegro de recursos; validador de prestaciones económicas y devolución de aportes; liquidación y reconocimiento de prestaciones económicas de los afiliados a los regímenes exceptuados y especiales con ingresos adicionales e integración entre el aplicativo de compensación y el portal bancario).</v>
      </c>
      <c r="BJ27" s="831">
        <f t="shared" si="45"/>
        <v>58368690</v>
      </c>
      <c r="BK27" s="840"/>
      <c r="BL27" s="840"/>
      <c r="BM27" s="826">
        <f t="shared" si="62"/>
        <v>0</v>
      </c>
      <c r="BN27" s="826">
        <f t="shared" si="63"/>
        <v>0</v>
      </c>
      <c r="BO27" s="826">
        <f t="shared" si="64"/>
        <v>0</v>
      </c>
      <c r="BP27" s="826">
        <f t="shared" si="65"/>
        <v>0.42160970633399514</v>
      </c>
      <c r="BQ27" s="826"/>
      <c r="BR27" s="640" t="str">
        <f t="shared" si="66"/>
        <v>No Prog ni Ejec</v>
      </c>
      <c r="BS27" s="640">
        <f t="shared" si="67"/>
        <v>0</v>
      </c>
      <c r="BT27" s="640" t="str">
        <f t="shared" si="68"/>
        <v>No Prog ni Ejec</v>
      </c>
      <c r="BU27" s="640">
        <f t="shared" si="69"/>
        <v>0.68013667944235168</v>
      </c>
      <c r="BV27" s="640" t="str">
        <f t="shared" si="70"/>
        <v>No Prog ni Ejec</v>
      </c>
      <c r="BW27" s="640">
        <f t="shared" si="71"/>
        <v>1.006302145893629</v>
      </c>
      <c r="BX27" s="640">
        <f t="shared" si="72"/>
        <v>0</v>
      </c>
      <c r="BY27" s="698">
        <f t="shared" si="73"/>
        <v>0</v>
      </c>
      <c r="BZ27" s="149">
        <f t="shared" si="1"/>
        <v>0</v>
      </c>
    </row>
    <row r="28" spans="1:79" s="70" customFormat="1" ht="267.75" x14ac:dyDescent="0.2">
      <c r="A28" s="834">
        <v>11400</v>
      </c>
      <c r="B28" s="827" t="s">
        <v>12</v>
      </c>
      <c r="C28" s="827" t="s">
        <v>330</v>
      </c>
      <c r="D28" s="845" t="s">
        <v>1020</v>
      </c>
      <c r="E28" s="845" t="s">
        <v>1020</v>
      </c>
      <c r="F28" s="835" t="s">
        <v>65</v>
      </c>
      <c r="G28" s="827" t="s">
        <v>344</v>
      </c>
      <c r="H28" s="835" t="s">
        <v>66</v>
      </c>
      <c r="I28" s="827" t="s">
        <v>340</v>
      </c>
      <c r="J28" s="835" t="s">
        <v>966</v>
      </c>
      <c r="K28" s="827" t="s">
        <v>402</v>
      </c>
      <c r="L28" s="838" t="s">
        <v>51</v>
      </c>
      <c r="M28" s="826">
        <v>1</v>
      </c>
      <c r="N28" s="835" t="s">
        <v>974</v>
      </c>
      <c r="O28" s="827" t="s">
        <v>359</v>
      </c>
      <c r="P28" s="850">
        <v>80376316.800000012</v>
      </c>
      <c r="Q28" s="832">
        <v>1</v>
      </c>
      <c r="R28" s="827" t="s">
        <v>17</v>
      </c>
      <c r="S28" s="827" t="s">
        <v>295</v>
      </c>
      <c r="T28" s="827" t="s">
        <v>631</v>
      </c>
      <c r="U28" s="827" t="s">
        <v>634</v>
      </c>
      <c r="V28" s="827" t="s">
        <v>75</v>
      </c>
      <c r="W28" s="827" t="s">
        <v>1258</v>
      </c>
      <c r="X28" s="827" t="s">
        <v>421</v>
      </c>
      <c r="Y28" s="827" t="s">
        <v>204</v>
      </c>
      <c r="Z28" s="832">
        <v>1</v>
      </c>
      <c r="AA28" s="827" t="str">
        <f t="shared" si="41"/>
        <v xml:space="preserve">Verificar los actuales controles de los procesos de liquidación y reconocimiento de UPC y de prestaciones económicas, considerando las características de los afiliados (edad, género, ubicación geográfica, capacidad de pago, novedades). </v>
      </c>
      <c r="AB28" s="833">
        <f t="shared" si="41"/>
        <v>80376316.800000012</v>
      </c>
      <c r="AC28" s="838" t="s">
        <v>46</v>
      </c>
      <c r="AD28" s="826">
        <v>0.25</v>
      </c>
      <c r="AE28" s="827" t="str">
        <f t="shared" si="46"/>
        <v xml:space="preserve">Verificar los actuales controles de los procesos de liquidación y reconocimiento de UPC y de prestaciones económicas, considerando las características de los afiliados (edad, género, ubicación geográfica, capacidad de pago, novedades). </v>
      </c>
      <c r="AF28" s="831">
        <f t="shared" si="42"/>
        <v>20094079.200000003</v>
      </c>
      <c r="AG28" s="832">
        <f>(1/1)*25%</f>
        <v>0.25</v>
      </c>
      <c r="AH28" s="491">
        <v>10787362</v>
      </c>
      <c r="AI28" s="828">
        <f t="shared" si="47"/>
        <v>1</v>
      </c>
      <c r="AJ28" s="828">
        <f t="shared" si="48"/>
        <v>0.53684281288191593</v>
      </c>
      <c r="AK28" s="828">
        <f t="shared" si="49"/>
        <v>0.25</v>
      </c>
      <c r="AL28" s="828">
        <f t="shared" si="50"/>
        <v>0.13421070322047898</v>
      </c>
      <c r="AM28" s="466" t="s">
        <v>1366</v>
      </c>
      <c r="AN28" s="826">
        <v>0.25</v>
      </c>
      <c r="AO28" s="827" t="str">
        <f t="shared" si="51"/>
        <v xml:space="preserve">Verificar los actuales controles de los procesos de liquidación y reconocimiento de UPC y de prestaciones económicas, considerando las características de los afiliados (edad, género, ubicación geográfica, capacidad de pago, novedades). </v>
      </c>
      <c r="AP28" s="831">
        <f t="shared" si="43"/>
        <v>20094079.200000003</v>
      </c>
      <c r="AQ28" s="495">
        <v>0.25</v>
      </c>
      <c r="AR28" s="491">
        <v>15410517</v>
      </c>
      <c r="AS28" s="828">
        <f t="shared" si="52"/>
        <v>1</v>
      </c>
      <c r="AT28" s="828">
        <f t="shared" si="53"/>
        <v>0.76691829700760794</v>
      </c>
      <c r="AU28" s="828">
        <f t="shared" si="54"/>
        <v>0.5</v>
      </c>
      <c r="AV28" s="828">
        <f t="shared" si="55"/>
        <v>0.32594027747238097</v>
      </c>
      <c r="AW28" s="829" t="s">
        <v>1676</v>
      </c>
      <c r="AX28" s="826">
        <v>0.25</v>
      </c>
      <c r="AY28" s="827" t="str">
        <f t="shared" si="56"/>
        <v xml:space="preserve">Verificar los actuales controles de los procesos de liquidación y reconocimiento de UPC y de prestaciones económicas, considerando las características de los afiliados (edad, género, ubicación geográfica, capacidad de pago, novedades). </v>
      </c>
      <c r="AZ28" s="831">
        <f t="shared" si="44"/>
        <v>20094079.200000003</v>
      </c>
      <c r="BA28" s="986">
        <v>0.25</v>
      </c>
      <c r="BB28" s="989">
        <v>15410517</v>
      </c>
      <c r="BC28" s="828">
        <f t="shared" si="57"/>
        <v>1</v>
      </c>
      <c r="BD28" s="828">
        <f t="shared" si="58"/>
        <v>0.76691829700760794</v>
      </c>
      <c r="BE28" s="828">
        <f t="shared" si="59"/>
        <v>0.75</v>
      </c>
      <c r="BF28" s="828">
        <f t="shared" si="60"/>
        <v>0.51766985172428293</v>
      </c>
      <c r="BG28" s="987" t="s">
        <v>1876</v>
      </c>
      <c r="BH28" s="826">
        <v>0.25</v>
      </c>
      <c r="BI28" s="827" t="str">
        <f t="shared" si="61"/>
        <v xml:space="preserve">Verificar los actuales controles de los procesos de liquidación y reconocimiento de UPC y de prestaciones económicas, considerando las características de los afiliados (edad, género, ubicación geográfica, capacidad de pago, novedades). </v>
      </c>
      <c r="BJ28" s="831">
        <f t="shared" si="45"/>
        <v>20094079.200000003</v>
      </c>
      <c r="BK28" s="840"/>
      <c r="BL28" s="840"/>
      <c r="BM28" s="826">
        <f t="shared" si="62"/>
        <v>0</v>
      </c>
      <c r="BN28" s="826">
        <f t="shared" si="63"/>
        <v>0</v>
      </c>
      <c r="BO28" s="826">
        <f t="shared" si="64"/>
        <v>0.75</v>
      </c>
      <c r="BP28" s="826">
        <f t="shared" si="65"/>
        <v>0.51766985172428293</v>
      </c>
      <c r="BQ28" s="826"/>
      <c r="BR28" s="640">
        <f t="shared" si="66"/>
        <v>1</v>
      </c>
      <c r="BS28" s="640">
        <f t="shared" si="67"/>
        <v>0.53684281288191593</v>
      </c>
      <c r="BT28" s="640">
        <f t="shared" si="68"/>
        <v>1</v>
      </c>
      <c r="BU28" s="640">
        <f t="shared" si="69"/>
        <v>0.76691829700760794</v>
      </c>
      <c r="BV28" s="640">
        <f t="shared" si="70"/>
        <v>1</v>
      </c>
      <c r="BW28" s="640">
        <f t="shared" si="71"/>
        <v>0.76691829700760794</v>
      </c>
      <c r="BX28" s="640">
        <f t="shared" si="72"/>
        <v>0</v>
      </c>
      <c r="BY28" s="698">
        <f t="shared" si="73"/>
        <v>0</v>
      </c>
      <c r="BZ28" s="149">
        <f t="shared" si="1"/>
        <v>0</v>
      </c>
    </row>
    <row r="29" spans="1:79" s="70" customFormat="1" ht="127.5" x14ac:dyDescent="0.2">
      <c r="A29" s="834">
        <v>11400</v>
      </c>
      <c r="B29" s="827" t="s">
        <v>12</v>
      </c>
      <c r="C29" s="827" t="s">
        <v>330</v>
      </c>
      <c r="D29" s="845" t="s">
        <v>1020</v>
      </c>
      <c r="E29" s="845" t="s">
        <v>1020</v>
      </c>
      <c r="F29" s="835" t="s">
        <v>65</v>
      </c>
      <c r="G29" s="827" t="s">
        <v>344</v>
      </c>
      <c r="H29" s="835" t="s">
        <v>66</v>
      </c>
      <c r="I29" s="827" t="s">
        <v>340</v>
      </c>
      <c r="J29" s="835" t="s">
        <v>967</v>
      </c>
      <c r="K29" s="827" t="s">
        <v>388</v>
      </c>
      <c r="L29" s="838" t="s">
        <v>51</v>
      </c>
      <c r="M29" s="826">
        <v>1</v>
      </c>
      <c r="N29" s="835" t="s">
        <v>975</v>
      </c>
      <c r="O29" s="827" t="s">
        <v>360</v>
      </c>
      <c r="P29" s="850">
        <v>172244136</v>
      </c>
      <c r="Q29" s="832">
        <v>1</v>
      </c>
      <c r="R29" s="827" t="s">
        <v>17</v>
      </c>
      <c r="S29" s="827" t="s">
        <v>295</v>
      </c>
      <c r="T29" s="827" t="s">
        <v>631</v>
      </c>
      <c r="U29" s="827" t="s">
        <v>634</v>
      </c>
      <c r="V29" s="827" t="s">
        <v>75</v>
      </c>
      <c r="W29" s="827" t="s">
        <v>1259</v>
      </c>
      <c r="X29" s="827" t="s">
        <v>422</v>
      </c>
      <c r="Y29" s="827" t="s">
        <v>204</v>
      </c>
      <c r="Z29" s="832">
        <v>1</v>
      </c>
      <c r="AA29" s="827" t="str">
        <f t="shared" si="41"/>
        <v>Ejecutar los procesos de compensación conforme al cronograma adoptado</v>
      </c>
      <c r="AB29" s="833">
        <f t="shared" si="41"/>
        <v>172244136</v>
      </c>
      <c r="AC29" s="860" t="s">
        <v>46</v>
      </c>
      <c r="AD29" s="826">
        <v>0.25</v>
      </c>
      <c r="AE29" s="827" t="str">
        <f t="shared" si="46"/>
        <v>Ejecutar los procesos de compensación conforme al cronograma adoptado</v>
      </c>
      <c r="AF29" s="831">
        <f t="shared" si="42"/>
        <v>43061034</v>
      </c>
      <c r="AG29" s="832">
        <f>(12/12)*25%</f>
        <v>0.25</v>
      </c>
      <c r="AH29" s="491">
        <v>20448274</v>
      </c>
      <c r="AI29" s="828">
        <f t="shared" si="47"/>
        <v>1</v>
      </c>
      <c r="AJ29" s="828">
        <f t="shared" si="48"/>
        <v>0.47486723147428367</v>
      </c>
      <c r="AK29" s="828">
        <f t="shared" si="49"/>
        <v>0.25</v>
      </c>
      <c r="AL29" s="828">
        <f t="shared" si="50"/>
        <v>0.11871680786857092</v>
      </c>
      <c r="AM29" s="466" t="s">
        <v>1367</v>
      </c>
      <c r="AN29" s="826">
        <v>0.25</v>
      </c>
      <c r="AO29" s="827" t="str">
        <f t="shared" si="51"/>
        <v>Ejecutar los procesos de compensación conforme al cronograma adoptado</v>
      </c>
      <c r="AP29" s="831">
        <f t="shared" si="43"/>
        <v>43061034</v>
      </c>
      <c r="AQ29" s="851">
        <v>0.25</v>
      </c>
      <c r="AR29" s="627">
        <v>27650517</v>
      </c>
      <c r="AS29" s="828">
        <f t="shared" si="52"/>
        <v>1</v>
      </c>
      <c r="AT29" s="828">
        <f t="shared" si="53"/>
        <v>0.64212385146162543</v>
      </c>
      <c r="AU29" s="828">
        <f t="shared" si="54"/>
        <v>0.5</v>
      </c>
      <c r="AV29" s="828">
        <f t="shared" si="55"/>
        <v>0.27924777073397727</v>
      </c>
      <c r="AW29" s="829" t="s">
        <v>1731</v>
      </c>
      <c r="AX29" s="826">
        <v>0.25</v>
      </c>
      <c r="AY29" s="827" t="str">
        <f t="shared" si="56"/>
        <v>Ejecutar los procesos de compensación conforme al cronograma adoptado</v>
      </c>
      <c r="AZ29" s="831">
        <f t="shared" si="44"/>
        <v>43061034</v>
      </c>
      <c r="BA29" s="986">
        <f>(12/12)*25%</f>
        <v>0.25</v>
      </c>
      <c r="BB29" s="989">
        <v>27650517</v>
      </c>
      <c r="BC29" s="828">
        <f t="shared" si="57"/>
        <v>1</v>
      </c>
      <c r="BD29" s="828">
        <f t="shared" si="58"/>
        <v>0.64212385146162543</v>
      </c>
      <c r="BE29" s="828">
        <f t="shared" si="59"/>
        <v>0.75</v>
      </c>
      <c r="BF29" s="828">
        <f t="shared" si="60"/>
        <v>0.43977873359938363</v>
      </c>
      <c r="BG29" s="987" t="s">
        <v>1877</v>
      </c>
      <c r="BH29" s="826">
        <v>0.25</v>
      </c>
      <c r="BI29" s="827" t="str">
        <f t="shared" si="61"/>
        <v>Ejecutar los procesos de compensación conforme al cronograma adoptado</v>
      </c>
      <c r="BJ29" s="831">
        <f t="shared" si="45"/>
        <v>43061034</v>
      </c>
      <c r="BK29" s="840"/>
      <c r="BL29" s="840"/>
      <c r="BM29" s="826">
        <f t="shared" si="62"/>
        <v>0</v>
      </c>
      <c r="BN29" s="826">
        <f t="shared" si="63"/>
        <v>0</v>
      </c>
      <c r="BO29" s="826">
        <f t="shared" si="64"/>
        <v>0.75</v>
      </c>
      <c r="BP29" s="826">
        <f t="shared" si="65"/>
        <v>0.43977873359938363</v>
      </c>
      <c r="BQ29" s="826"/>
      <c r="BR29" s="640">
        <f t="shared" si="66"/>
        <v>1</v>
      </c>
      <c r="BS29" s="640">
        <f t="shared" si="67"/>
        <v>0.47486723147428367</v>
      </c>
      <c r="BT29" s="640">
        <f t="shared" si="68"/>
        <v>1</v>
      </c>
      <c r="BU29" s="640">
        <f t="shared" si="69"/>
        <v>0.64212385146162543</v>
      </c>
      <c r="BV29" s="640">
        <f t="shared" si="70"/>
        <v>1</v>
      </c>
      <c r="BW29" s="640">
        <f t="shared" si="71"/>
        <v>0.64212385146162543</v>
      </c>
      <c r="BX29" s="640">
        <f t="shared" si="72"/>
        <v>0</v>
      </c>
      <c r="BY29" s="698">
        <f t="shared" si="73"/>
        <v>0</v>
      </c>
      <c r="BZ29" s="149">
        <f t="shared" si="1"/>
        <v>0</v>
      </c>
    </row>
    <row r="30" spans="1:79" s="70" customFormat="1" ht="140.25" x14ac:dyDescent="0.2">
      <c r="A30" s="834">
        <v>11400</v>
      </c>
      <c r="B30" s="827" t="s">
        <v>12</v>
      </c>
      <c r="C30" s="827" t="s">
        <v>330</v>
      </c>
      <c r="D30" s="845" t="s">
        <v>1020</v>
      </c>
      <c r="E30" s="845" t="s">
        <v>1020</v>
      </c>
      <c r="F30" s="835" t="s">
        <v>65</v>
      </c>
      <c r="G30" s="827" t="s">
        <v>344</v>
      </c>
      <c r="H30" s="835" t="s">
        <v>66</v>
      </c>
      <c r="I30" s="827" t="s">
        <v>340</v>
      </c>
      <c r="J30" s="835" t="s">
        <v>968</v>
      </c>
      <c r="K30" s="827" t="s">
        <v>70</v>
      </c>
      <c r="L30" s="838" t="s">
        <v>51</v>
      </c>
      <c r="M30" s="826">
        <v>1</v>
      </c>
      <c r="N30" s="835" t="s">
        <v>976</v>
      </c>
      <c r="O30" s="827" t="s">
        <v>361</v>
      </c>
      <c r="P30" s="850">
        <f>123284136/2</f>
        <v>61642068</v>
      </c>
      <c r="Q30" s="832">
        <v>1</v>
      </c>
      <c r="R30" s="827" t="s">
        <v>17</v>
      </c>
      <c r="S30" s="827" t="s">
        <v>295</v>
      </c>
      <c r="T30" s="827" t="s">
        <v>631</v>
      </c>
      <c r="U30" s="827" t="s">
        <v>634</v>
      </c>
      <c r="V30" s="827" t="s">
        <v>1050</v>
      </c>
      <c r="W30" s="827" t="s">
        <v>1257</v>
      </c>
      <c r="X30" s="827" t="s">
        <v>423</v>
      </c>
      <c r="Y30" s="827" t="s">
        <v>204</v>
      </c>
      <c r="Z30" s="832">
        <v>1</v>
      </c>
      <c r="AA30" s="827" t="str">
        <f t="shared" si="41"/>
        <v xml:space="preserve">Tramitar oportunamente las solicitudes de prestaciones económicas radicadas por afiliados a los regímenes exceptuados y especiales con ingresos adicionales. </v>
      </c>
      <c r="AB30" s="833">
        <f t="shared" si="41"/>
        <v>61642068</v>
      </c>
      <c r="AC30" s="860" t="s">
        <v>46</v>
      </c>
      <c r="AD30" s="826">
        <v>0.25</v>
      </c>
      <c r="AE30" s="827" t="str">
        <f t="shared" si="46"/>
        <v xml:space="preserve">Tramitar oportunamente las solicitudes de prestaciones económicas radicadas por afiliados a los regímenes exceptuados y especiales con ingresos adicionales. </v>
      </c>
      <c r="AF30" s="831">
        <f t="shared" si="42"/>
        <v>15410517</v>
      </c>
      <c r="AG30" s="832">
        <f>(720/723)*25%</f>
        <v>0.24896265560165975</v>
      </c>
      <c r="AH30" s="491">
        <v>10444906</v>
      </c>
      <c r="AI30" s="828">
        <f>+(AG30/AD30)</f>
        <v>0.99585062240663902</v>
      </c>
      <c r="AJ30" s="828">
        <f t="shared" si="48"/>
        <v>0.67777777994080279</v>
      </c>
      <c r="AK30" s="828">
        <f t="shared" si="49"/>
        <v>0.24896265560165975</v>
      </c>
      <c r="AL30" s="828">
        <f t="shared" si="50"/>
        <v>0.1694444449852007</v>
      </c>
      <c r="AM30" s="466" t="s">
        <v>1368</v>
      </c>
      <c r="AN30" s="826">
        <v>0.25</v>
      </c>
      <c r="AO30" s="827" t="str">
        <f t="shared" si="51"/>
        <v xml:space="preserve">Tramitar oportunamente las solicitudes de prestaciones económicas radicadas por afiliados a los regímenes exceptuados y especiales con ingresos adicionales. </v>
      </c>
      <c r="AP30" s="831">
        <f t="shared" si="43"/>
        <v>15410517</v>
      </c>
      <c r="AQ30" s="825">
        <f>(841/848)*25%</f>
        <v>0.24793632075471697</v>
      </c>
      <c r="AR30" s="491">
        <v>15410517</v>
      </c>
      <c r="AS30" s="828">
        <f t="shared" si="52"/>
        <v>0.99174528301886788</v>
      </c>
      <c r="AT30" s="828">
        <f t="shared" si="53"/>
        <v>1</v>
      </c>
      <c r="AU30" s="828">
        <f t="shared" si="54"/>
        <v>0.4968989763563767</v>
      </c>
      <c r="AV30" s="828">
        <f t="shared" si="55"/>
        <v>0.41944444498520067</v>
      </c>
      <c r="AW30" s="829" t="s">
        <v>1677</v>
      </c>
      <c r="AX30" s="826">
        <v>0.25</v>
      </c>
      <c r="AY30" s="827" t="str">
        <f t="shared" si="56"/>
        <v xml:space="preserve">Tramitar oportunamente las solicitudes de prestaciones económicas radicadas por afiliados a los regímenes exceptuados y especiales con ingresos adicionales. </v>
      </c>
      <c r="AZ30" s="831">
        <f t="shared" si="44"/>
        <v>15410517</v>
      </c>
      <c r="BA30" s="157">
        <f>+(850/852)*AX30</f>
        <v>0.24941314553990609</v>
      </c>
      <c r="BB30" s="989">
        <v>15410517</v>
      </c>
      <c r="BC30" s="813">
        <f t="shared" si="57"/>
        <v>0.99765258215962438</v>
      </c>
      <c r="BD30" s="828">
        <f t="shared" si="58"/>
        <v>1</v>
      </c>
      <c r="BE30" s="828">
        <f t="shared" si="59"/>
        <v>0.74631212189628282</v>
      </c>
      <c r="BF30" s="828">
        <f t="shared" si="60"/>
        <v>0.66944444498520073</v>
      </c>
      <c r="BG30" s="987" t="s">
        <v>1878</v>
      </c>
      <c r="BH30" s="826">
        <v>0.25</v>
      </c>
      <c r="BI30" s="827" t="str">
        <f t="shared" si="61"/>
        <v xml:space="preserve">Tramitar oportunamente las solicitudes de prestaciones económicas radicadas por afiliados a los regímenes exceptuados y especiales con ingresos adicionales. </v>
      </c>
      <c r="BJ30" s="831">
        <f t="shared" si="45"/>
        <v>15410517</v>
      </c>
      <c r="BK30" s="840"/>
      <c r="BL30" s="840"/>
      <c r="BM30" s="826">
        <f t="shared" si="62"/>
        <v>0</v>
      </c>
      <c r="BN30" s="826">
        <f t="shared" si="63"/>
        <v>0</v>
      </c>
      <c r="BO30" s="826">
        <f t="shared" si="64"/>
        <v>0.74631212189628282</v>
      </c>
      <c r="BP30" s="826">
        <f t="shared" si="65"/>
        <v>0.66944444498520073</v>
      </c>
      <c r="BQ30" s="826"/>
      <c r="BR30" s="640">
        <f t="shared" si="66"/>
        <v>0.99585062240663902</v>
      </c>
      <c r="BS30" s="640">
        <f t="shared" si="67"/>
        <v>0.67777777994080279</v>
      </c>
      <c r="BT30" s="640">
        <f t="shared" si="68"/>
        <v>0.99174528301886788</v>
      </c>
      <c r="BU30" s="640">
        <f t="shared" si="69"/>
        <v>1</v>
      </c>
      <c r="BV30" s="640">
        <f t="shared" si="70"/>
        <v>0.99765258215962438</v>
      </c>
      <c r="BW30" s="640">
        <f t="shared" si="71"/>
        <v>1</v>
      </c>
      <c r="BX30" s="640">
        <f t="shared" si="72"/>
        <v>0</v>
      </c>
      <c r="BY30" s="698">
        <f t="shared" si="73"/>
        <v>0</v>
      </c>
      <c r="BZ30" s="149">
        <f t="shared" si="1"/>
        <v>0</v>
      </c>
    </row>
    <row r="31" spans="1:79" s="70" customFormat="1" ht="94.5" customHeight="1" x14ac:dyDescent="0.2">
      <c r="A31" s="834">
        <v>11400</v>
      </c>
      <c r="B31" s="827" t="s">
        <v>12</v>
      </c>
      <c r="C31" s="827" t="s">
        <v>330</v>
      </c>
      <c r="D31" s="845" t="s">
        <v>1020</v>
      </c>
      <c r="E31" s="845"/>
      <c r="F31" s="835" t="s">
        <v>65</v>
      </c>
      <c r="G31" s="827" t="s">
        <v>344</v>
      </c>
      <c r="H31" s="835" t="s">
        <v>66</v>
      </c>
      <c r="I31" s="827" t="s">
        <v>340</v>
      </c>
      <c r="J31" s="835" t="s">
        <v>969</v>
      </c>
      <c r="K31" s="827" t="s">
        <v>398</v>
      </c>
      <c r="L31" s="838" t="s">
        <v>51</v>
      </c>
      <c r="M31" s="826">
        <v>1</v>
      </c>
      <c r="N31" s="835" t="s">
        <v>977</v>
      </c>
      <c r="O31" s="827" t="s">
        <v>362</v>
      </c>
      <c r="P31" s="850">
        <f>123284136/2</f>
        <v>61642068</v>
      </c>
      <c r="Q31" s="832">
        <v>1</v>
      </c>
      <c r="R31" s="827" t="s">
        <v>17</v>
      </c>
      <c r="S31" s="827" t="s">
        <v>295</v>
      </c>
      <c r="T31" s="827" t="s">
        <v>631</v>
      </c>
      <c r="U31" s="827" t="s">
        <v>634</v>
      </c>
      <c r="V31" s="827" t="s">
        <v>1050</v>
      </c>
      <c r="W31" s="827" t="s">
        <v>1257</v>
      </c>
      <c r="X31" s="827" t="s">
        <v>399</v>
      </c>
      <c r="Y31" s="827" t="s">
        <v>204</v>
      </c>
      <c r="Z31" s="832">
        <v>1</v>
      </c>
      <c r="AA31" s="827" t="str">
        <f t="shared" ref="AA31:AA38" si="74">+O31</f>
        <v xml:space="preserve">Tramitar oportunamente las solicitudes de devoluciones de aportes radicadas por afiliados a los regímenes exceptuados y especiales con ingresos adicionales. </v>
      </c>
      <c r="AB31" s="833">
        <f>+P31</f>
        <v>61642068</v>
      </c>
      <c r="AC31" s="860" t="s">
        <v>48</v>
      </c>
      <c r="AD31" s="826">
        <v>0.25</v>
      </c>
      <c r="AE31" s="827" t="str">
        <f t="shared" si="46"/>
        <v xml:space="preserve">Tramitar oportunamente las solicitudes de devoluciones de aportes radicadas por afiliados a los regímenes exceptuados y especiales con ingresos adicionales. </v>
      </c>
      <c r="AF31" s="831">
        <f t="shared" si="42"/>
        <v>15410517</v>
      </c>
      <c r="AG31" s="832">
        <f>(181/183)*25%</f>
        <v>0.24726775956284153</v>
      </c>
      <c r="AH31" s="491">
        <v>10444906</v>
      </c>
      <c r="AI31" s="828">
        <f t="shared" si="47"/>
        <v>0.98907103825136611</v>
      </c>
      <c r="AJ31" s="828">
        <f t="shared" si="48"/>
        <v>0.67777777994080279</v>
      </c>
      <c r="AK31" s="828">
        <f t="shared" si="49"/>
        <v>0.24726775956284153</v>
      </c>
      <c r="AL31" s="828">
        <f t="shared" si="50"/>
        <v>0.1694444449852007</v>
      </c>
      <c r="AM31" s="466" t="s">
        <v>1369</v>
      </c>
      <c r="AN31" s="826">
        <v>0.25</v>
      </c>
      <c r="AO31" s="827" t="str">
        <f t="shared" si="51"/>
        <v xml:space="preserve">Tramitar oportunamente las solicitudes de devoluciones de aportes radicadas por afiliados a los regímenes exceptuados y especiales con ingresos adicionales. </v>
      </c>
      <c r="AP31" s="831">
        <f t="shared" si="43"/>
        <v>15410517</v>
      </c>
      <c r="AQ31" s="825">
        <f>(183/183)*25%</f>
        <v>0.25</v>
      </c>
      <c r="AR31" s="491">
        <v>15410517</v>
      </c>
      <c r="AS31" s="828">
        <f t="shared" si="52"/>
        <v>1</v>
      </c>
      <c r="AT31" s="828">
        <f t="shared" si="53"/>
        <v>1</v>
      </c>
      <c r="AU31" s="828">
        <f t="shared" si="54"/>
        <v>0.49726775956284153</v>
      </c>
      <c r="AV31" s="828">
        <f t="shared" si="55"/>
        <v>0.41944444498520067</v>
      </c>
      <c r="AW31" s="829" t="s">
        <v>1678</v>
      </c>
      <c r="AX31" s="826">
        <v>0.25</v>
      </c>
      <c r="AY31" s="827" t="str">
        <f t="shared" si="56"/>
        <v xml:space="preserve">Tramitar oportunamente las solicitudes de devoluciones de aportes radicadas por afiliados a los regímenes exceptuados y especiales con ingresos adicionales. </v>
      </c>
      <c r="AZ31" s="831">
        <f t="shared" si="44"/>
        <v>15410517</v>
      </c>
      <c r="BA31" s="157">
        <f>+(153/153)*AX31</f>
        <v>0.25</v>
      </c>
      <c r="BB31" s="989">
        <v>15410517</v>
      </c>
      <c r="BC31" s="828">
        <f t="shared" si="57"/>
        <v>1</v>
      </c>
      <c r="BD31" s="828">
        <f t="shared" si="58"/>
        <v>1</v>
      </c>
      <c r="BE31" s="828">
        <f t="shared" si="59"/>
        <v>0.74726775956284153</v>
      </c>
      <c r="BF31" s="828">
        <f t="shared" si="60"/>
        <v>0.66944444498520073</v>
      </c>
      <c r="BG31" s="987" t="s">
        <v>1879</v>
      </c>
      <c r="BH31" s="826">
        <v>0.25</v>
      </c>
      <c r="BI31" s="827" t="str">
        <f t="shared" si="61"/>
        <v xml:space="preserve">Tramitar oportunamente las solicitudes de devoluciones de aportes radicadas por afiliados a los regímenes exceptuados y especiales con ingresos adicionales. </v>
      </c>
      <c r="BJ31" s="831">
        <f t="shared" si="45"/>
        <v>15410517</v>
      </c>
      <c r="BK31" s="840"/>
      <c r="BL31" s="840"/>
      <c r="BM31" s="826">
        <f t="shared" si="62"/>
        <v>0</v>
      </c>
      <c r="BN31" s="826">
        <f t="shared" si="63"/>
        <v>0</v>
      </c>
      <c r="BO31" s="826">
        <f t="shared" si="64"/>
        <v>0.74726775956284153</v>
      </c>
      <c r="BP31" s="826">
        <f t="shared" si="65"/>
        <v>0.66944444498520073</v>
      </c>
      <c r="BQ31" s="826"/>
      <c r="BR31" s="640">
        <f t="shared" si="66"/>
        <v>0.98907103825136611</v>
      </c>
      <c r="BS31" s="640">
        <f t="shared" si="67"/>
        <v>0.67777777994080279</v>
      </c>
      <c r="BT31" s="640">
        <f t="shared" si="68"/>
        <v>1</v>
      </c>
      <c r="BU31" s="640">
        <f t="shared" si="69"/>
        <v>1</v>
      </c>
      <c r="BV31" s="640">
        <f t="shared" si="70"/>
        <v>1</v>
      </c>
      <c r="BW31" s="640">
        <f t="shared" si="71"/>
        <v>1</v>
      </c>
      <c r="BX31" s="640">
        <f t="shared" si="72"/>
        <v>0</v>
      </c>
      <c r="BY31" s="698">
        <f t="shared" si="73"/>
        <v>0</v>
      </c>
      <c r="BZ31" s="149">
        <f t="shared" si="1"/>
        <v>0</v>
      </c>
    </row>
    <row r="32" spans="1:79" s="70" customFormat="1" ht="102" x14ac:dyDescent="0.2">
      <c r="A32" s="834">
        <v>11400</v>
      </c>
      <c r="B32" s="827" t="s">
        <v>12</v>
      </c>
      <c r="C32" s="827" t="s">
        <v>330</v>
      </c>
      <c r="D32" s="845" t="s">
        <v>1020</v>
      </c>
      <c r="E32" s="845"/>
      <c r="F32" s="835" t="s">
        <v>65</v>
      </c>
      <c r="G32" s="827" t="s">
        <v>344</v>
      </c>
      <c r="H32" s="835" t="s">
        <v>66</v>
      </c>
      <c r="I32" s="827" t="s">
        <v>340</v>
      </c>
      <c r="J32" s="835" t="s">
        <v>970</v>
      </c>
      <c r="K32" s="827" t="s">
        <v>390</v>
      </c>
      <c r="L32" s="838" t="s">
        <v>391</v>
      </c>
      <c r="M32" s="66">
        <v>12</v>
      </c>
      <c r="N32" s="835" t="s">
        <v>978</v>
      </c>
      <c r="O32" s="827" t="s">
        <v>389</v>
      </c>
      <c r="P32" s="831">
        <v>0</v>
      </c>
      <c r="Q32" s="832">
        <v>1</v>
      </c>
      <c r="R32" s="827" t="s">
        <v>17</v>
      </c>
      <c r="S32" s="827" t="s">
        <v>295</v>
      </c>
      <c r="T32" s="827" t="s">
        <v>631</v>
      </c>
      <c r="U32" s="827" t="s">
        <v>634</v>
      </c>
      <c r="V32" s="827" t="s">
        <v>79</v>
      </c>
      <c r="W32" s="827" t="s">
        <v>1271</v>
      </c>
      <c r="X32" s="827" t="s">
        <v>394</v>
      </c>
      <c r="Y32" s="827" t="s">
        <v>204</v>
      </c>
      <c r="Z32" s="66">
        <v>12</v>
      </c>
      <c r="AA32" s="71" t="str">
        <f t="shared" si="74"/>
        <v>Ejecutar los procesos de liquidación y reconocimiento de la UPC de los afiliados al régimen subsidiado.</v>
      </c>
      <c r="AB32" s="72">
        <f t="shared" ref="AB32:AB38" si="75">+P32</f>
        <v>0</v>
      </c>
      <c r="AC32" s="860" t="s">
        <v>48</v>
      </c>
      <c r="AD32" s="66">
        <v>3</v>
      </c>
      <c r="AE32" s="827" t="str">
        <f t="shared" si="46"/>
        <v>Ejecutar los procesos de liquidación y reconocimiento de la UPC de los afiliados al régimen subsidiado.</v>
      </c>
      <c r="AF32" s="831">
        <v>0</v>
      </c>
      <c r="AG32" s="835">
        <v>3</v>
      </c>
      <c r="AH32" s="831">
        <v>0</v>
      </c>
      <c r="AI32" s="828">
        <f t="shared" si="47"/>
        <v>1</v>
      </c>
      <c r="AJ32" s="828" t="e">
        <f t="shared" si="48"/>
        <v>#DIV/0!</v>
      </c>
      <c r="AK32" s="828">
        <f t="shared" si="49"/>
        <v>0.25</v>
      </c>
      <c r="AL32" s="828" t="e">
        <f t="shared" si="50"/>
        <v>#DIV/0!</v>
      </c>
      <c r="AM32" s="830" t="s">
        <v>1594</v>
      </c>
      <c r="AN32" s="66">
        <v>3</v>
      </c>
      <c r="AO32" s="827" t="str">
        <f t="shared" si="51"/>
        <v>Ejecutar los procesos de liquidación y reconocimiento de la UPC de los afiliados al régimen subsidiado.</v>
      </c>
      <c r="AP32" s="831">
        <v>0</v>
      </c>
      <c r="AQ32" s="838">
        <v>3</v>
      </c>
      <c r="AR32" s="831">
        <v>0</v>
      </c>
      <c r="AS32" s="828">
        <f t="shared" si="52"/>
        <v>1</v>
      </c>
      <c r="AT32" s="828" t="e">
        <f t="shared" si="53"/>
        <v>#DIV/0!</v>
      </c>
      <c r="AU32" s="828">
        <f t="shared" si="54"/>
        <v>0.5</v>
      </c>
      <c r="AV32" s="828" t="e">
        <f t="shared" si="55"/>
        <v>#DIV/0!</v>
      </c>
      <c r="AW32" s="829" t="s">
        <v>1679</v>
      </c>
      <c r="AX32" s="66">
        <v>3</v>
      </c>
      <c r="AY32" s="827" t="str">
        <f t="shared" si="56"/>
        <v>Ejecutar los procesos de liquidación y reconocimiento de la UPC de los afiliados al régimen subsidiado.</v>
      </c>
      <c r="AZ32" s="831">
        <v>0</v>
      </c>
      <c r="BA32" s="66">
        <v>3</v>
      </c>
      <c r="BB32" s="989">
        <v>0</v>
      </c>
      <c r="BC32" s="828">
        <f t="shared" si="57"/>
        <v>1</v>
      </c>
      <c r="BD32" s="828" t="e">
        <f t="shared" si="58"/>
        <v>#DIV/0!</v>
      </c>
      <c r="BE32" s="828">
        <f t="shared" si="59"/>
        <v>0.75</v>
      </c>
      <c r="BF32" s="828" t="e">
        <f t="shared" si="60"/>
        <v>#DIV/0!</v>
      </c>
      <c r="BG32" s="987" t="s">
        <v>1880</v>
      </c>
      <c r="BH32" s="66">
        <v>3</v>
      </c>
      <c r="BI32" s="827" t="str">
        <f t="shared" si="61"/>
        <v>Ejecutar los procesos de liquidación y reconocimiento de la UPC de los afiliados al régimen subsidiado.</v>
      </c>
      <c r="BJ32" s="831">
        <v>0</v>
      </c>
      <c r="BK32" s="840"/>
      <c r="BL32" s="840"/>
      <c r="BM32" s="826">
        <f t="shared" si="62"/>
        <v>0</v>
      </c>
      <c r="BN32" s="826" t="e">
        <f t="shared" si="63"/>
        <v>#DIV/0!</v>
      </c>
      <c r="BO32" s="826">
        <f t="shared" si="64"/>
        <v>0.75</v>
      </c>
      <c r="BP32" s="826" t="e">
        <f t="shared" si="65"/>
        <v>#DIV/0!</v>
      </c>
      <c r="BQ32" s="826"/>
      <c r="BR32" s="640">
        <f t="shared" si="66"/>
        <v>1</v>
      </c>
      <c r="BS32" s="640" t="str">
        <f t="shared" si="67"/>
        <v>No Prog ni Ejec</v>
      </c>
      <c r="BT32" s="640">
        <f t="shared" si="68"/>
        <v>1</v>
      </c>
      <c r="BU32" s="640" t="str">
        <f t="shared" si="69"/>
        <v>No Prog ni Ejec</v>
      </c>
      <c r="BV32" s="640">
        <f t="shared" si="70"/>
        <v>1</v>
      </c>
      <c r="BW32" s="640" t="str">
        <f t="shared" si="71"/>
        <v>No Prog ni Ejec</v>
      </c>
      <c r="BX32" s="640">
        <f t="shared" si="72"/>
        <v>0</v>
      </c>
      <c r="BY32" s="698" t="str">
        <f t="shared" si="73"/>
        <v>No Prog ni Ejec</v>
      </c>
      <c r="BZ32" s="149">
        <f t="shared" si="1"/>
        <v>0</v>
      </c>
    </row>
    <row r="33" spans="1:78" s="70" customFormat="1" ht="102" x14ac:dyDescent="0.2">
      <c r="A33" s="834">
        <v>11400</v>
      </c>
      <c r="B33" s="827" t="s">
        <v>12</v>
      </c>
      <c r="C33" s="827" t="s">
        <v>330</v>
      </c>
      <c r="D33" s="845" t="s">
        <v>1020</v>
      </c>
      <c r="E33" s="845"/>
      <c r="F33" s="835" t="s">
        <v>65</v>
      </c>
      <c r="G33" s="827" t="s">
        <v>344</v>
      </c>
      <c r="H33" s="835" t="s">
        <v>66</v>
      </c>
      <c r="I33" s="827" t="s">
        <v>340</v>
      </c>
      <c r="J33" s="835" t="s">
        <v>971</v>
      </c>
      <c r="K33" s="827" t="s">
        <v>393</v>
      </c>
      <c r="L33" s="838" t="s">
        <v>391</v>
      </c>
      <c r="M33" s="66">
        <v>12</v>
      </c>
      <c r="N33" s="835" t="s">
        <v>979</v>
      </c>
      <c r="O33" s="827" t="s">
        <v>392</v>
      </c>
      <c r="P33" s="831">
        <v>0</v>
      </c>
      <c r="Q33" s="832">
        <v>1</v>
      </c>
      <c r="R33" s="827" t="s">
        <v>17</v>
      </c>
      <c r="S33" s="827" t="s">
        <v>295</v>
      </c>
      <c r="T33" s="827" t="s">
        <v>631</v>
      </c>
      <c r="U33" s="827" t="s">
        <v>634</v>
      </c>
      <c r="V33" s="827" t="s">
        <v>75</v>
      </c>
      <c r="W33" s="827" t="s">
        <v>1272</v>
      </c>
      <c r="X33" s="827" t="s">
        <v>417</v>
      </c>
      <c r="Y33" s="827" t="s">
        <v>204</v>
      </c>
      <c r="Z33" s="66">
        <v>12</v>
      </c>
      <c r="AA33" s="71" t="str">
        <f t="shared" si="74"/>
        <v xml:space="preserve">Ejecutar los procesos de liquidación y reconocimiento de licencias de maternidad y paternidad. </v>
      </c>
      <c r="AB33" s="72">
        <f t="shared" si="75"/>
        <v>0</v>
      </c>
      <c r="AC33" s="860" t="s">
        <v>48</v>
      </c>
      <c r="AD33" s="66">
        <v>3</v>
      </c>
      <c r="AE33" s="827" t="str">
        <f t="shared" si="46"/>
        <v xml:space="preserve">Ejecutar los procesos de liquidación y reconocimiento de licencias de maternidad y paternidad. </v>
      </c>
      <c r="AF33" s="831">
        <v>0</v>
      </c>
      <c r="AG33" s="835">
        <v>3</v>
      </c>
      <c r="AH33" s="831">
        <v>0</v>
      </c>
      <c r="AI33" s="828">
        <f t="shared" si="47"/>
        <v>1</v>
      </c>
      <c r="AJ33" s="828" t="e">
        <f t="shared" si="48"/>
        <v>#DIV/0!</v>
      </c>
      <c r="AK33" s="828">
        <f t="shared" si="49"/>
        <v>0.25</v>
      </c>
      <c r="AL33" s="828" t="e">
        <f t="shared" si="50"/>
        <v>#DIV/0!</v>
      </c>
      <c r="AM33" s="466" t="s">
        <v>1370</v>
      </c>
      <c r="AN33" s="66">
        <v>3</v>
      </c>
      <c r="AO33" s="827" t="str">
        <f t="shared" si="51"/>
        <v xml:space="preserve">Ejecutar los procesos de liquidación y reconocimiento de licencias de maternidad y paternidad. </v>
      </c>
      <c r="AP33" s="831">
        <v>0</v>
      </c>
      <c r="AQ33" s="838">
        <v>3</v>
      </c>
      <c r="AR33" s="831">
        <v>0</v>
      </c>
      <c r="AS33" s="828">
        <f t="shared" si="52"/>
        <v>1</v>
      </c>
      <c r="AT33" s="828" t="e">
        <f t="shared" si="53"/>
        <v>#DIV/0!</v>
      </c>
      <c r="AU33" s="828">
        <f t="shared" si="54"/>
        <v>0.5</v>
      </c>
      <c r="AV33" s="828" t="e">
        <f t="shared" si="55"/>
        <v>#DIV/0!</v>
      </c>
      <c r="AW33" s="829" t="s">
        <v>1370</v>
      </c>
      <c r="AX33" s="66">
        <v>3</v>
      </c>
      <c r="AY33" s="827" t="str">
        <f t="shared" si="56"/>
        <v xml:space="preserve">Ejecutar los procesos de liquidación y reconocimiento de licencias de maternidad y paternidad. </v>
      </c>
      <c r="AZ33" s="831">
        <v>0</v>
      </c>
      <c r="BA33" s="990">
        <v>3</v>
      </c>
      <c r="BB33" s="989">
        <v>0</v>
      </c>
      <c r="BC33" s="828">
        <f t="shared" si="57"/>
        <v>1</v>
      </c>
      <c r="BD33" s="828" t="e">
        <f t="shared" si="58"/>
        <v>#DIV/0!</v>
      </c>
      <c r="BE33" s="828">
        <f t="shared" si="59"/>
        <v>0.75</v>
      </c>
      <c r="BF33" s="828" t="e">
        <f t="shared" si="60"/>
        <v>#DIV/0!</v>
      </c>
      <c r="BG33" s="466" t="s">
        <v>1881</v>
      </c>
      <c r="BH33" s="66">
        <v>3</v>
      </c>
      <c r="BI33" s="827" t="str">
        <f t="shared" si="61"/>
        <v xml:space="preserve">Ejecutar los procesos de liquidación y reconocimiento de licencias de maternidad y paternidad. </v>
      </c>
      <c r="BJ33" s="831">
        <v>0</v>
      </c>
      <c r="BK33" s="840"/>
      <c r="BL33" s="840"/>
      <c r="BM33" s="826">
        <f t="shared" si="62"/>
        <v>0</v>
      </c>
      <c r="BN33" s="826" t="e">
        <f t="shared" si="63"/>
        <v>#DIV/0!</v>
      </c>
      <c r="BO33" s="826">
        <f t="shared" si="64"/>
        <v>0.75</v>
      </c>
      <c r="BP33" s="826" t="e">
        <f t="shared" si="65"/>
        <v>#DIV/0!</v>
      </c>
      <c r="BQ33" s="826"/>
      <c r="BR33" s="640">
        <f t="shared" si="66"/>
        <v>1</v>
      </c>
      <c r="BS33" s="640" t="str">
        <f t="shared" si="67"/>
        <v>No Prog ni Ejec</v>
      </c>
      <c r="BT33" s="640">
        <f t="shared" si="68"/>
        <v>1</v>
      </c>
      <c r="BU33" s="640" t="str">
        <f t="shared" si="69"/>
        <v>No Prog ni Ejec</v>
      </c>
      <c r="BV33" s="640">
        <f t="shared" si="70"/>
        <v>1</v>
      </c>
      <c r="BW33" s="640" t="str">
        <f t="shared" si="71"/>
        <v>No Prog ni Ejec</v>
      </c>
      <c r="BX33" s="640">
        <f t="shared" si="72"/>
        <v>0</v>
      </c>
      <c r="BY33" s="698" t="str">
        <f t="shared" si="73"/>
        <v>No Prog ni Ejec</v>
      </c>
      <c r="BZ33" s="149">
        <f t="shared" si="1"/>
        <v>0</v>
      </c>
    </row>
    <row r="34" spans="1:78" s="70" customFormat="1" ht="114.75" x14ac:dyDescent="0.2">
      <c r="A34" s="834">
        <v>11400</v>
      </c>
      <c r="B34" s="827" t="s">
        <v>12</v>
      </c>
      <c r="C34" s="827" t="s">
        <v>330</v>
      </c>
      <c r="D34" s="845" t="s">
        <v>1020</v>
      </c>
      <c r="E34" s="845"/>
      <c r="F34" s="835" t="s">
        <v>65</v>
      </c>
      <c r="G34" s="827" t="s">
        <v>344</v>
      </c>
      <c r="H34" s="835" t="s">
        <v>66</v>
      </c>
      <c r="I34" s="827" t="s">
        <v>340</v>
      </c>
      <c r="J34" s="835" t="s">
        <v>972</v>
      </c>
      <c r="K34" s="827" t="s">
        <v>396</v>
      </c>
      <c r="L34" s="838" t="s">
        <v>391</v>
      </c>
      <c r="M34" s="66">
        <v>6</v>
      </c>
      <c r="N34" s="835" t="s">
        <v>980</v>
      </c>
      <c r="O34" s="827" t="s">
        <v>395</v>
      </c>
      <c r="P34" s="831">
        <v>0</v>
      </c>
      <c r="Q34" s="832">
        <v>1</v>
      </c>
      <c r="R34" s="827" t="s">
        <v>17</v>
      </c>
      <c r="S34" s="827" t="s">
        <v>295</v>
      </c>
      <c r="T34" s="827" t="s">
        <v>631</v>
      </c>
      <c r="U34" s="827" t="s">
        <v>634</v>
      </c>
      <c r="V34" s="827" t="s">
        <v>75</v>
      </c>
      <c r="W34" s="827" t="s">
        <v>204</v>
      </c>
      <c r="X34" s="827" t="s">
        <v>397</v>
      </c>
      <c r="Y34" s="827" t="s">
        <v>204</v>
      </c>
      <c r="Z34" s="66">
        <v>6</v>
      </c>
      <c r="AA34" s="71" t="str">
        <f t="shared" si="74"/>
        <v xml:space="preserve">Desarrollar auditorías a los procesos de liquidación y reconocimiento de UPC de los afiliados al régimen contributivo y subsidiado. </v>
      </c>
      <c r="AB34" s="72">
        <f t="shared" si="75"/>
        <v>0</v>
      </c>
      <c r="AC34" s="860" t="s">
        <v>48</v>
      </c>
      <c r="AD34" s="66">
        <v>0</v>
      </c>
      <c r="AE34" s="827" t="str">
        <f t="shared" si="46"/>
        <v xml:space="preserve">Desarrollar auditorías a los procesos de liquidación y reconocimiento de UPC de los afiliados al régimen contributivo y subsidiado. </v>
      </c>
      <c r="AF34" s="831">
        <v>0</v>
      </c>
      <c r="AG34" s="835">
        <v>0</v>
      </c>
      <c r="AH34" s="831">
        <v>0</v>
      </c>
      <c r="AI34" s="828" t="e">
        <f>+(AG34/AD34)</f>
        <v>#DIV/0!</v>
      </c>
      <c r="AJ34" s="828" t="e">
        <f t="shared" si="48"/>
        <v>#DIV/0!</v>
      </c>
      <c r="AK34" s="828">
        <f t="shared" si="49"/>
        <v>0</v>
      </c>
      <c r="AL34" s="828" t="e">
        <f t="shared" si="50"/>
        <v>#DIV/0!</v>
      </c>
      <c r="AM34" s="466" t="s">
        <v>1371</v>
      </c>
      <c r="AN34" s="66">
        <v>2</v>
      </c>
      <c r="AO34" s="827" t="str">
        <f t="shared" si="51"/>
        <v xml:space="preserve">Desarrollar auditorías a los procesos de liquidación y reconocimiento de UPC de los afiliados al régimen contributivo y subsidiado. </v>
      </c>
      <c r="AP34" s="831">
        <v>0</v>
      </c>
      <c r="AQ34" s="838">
        <v>2</v>
      </c>
      <c r="AR34" s="831">
        <v>0</v>
      </c>
      <c r="AS34" s="828">
        <f t="shared" si="52"/>
        <v>1</v>
      </c>
      <c r="AT34" s="828" t="e">
        <f t="shared" si="53"/>
        <v>#DIV/0!</v>
      </c>
      <c r="AU34" s="828">
        <f t="shared" si="54"/>
        <v>0.33333333333333331</v>
      </c>
      <c r="AV34" s="828" t="e">
        <f t="shared" si="55"/>
        <v>#DIV/0!</v>
      </c>
      <c r="AW34" s="829" t="s">
        <v>1680</v>
      </c>
      <c r="AX34" s="66">
        <v>2</v>
      </c>
      <c r="AY34" s="827" t="str">
        <f t="shared" si="56"/>
        <v xml:space="preserve">Desarrollar auditorías a los procesos de liquidación y reconocimiento de UPC de los afiliados al régimen contributivo y subsidiado. </v>
      </c>
      <c r="AZ34" s="831">
        <v>0</v>
      </c>
      <c r="BA34" s="66">
        <v>2</v>
      </c>
      <c r="BB34" s="989">
        <v>0</v>
      </c>
      <c r="BC34" s="828">
        <f t="shared" si="57"/>
        <v>1</v>
      </c>
      <c r="BD34" s="828" t="e">
        <f t="shared" si="58"/>
        <v>#DIV/0!</v>
      </c>
      <c r="BE34" s="828">
        <f t="shared" si="59"/>
        <v>0.66666666666666663</v>
      </c>
      <c r="BF34" s="828" t="e">
        <f t="shared" si="60"/>
        <v>#DIV/0!</v>
      </c>
      <c r="BG34" s="987" t="s">
        <v>1882</v>
      </c>
      <c r="BH34" s="66">
        <v>2</v>
      </c>
      <c r="BI34" s="827" t="str">
        <f t="shared" si="61"/>
        <v xml:space="preserve">Desarrollar auditorías a los procesos de liquidación y reconocimiento de UPC de los afiliados al régimen contributivo y subsidiado. </v>
      </c>
      <c r="BJ34" s="831">
        <v>0</v>
      </c>
      <c r="BK34" s="840"/>
      <c r="BL34" s="840"/>
      <c r="BM34" s="826">
        <f t="shared" si="62"/>
        <v>0</v>
      </c>
      <c r="BN34" s="826" t="e">
        <f t="shared" si="63"/>
        <v>#DIV/0!</v>
      </c>
      <c r="BO34" s="826">
        <f t="shared" si="64"/>
        <v>0.66666666666666663</v>
      </c>
      <c r="BP34" s="826" t="e">
        <f t="shared" si="65"/>
        <v>#DIV/0!</v>
      </c>
      <c r="BQ34" s="826"/>
      <c r="BR34" s="640" t="str">
        <f t="shared" si="66"/>
        <v>No Prog ni Ejec</v>
      </c>
      <c r="BS34" s="640" t="str">
        <f t="shared" si="67"/>
        <v>No Prog ni Ejec</v>
      </c>
      <c r="BT34" s="640">
        <f t="shared" si="68"/>
        <v>1</v>
      </c>
      <c r="BU34" s="640" t="str">
        <f t="shared" si="69"/>
        <v>No Prog ni Ejec</v>
      </c>
      <c r="BV34" s="640">
        <f t="shared" si="70"/>
        <v>1</v>
      </c>
      <c r="BW34" s="640" t="str">
        <f t="shared" si="71"/>
        <v>No Prog ni Ejec</v>
      </c>
      <c r="BX34" s="640">
        <f t="shared" si="72"/>
        <v>0</v>
      </c>
      <c r="BY34" s="698" t="str">
        <f t="shared" si="73"/>
        <v>No Prog ni Ejec</v>
      </c>
      <c r="BZ34" s="149">
        <f t="shared" si="1"/>
        <v>0</v>
      </c>
    </row>
    <row r="35" spans="1:78" s="78" customFormat="1" ht="181.5" customHeight="1" x14ac:dyDescent="0.2">
      <c r="A35" s="834">
        <v>11400</v>
      </c>
      <c r="B35" s="827" t="s">
        <v>12</v>
      </c>
      <c r="C35" s="827" t="s">
        <v>330</v>
      </c>
      <c r="D35" s="845" t="s">
        <v>1020</v>
      </c>
      <c r="E35" s="845"/>
      <c r="F35" s="835" t="s">
        <v>65</v>
      </c>
      <c r="G35" s="827" t="s">
        <v>403</v>
      </c>
      <c r="H35" s="835" t="s">
        <v>67</v>
      </c>
      <c r="I35" s="827" t="s">
        <v>343</v>
      </c>
      <c r="J35" s="835" t="s">
        <v>964</v>
      </c>
      <c r="K35" s="827" t="s">
        <v>1062</v>
      </c>
      <c r="L35" s="838" t="s">
        <v>391</v>
      </c>
      <c r="M35" s="66">
        <v>8</v>
      </c>
      <c r="N35" s="835" t="s">
        <v>115</v>
      </c>
      <c r="O35" s="827" t="s">
        <v>404</v>
      </c>
      <c r="P35" s="831">
        <v>0</v>
      </c>
      <c r="Q35" s="832">
        <v>1</v>
      </c>
      <c r="R35" s="827" t="s">
        <v>294</v>
      </c>
      <c r="S35" s="827" t="s">
        <v>308</v>
      </c>
      <c r="T35" s="827" t="s">
        <v>630</v>
      </c>
      <c r="U35" s="827" t="s">
        <v>632</v>
      </c>
      <c r="V35" s="827" t="s">
        <v>1052</v>
      </c>
      <c r="W35" s="827" t="s">
        <v>1269</v>
      </c>
      <c r="X35" s="827" t="s">
        <v>1063</v>
      </c>
      <c r="Y35" s="827" t="s">
        <v>204</v>
      </c>
      <c r="Z35" s="66">
        <v>8</v>
      </c>
      <c r="AA35" s="71" t="str">
        <f t="shared" si="74"/>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B35" s="72">
        <f t="shared" si="75"/>
        <v>0</v>
      </c>
      <c r="AC35" s="860" t="s">
        <v>48</v>
      </c>
      <c r="AD35" s="66">
        <v>2</v>
      </c>
      <c r="AE35" s="827" t="str">
        <f t="shared" si="4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F35" s="831">
        <v>0</v>
      </c>
      <c r="AG35" s="840">
        <v>2</v>
      </c>
      <c r="AH35" s="831">
        <v>0</v>
      </c>
      <c r="AI35" s="828">
        <f t="shared" si="47"/>
        <v>1</v>
      </c>
      <c r="AJ35" s="828" t="e">
        <f t="shared" si="48"/>
        <v>#DIV/0!</v>
      </c>
      <c r="AK35" s="828">
        <f t="shared" si="49"/>
        <v>0.25</v>
      </c>
      <c r="AL35" s="828" t="e">
        <f t="shared" si="50"/>
        <v>#DIV/0!</v>
      </c>
      <c r="AM35" s="909" t="s">
        <v>1409</v>
      </c>
      <c r="AN35" s="66">
        <v>2</v>
      </c>
      <c r="AO35" s="827" t="str">
        <f t="shared" si="5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P35" s="831">
        <v>0</v>
      </c>
      <c r="AQ35" s="838">
        <v>2</v>
      </c>
      <c r="AR35" s="831">
        <v>0</v>
      </c>
      <c r="AS35" s="828">
        <f t="shared" si="52"/>
        <v>1</v>
      </c>
      <c r="AT35" s="828" t="e">
        <f t="shared" si="53"/>
        <v>#DIV/0!</v>
      </c>
      <c r="AU35" s="828">
        <f t="shared" si="54"/>
        <v>0.5</v>
      </c>
      <c r="AV35" s="828" t="e">
        <f t="shared" si="55"/>
        <v>#DIV/0!</v>
      </c>
      <c r="AW35" s="829" t="s">
        <v>1732</v>
      </c>
      <c r="AX35" s="66">
        <v>2</v>
      </c>
      <c r="AY35" s="827" t="str">
        <f t="shared" si="56"/>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AZ35" s="831">
        <v>0</v>
      </c>
      <c r="BA35" s="990">
        <v>2</v>
      </c>
      <c r="BB35" s="989">
        <v>0</v>
      </c>
      <c r="BC35" s="828">
        <f t="shared" si="57"/>
        <v>1</v>
      </c>
      <c r="BD35" s="828" t="e">
        <f t="shared" si="58"/>
        <v>#DIV/0!</v>
      </c>
      <c r="BE35" s="828">
        <f t="shared" si="59"/>
        <v>0.75</v>
      </c>
      <c r="BF35" s="828" t="e">
        <f t="shared" si="60"/>
        <v>#DIV/0!</v>
      </c>
      <c r="BG35" s="987" t="s">
        <v>1883</v>
      </c>
      <c r="BH35" s="66">
        <v>2</v>
      </c>
      <c r="BI35" s="827" t="str">
        <f t="shared" si="61"/>
        <v>Realizar análisis sobre procesos o tecnologías reconocidas por la ADRES (Prescripción, suministro y uso de medicamentos NO PBS; atenciones en salud derivados de accidentes de tránsito; incapacidades; licencias de maternidad y paternidad; UPC de los regímenes contributivo y subsidiado y ponderador de la UPC).</v>
      </c>
      <c r="BJ35" s="831">
        <v>0</v>
      </c>
      <c r="BK35" s="840"/>
      <c r="BL35" s="840"/>
      <c r="BM35" s="826">
        <f t="shared" si="62"/>
        <v>0</v>
      </c>
      <c r="BN35" s="826" t="e">
        <f t="shared" si="63"/>
        <v>#DIV/0!</v>
      </c>
      <c r="BO35" s="826">
        <f t="shared" si="64"/>
        <v>0.75</v>
      </c>
      <c r="BP35" s="826" t="e">
        <f t="shared" si="65"/>
        <v>#DIV/0!</v>
      </c>
      <c r="BQ35" s="826"/>
      <c r="BR35" s="152">
        <f t="shared" si="66"/>
        <v>1</v>
      </c>
      <c r="BS35" s="152" t="str">
        <f t="shared" si="67"/>
        <v>No Prog ni Ejec</v>
      </c>
      <c r="BT35" s="152">
        <f t="shared" si="68"/>
        <v>1</v>
      </c>
      <c r="BU35" s="152" t="str">
        <f t="shared" si="69"/>
        <v>No Prog ni Ejec</v>
      </c>
      <c r="BV35" s="152">
        <f t="shared" si="70"/>
        <v>1</v>
      </c>
      <c r="BW35" s="152" t="str">
        <f t="shared" si="71"/>
        <v>No Prog ni Ejec</v>
      </c>
      <c r="BX35" s="152">
        <f t="shared" si="72"/>
        <v>0</v>
      </c>
      <c r="BY35" s="699" t="str">
        <f t="shared" si="73"/>
        <v>No Prog ni Ejec</v>
      </c>
      <c r="BZ35" s="149">
        <f t="shared" si="1"/>
        <v>0</v>
      </c>
    </row>
    <row r="36" spans="1:78" s="78" customFormat="1" ht="140.25" customHeight="1" x14ac:dyDescent="0.2">
      <c r="A36" s="834">
        <v>11900</v>
      </c>
      <c r="B36" s="827" t="s">
        <v>125</v>
      </c>
      <c r="C36" s="827" t="s">
        <v>330</v>
      </c>
      <c r="D36" s="845" t="s">
        <v>1020</v>
      </c>
      <c r="E36" s="845"/>
      <c r="F36" s="835" t="s">
        <v>126</v>
      </c>
      <c r="G36" s="827" t="s">
        <v>60</v>
      </c>
      <c r="H36" s="836" t="s">
        <v>128</v>
      </c>
      <c r="I36" s="827" t="s">
        <v>342</v>
      </c>
      <c r="J36" s="835" t="s">
        <v>645</v>
      </c>
      <c r="K36" s="827" t="s">
        <v>467</v>
      </c>
      <c r="L36" s="838" t="s">
        <v>391</v>
      </c>
      <c r="M36" s="66">
        <v>2</v>
      </c>
      <c r="N36" s="835" t="s">
        <v>149</v>
      </c>
      <c r="O36" s="827" t="s">
        <v>466</v>
      </c>
      <c r="P36" s="831">
        <v>0</v>
      </c>
      <c r="Q36" s="832">
        <v>1</v>
      </c>
      <c r="R36" s="827" t="s">
        <v>17</v>
      </c>
      <c r="S36" s="827" t="s">
        <v>28</v>
      </c>
      <c r="T36" s="827" t="s">
        <v>631</v>
      </c>
      <c r="U36" s="827" t="s">
        <v>634</v>
      </c>
      <c r="V36" s="827" t="s">
        <v>1044</v>
      </c>
      <c r="W36" s="827" t="s">
        <v>1260</v>
      </c>
      <c r="X36" s="827" t="s">
        <v>468</v>
      </c>
      <c r="Y36" s="827" t="s">
        <v>204</v>
      </c>
      <c r="Z36" s="66">
        <v>2</v>
      </c>
      <c r="AA36" s="71" t="str">
        <f t="shared" si="74"/>
        <v>Adelantar acercamientos con altos organismos de rama judicial con el objeto de reducir el volumen de tutelas que recibe la entidad</v>
      </c>
      <c r="AB36" s="72">
        <f t="shared" si="75"/>
        <v>0</v>
      </c>
      <c r="AC36" s="860" t="s">
        <v>48</v>
      </c>
      <c r="AD36" s="66">
        <v>0</v>
      </c>
      <c r="AE36" s="827" t="str">
        <f t="shared" si="46"/>
        <v>Adelantar acercamientos con altos organismos de rama judicial con el objeto de reducir el volumen de tutelas que recibe la entidad</v>
      </c>
      <c r="AF36" s="831">
        <v>0</v>
      </c>
      <c r="AG36" s="469">
        <v>0</v>
      </c>
      <c r="AH36" s="864">
        <v>0</v>
      </c>
      <c r="AI36" s="828" t="e">
        <f t="shared" si="47"/>
        <v>#DIV/0!</v>
      </c>
      <c r="AJ36" s="828" t="e">
        <f t="shared" si="48"/>
        <v>#DIV/0!</v>
      </c>
      <c r="AK36" s="828">
        <f t="shared" si="49"/>
        <v>0</v>
      </c>
      <c r="AL36" s="828" t="e">
        <f t="shared" si="50"/>
        <v>#DIV/0!</v>
      </c>
      <c r="AM36" s="468" t="s">
        <v>1334</v>
      </c>
      <c r="AN36" s="66">
        <v>1</v>
      </c>
      <c r="AO36" s="827" t="str">
        <f t="shared" si="51"/>
        <v>Adelantar acercamientos con altos organismos de rama judicial con el objeto de reducir el volumen de tutelas que recibe la entidad</v>
      </c>
      <c r="AP36" s="831">
        <v>0</v>
      </c>
      <c r="AQ36" s="838">
        <v>0</v>
      </c>
      <c r="AR36" s="831">
        <v>0</v>
      </c>
      <c r="AS36" s="828">
        <f t="shared" si="52"/>
        <v>0</v>
      </c>
      <c r="AT36" s="828" t="e">
        <f t="shared" si="53"/>
        <v>#DIV/0!</v>
      </c>
      <c r="AU36" s="828">
        <f t="shared" si="54"/>
        <v>0</v>
      </c>
      <c r="AV36" s="828" t="e">
        <f t="shared" si="55"/>
        <v>#DIV/0!</v>
      </c>
      <c r="AW36" s="829" t="s">
        <v>1703</v>
      </c>
      <c r="AX36" s="66">
        <v>0</v>
      </c>
      <c r="AY36" s="827" t="str">
        <f t="shared" si="56"/>
        <v>Adelantar acercamientos con altos organismos de rama judicial con el objeto de reducir el volumen de tutelas que recibe la entidad</v>
      </c>
      <c r="AZ36" s="831">
        <v>0</v>
      </c>
      <c r="BA36" s="999">
        <v>0</v>
      </c>
      <c r="BB36" s="1005">
        <v>0</v>
      </c>
      <c r="BC36" s="828" t="e">
        <f t="shared" si="57"/>
        <v>#DIV/0!</v>
      </c>
      <c r="BD36" s="828" t="e">
        <f t="shared" si="58"/>
        <v>#DIV/0!</v>
      </c>
      <c r="BE36" s="828">
        <f t="shared" si="59"/>
        <v>0</v>
      </c>
      <c r="BF36" s="828" t="e">
        <f t="shared" si="60"/>
        <v>#DIV/0!</v>
      </c>
      <c r="BG36" s="996" t="s">
        <v>1934</v>
      </c>
      <c r="BH36" s="66">
        <v>1</v>
      </c>
      <c r="BI36" s="827" t="str">
        <f t="shared" si="61"/>
        <v>Adelantar acercamientos con altos organismos de rama judicial con el objeto de reducir el volumen de tutelas que recibe la entidad</v>
      </c>
      <c r="BJ36" s="831">
        <v>0</v>
      </c>
      <c r="BK36" s="840"/>
      <c r="BL36" s="840"/>
      <c r="BM36" s="826">
        <f t="shared" si="62"/>
        <v>0</v>
      </c>
      <c r="BN36" s="826" t="e">
        <f t="shared" si="63"/>
        <v>#DIV/0!</v>
      </c>
      <c r="BO36" s="826">
        <f t="shared" si="64"/>
        <v>0</v>
      </c>
      <c r="BP36" s="826" t="e">
        <f t="shared" si="65"/>
        <v>#DIV/0!</v>
      </c>
      <c r="BQ36" s="826"/>
      <c r="BR36" s="152" t="str">
        <f t="shared" si="66"/>
        <v>No Prog ni Ejec</v>
      </c>
      <c r="BS36" s="152" t="str">
        <f t="shared" si="67"/>
        <v>No Prog ni Ejec</v>
      </c>
      <c r="BT36" s="152">
        <f t="shared" si="68"/>
        <v>0</v>
      </c>
      <c r="BU36" s="152" t="str">
        <f t="shared" si="69"/>
        <v>No Prog ni Ejec</v>
      </c>
      <c r="BV36" s="152" t="str">
        <f t="shared" si="70"/>
        <v>No Prog ni Ejec</v>
      </c>
      <c r="BW36" s="152" t="str">
        <f t="shared" si="71"/>
        <v>No Prog ni Ejec</v>
      </c>
      <c r="BX36" s="152">
        <f t="shared" si="72"/>
        <v>0</v>
      </c>
      <c r="BY36" s="699" t="str">
        <f t="shared" si="73"/>
        <v>No Prog ni Ejec</v>
      </c>
      <c r="BZ36" s="149">
        <f t="shared" si="1"/>
        <v>0</v>
      </c>
    </row>
    <row r="37" spans="1:78" s="78" customFormat="1" ht="140.25" customHeight="1" x14ac:dyDescent="0.2">
      <c r="A37" s="834">
        <v>11900</v>
      </c>
      <c r="B37" s="827" t="s">
        <v>125</v>
      </c>
      <c r="C37" s="827" t="s">
        <v>330</v>
      </c>
      <c r="D37" s="845" t="s">
        <v>1020</v>
      </c>
      <c r="E37" s="845"/>
      <c r="F37" s="835" t="s">
        <v>126</v>
      </c>
      <c r="G37" s="827" t="s">
        <v>60</v>
      </c>
      <c r="H37" s="836" t="s">
        <v>128</v>
      </c>
      <c r="I37" s="827" t="s">
        <v>342</v>
      </c>
      <c r="J37" s="835" t="s">
        <v>647</v>
      </c>
      <c r="K37" s="827" t="s">
        <v>499</v>
      </c>
      <c r="L37" s="838" t="s">
        <v>391</v>
      </c>
      <c r="M37" s="66">
        <v>1</v>
      </c>
      <c r="N37" s="835" t="s">
        <v>646</v>
      </c>
      <c r="O37" s="827" t="s">
        <v>500</v>
      </c>
      <c r="P37" s="831">
        <v>0</v>
      </c>
      <c r="Q37" s="832">
        <v>1</v>
      </c>
      <c r="R37" s="827" t="s">
        <v>18</v>
      </c>
      <c r="S37" s="827" t="s">
        <v>24</v>
      </c>
      <c r="T37" s="827" t="s">
        <v>631</v>
      </c>
      <c r="U37" s="827" t="s">
        <v>634</v>
      </c>
      <c r="V37" s="827" t="s">
        <v>1045</v>
      </c>
      <c r="W37" s="827" t="s">
        <v>204</v>
      </c>
      <c r="X37" s="827" t="s">
        <v>1591</v>
      </c>
      <c r="Y37" s="827" t="s">
        <v>1269</v>
      </c>
      <c r="Z37" s="66">
        <v>1</v>
      </c>
      <c r="AA37" s="71" t="str">
        <f t="shared" si="74"/>
        <v>Estudiar el convenio 370 del 2015 suscrito con el Ministerio de Transporte  y adelantar las gestiones que correspondan para que se amplíen los criterios de acceso a la información a la plataforma del RUNT</v>
      </c>
      <c r="AB37" s="72">
        <f t="shared" si="75"/>
        <v>0</v>
      </c>
      <c r="AC37" s="860" t="s">
        <v>48</v>
      </c>
      <c r="AD37" s="66">
        <v>0</v>
      </c>
      <c r="AE37" s="827" t="str">
        <f t="shared" si="46"/>
        <v>Estudiar el convenio 370 del 2015 suscrito con el Ministerio de Transporte  y adelantar las gestiones que correspondan para que se amplíen los criterios de acceso a la información a la plataforma del RUNT</v>
      </c>
      <c r="AF37" s="831">
        <v>0</v>
      </c>
      <c r="AG37" s="469">
        <v>0</v>
      </c>
      <c r="AH37" s="864">
        <v>0</v>
      </c>
      <c r="AI37" s="828" t="e">
        <f t="shared" si="47"/>
        <v>#DIV/0!</v>
      </c>
      <c r="AJ37" s="828" t="e">
        <f t="shared" si="48"/>
        <v>#DIV/0!</v>
      </c>
      <c r="AK37" s="828">
        <f t="shared" si="49"/>
        <v>0</v>
      </c>
      <c r="AL37" s="828" t="e">
        <f t="shared" si="50"/>
        <v>#DIV/0!</v>
      </c>
      <c r="AM37" s="468" t="s">
        <v>1334</v>
      </c>
      <c r="AN37" s="66">
        <v>0</v>
      </c>
      <c r="AO37" s="827" t="str">
        <f t="shared" si="51"/>
        <v>Estudiar el convenio 370 del 2015 suscrito con el Ministerio de Transporte  y adelantar las gestiones que correspondan para que se amplíen los criterios de acceso a la información a la plataforma del RUNT</v>
      </c>
      <c r="AP37" s="831">
        <v>0</v>
      </c>
      <c r="AQ37" s="838">
        <v>0</v>
      </c>
      <c r="AR37" s="831">
        <v>0</v>
      </c>
      <c r="AS37" s="828" t="e">
        <f t="shared" si="52"/>
        <v>#DIV/0!</v>
      </c>
      <c r="AT37" s="828" t="e">
        <f t="shared" si="53"/>
        <v>#DIV/0!</v>
      </c>
      <c r="AU37" s="828">
        <f t="shared" si="54"/>
        <v>0</v>
      </c>
      <c r="AV37" s="828" t="e">
        <f t="shared" si="55"/>
        <v>#DIV/0!</v>
      </c>
      <c r="AW37" s="497" t="s">
        <v>1334</v>
      </c>
      <c r="AX37" s="66">
        <v>0</v>
      </c>
      <c r="AY37" s="827" t="str">
        <f t="shared" si="56"/>
        <v>Estudiar el convenio 370 del 2015 suscrito con el Ministerio de Transporte  y adelantar las gestiones que correspondan para que se amplíen los criterios de acceso a la información a la plataforma del RUNT</v>
      </c>
      <c r="AZ37" s="831">
        <v>0</v>
      </c>
      <c r="BA37" s="999">
        <v>0</v>
      </c>
      <c r="BB37" s="1005">
        <v>0</v>
      </c>
      <c r="BC37" s="828" t="e">
        <f t="shared" si="57"/>
        <v>#DIV/0!</v>
      </c>
      <c r="BD37" s="828" t="e">
        <f t="shared" si="58"/>
        <v>#DIV/0!</v>
      </c>
      <c r="BE37" s="828">
        <f t="shared" si="59"/>
        <v>0</v>
      </c>
      <c r="BF37" s="828" t="e">
        <f t="shared" si="60"/>
        <v>#DIV/0!</v>
      </c>
      <c r="BG37" s="828"/>
      <c r="BH37" s="66">
        <v>1</v>
      </c>
      <c r="BI37" s="827" t="str">
        <f t="shared" si="61"/>
        <v>Estudiar el convenio 370 del 2015 suscrito con el Ministerio de Transporte  y adelantar las gestiones que correspondan para que se amplíen los criterios de acceso a la información a la plataforma del RUNT</v>
      </c>
      <c r="BJ37" s="831">
        <v>0</v>
      </c>
      <c r="BK37" s="840"/>
      <c r="BL37" s="840"/>
      <c r="BM37" s="826">
        <f t="shared" si="62"/>
        <v>0</v>
      </c>
      <c r="BN37" s="826" t="e">
        <f t="shared" si="63"/>
        <v>#DIV/0!</v>
      </c>
      <c r="BO37" s="826">
        <f t="shared" si="64"/>
        <v>0</v>
      </c>
      <c r="BP37" s="826" t="e">
        <f t="shared" si="65"/>
        <v>#DIV/0!</v>
      </c>
      <c r="BQ37" s="826"/>
      <c r="BR37" s="152" t="str">
        <f t="shared" si="66"/>
        <v>No Prog ni Ejec</v>
      </c>
      <c r="BS37" s="152" t="str">
        <f t="shared" si="67"/>
        <v>No Prog ni Ejec</v>
      </c>
      <c r="BT37" s="152" t="str">
        <f t="shared" si="68"/>
        <v>No Prog ni Ejec</v>
      </c>
      <c r="BU37" s="152" t="str">
        <f t="shared" si="69"/>
        <v>No Prog ni Ejec</v>
      </c>
      <c r="BV37" s="152" t="str">
        <f t="shared" si="70"/>
        <v>No Prog ni Ejec</v>
      </c>
      <c r="BW37" s="152" t="str">
        <f t="shared" si="71"/>
        <v>No Prog ni Ejec</v>
      </c>
      <c r="BX37" s="152">
        <f t="shared" si="72"/>
        <v>0</v>
      </c>
      <c r="BY37" s="699" t="str">
        <f t="shared" si="73"/>
        <v>No Prog ni Ejec</v>
      </c>
      <c r="BZ37" s="149">
        <f t="shared" si="1"/>
        <v>0</v>
      </c>
    </row>
    <row r="38" spans="1:78" s="78" customFormat="1" ht="140.25" customHeight="1" thickBot="1" x14ac:dyDescent="0.25">
      <c r="A38" s="729">
        <v>11900</v>
      </c>
      <c r="B38" s="705" t="s">
        <v>125</v>
      </c>
      <c r="C38" s="705" t="s">
        <v>330</v>
      </c>
      <c r="D38" s="730" t="s">
        <v>1020</v>
      </c>
      <c r="E38" s="730"/>
      <c r="F38" s="731" t="s">
        <v>126</v>
      </c>
      <c r="G38" s="705" t="s">
        <v>60</v>
      </c>
      <c r="H38" s="910" t="s">
        <v>128</v>
      </c>
      <c r="I38" s="705" t="s">
        <v>342</v>
      </c>
      <c r="J38" s="731" t="s">
        <v>649</v>
      </c>
      <c r="K38" s="705" t="s">
        <v>501</v>
      </c>
      <c r="L38" s="732" t="s">
        <v>391</v>
      </c>
      <c r="M38" s="896">
        <v>1</v>
      </c>
      <c r="N38" s="731" t="s">
        <v>648</v>
      </c>
      <c r="O38" s="705" t="s">
        <v>1592</v>
      </c>
      <c r="P38" s="734">
        <v>0</v>
      </c>
      <c r="Q38" s="704">
        <v>1</v>
      </c>
      <c r="R38" s="705" t="s">
        <v>18</v>
      </c>
      <c r="S38" s="705" t="s">
        <v>24</v>
      </c>
      <c r="T38" s="705" t="s">
        <v>631</v>
      </c>
      <c r="U38" s="705" t="s">
        <v>634</v>
      </c>
      <c r="V38" s="705" t="s">
        <v>1045</v>
      </c>
      <c r="W38" s="705" t="s">
        <v>1269</v>
      </c>
      <c r="X38" s="705" t="s">
        <v>902</v>
      </c>
      <c r="Y38" s="705" t="s">
        <v>204</v>
      </c>
      <c r="Z38" s="896">
        <v>1</v>
      </c>
      <c r="AA38" s="911" t="str">
        <f t="shared" si="74"/>
        <v>Adelantar acercamientos con entidades del estado tales como la RNEC en aras de acceder a la información de los terceros deudores</v>
      </c>
      <c r="AB38" s="912">
        <f t="shared" si="75"/>
        <v>0</v>
      </c>
      <c r="AC38" s="733" t="s">
        <v>48</v>
      </c>
      <c r="AD38" s="896">
        <v>0</v>
      </c>
      <c r="AE38" s="705" t="str">
        <f t="shared" si="46"/>
        <v>Adelantar acercamientos con entidades del estado tales como la RNEC en aras de acceder a la información de los terceros deudores</v>
      </c>
      <c r="AF38" s="734">
        <v>0</v>
      </c>
      <c r="AG38" s="913">
        <v>0</v>
      </c>
      <c r="AH38" s="913">
        <v>0</v>
      </c>
      <c r="AI38" s="736" t="e">
        <f t="shared" si="47"/>
        <v>#DIV/0!</v>
      </c>
      <c r="AJ38" s="736" t="e">
        <f t="shared" si="48"/>
        <v>#DIV/0!</v>
      </c>
      <c r="AK38" s="736">
        <f t="shared" si="49"/>
        <v>0</v>
      </c>
      <c r="AL38" s="736" t="e">
        <f t="shared" si="50"/>
        <v>#DIV/0!</v>
      </c>
      <c r="AM38" s="914" t="s">
        <v>1334</v>
      </c>
      <c r="AN38" s="896">
        <v>0</v>
      </c>
      <c r="AO38" s="705" t="str">
        <f t="shared" si="51"/>
        <v>Adelantar acercamientos con entidades del estado tales como la RNEC en aras de acceder a la información de los terceros deudores</v>
      </c>
      <c r="AP38" s="734">
        <v>0</v>
      </c>
      <c r="AQ38" s="732">
        <v>0</v>
      </c>
      <c r="AR38" s="734">
        <v>0</v>
      </c>
      <c r="AS38" s="736" t="e">
        <f t="shared" si="52"/>
        <v>#DIV/0!</v>
      </c>
      <c r="AT38" s="736" t="e">
        <f t="shared" si="53"/>
        <v>#DIV/0!</v>
      </c>
      <c r="AU38" s="736">
        <f t="shared" si="54"/>
        <v>0</v>
      </c>
      <c r="AV38" s="736" t="e">
        <f t="shared" si="55"/>
        <v>#DIV/0!</v>
      </c>
      <c r="AW38" s="915" t="s">
        <v>1334</v>
      </c>
      <c r="AX38" s="896">
        <v>0</v>
      </c>
      <c r="AY38" s="705" t="str">
        <f t="shared" si="56"/>
        <v>Adelantar acercamientos con entidades del estado tales como la RNEC en aras de acceder a la información de los terceros deudores</v>
      </c>
      <c r="AZ38" s="734">
        <v>0</v>
      </c>
      <c r="BA38" s="910">
        <v>0</v>
      </c>
      <c r="BB38" s="765">
        <v>0</v>
      </c>
      <c r="BC38" s="736" t="e">
        <f t="shared" si="57"/>
        <v>#DIV/0!</v>
      </c>
      <c r="BD38" s="736" t="e">
        <f t="shared" si="58"/>
        <v>#DIV/0!</v>
      </c>
      <c r="BE38" s="736">
        <f t="shared" si="59"/>
        <v>0</v>
      </c>
      <c r="BF38" s="736" t="e">
        <f t="shared" si="60"/>
        <v>#DIV/0!</v>
      </c>
      <c r="BG38" s="736"/>
      <c r="BH38" s="896">
        <v>1</v>
      </c>
      <c r="BI38" s="705" t="str">
        <f t="shared" si="61"/>
        <v>Adelantar acercamientos con entidades del estado tales como la RNEC en aras de acceder a la información de los terceros deudores</v>
      </c>
      <c r="BJ38" s="734">
        <v>0</v>
      </c>
      <c r="BK38" s="737"/>
      <c r="BL38" s="737"/>
      <c r="BM38" s="738">
        <f t="shared" si="62"/>
        <v>0</v>
      </c>
      <c r="BN38" s="738" t="e">
        <f t="shared" si="63"/>
        <v>#DIV/0!</v>
      </c>
      <c r="BO38" s="738">
        <f t="shared" si="64"/>
        <v>0</v>
      </c>
      <c r="BP38" s="738" t="e">
        <f t="shared" si="65"/>
        <v>#DIV/0!</v>
      </c>
      <c r="BQ38" s="738"/>
      <c r="BR38" s="706" t="str">
        <f t="shared" si="66"/>
        <v>No Prog ni Ejec</v>
      </c>
      <c r="BS38" s="706" t="str">
        <f t="shared" si="67"/>
        <v>No Prog ni Ejec</v>
      </c>
      <c r="BT38" s="706" t="str">
        <f t="shared" si="68"/>
        <v>No Prog ni Ejec</v>
      </c>
      <c r="BU38" s="706" t="str">
        <f t="shared" si="69"/>
        <v>No Prog ni Ejec</v>
      </c>
      <c r="BV38" s="706" t="str">
        <f t="shared" si="70"/>
        <v>No Prog ni Ejec</v>
      </c>
      <c r="BW38" s="706" t="str">
        <f t="shared" si="71"/>
        <v>No Prog ni Ejec</v>
      </c>
      <c r="BX38" s="706">
        <f t="shared" si="72"/>
        <v>0</v>
      </c>
      <c r="BY38" s="707" t="str">
        <f t="shared" si="73"/>
        <v>No Prog ni Ejec</v>
      </c>
      <c r="BZ38" s="149">
        <f t="shared" si="1"/>
        <v>0</v>
      </c>
    </row>
    <row r="39" spans="1:78" s="78" customFormat="1" ht="12.75" x14ac:dyDescent="0.2">
      <c r="A39" s="70"/>
      <c r="B39" s="70"/>
      <c r="C39" s="916"/>
      <c r="D39" s="916"/>
      <c r="E39" s="916"/>
      <c r="F39" s="70"/>
      <c r="G39" s="70"/>
      <c r="H39" s="70"/>
      <c r="I39" s="70"/>
      <c r="J39" s="70"/>
      <c r="K39" s="70"/>
      <c r="L39" s="916"/>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row>
    <row r="40" spans="1:78" s="78" customFormat="1" ht="38.25" customHeight="1" x14ac:dyDescent="0.2">
      <c r="A40" s="1047" t="s">
        <v>1786</v>
      </c>
      <c r="B40" s="1047"/>
      <c r="C40" s="1047"/>
      <c r="D40" s="1047"/>
      <c r="E40" s="1047"/>
      <c r="F40" s="1047"/>
      <c r="G40" s="1047"/>
      <c r="H40" s="1047"/>
      <c r="I40" s="1047"/>
      <c r="J40" s="1047"/>
      <c r="K40" s="1047"/>
      <c r="L40" s="1047"/>
      <c r="M40" s="1047"/>
      <c r="N40" s="1047"/>
      <c r="O40" s="917"/>
      <c r="P40" s="918"/>
      <c r="Q40" s="917"/>
      <c r="R40" s="917"/>
      <c r="S40" s="917"/>
      <c r="T40" s="917"/>
      <c r="U40" s="917"/>
      <c r="V40" s="917"/>
      <c r="W40" s="917"/>
      <c r="X40" s="917"/>
      <c r="Y40" s="917"/>
      <c r="Z40" s="917"/>
      <c r="AA40" s="917"/>
      <c r="AB40" s="917"/>
      <c r="AC40" s="917"/>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row>
    <row r="41" spans="1:78" s="78" customFormat="1" ht="12.75" x14ac:dyDescent="0.2">
      <c r="A41" s="22"/>
      <c r="B41" s="22"/>
      <c r="C41" s="136"/>
      <c r="D41" s="136"/>
      <c r="E41" s="136"/>
      <c r="F41" s="22"/>
      <c r="G41" s="22"/>
      <c r="H41" s="22"/>
      <c r="I41" s="22"/>
      <c r="J41" s="22"/>
      <c r="K41" s="22"/>
      <c r="L41" s="136"/>
      <c r="M41" s="22"/>
      <c r="N41" s="22"/>
      <c r="O41" s="22"/>
      <c r="P41" s="22"/>
      <c r="Q41" s="22"/>
      <c r="R41" s="22"/>
      <c r="S41" s="22"/>
      <c r="T41" s="22"/>
      <c r="U41" s="22"/>
      <c r="V41" s="22"/>
      <c r="W41" s="22"/>
      <c r="X41" s="22"/>
      <c r="Y41" s="22"/>
      <c r="Z41" s="22"/>
      <c r="AA41" s="22"/>
      <c r="AB41" s="150"/>
      <c r="AC41" s="22"/>
    </row>
    <row r="42" spans="1:78" s="78" customFormat="1" ht="12.75" x14ac:dyDescent="0.2">
      <c r="A42" s="22"/>
      <c r="B42" s="22"/>
      <c r="C42" s="136"/>
      <c r="D42" s="136"/>
      <c r="E42" s="136"/>
      <c r="F42" s="22"/>
      <c r="G42" s="22"/>
      <c r="H42" s="22"/>
      <c r="I42" s="22"/>
      <c r="J42" s="22"/>
      <c r="K42" s="22"/>
      <c r="L42" s="136"/>
      <c r="M42" s="22"/>
      <c r="N42" s="22"/>
      <c r="O42" s="22"/>
      <c r="P42" s="22"/>
      <c r="Q42" s="22"/>
      <c r="R42" s="22"/>
      <c r="S42" s="22"/>
      <c r="T42" s="22"/>
      <c r="U42" s="22"/>
      <c r="V42" s="22"/>
      <c r="W42" s="22"/>
      <c r="X42" s="22"/>
      <c r="Y42" s="22"/>
      <c r="Z42" s="22"/>
      <c r="AA42" s="22"/>
      <c r="AB42" s="22"/>
      <c r="AC42" s="22"/>
    </row>
    <row r="43" spans="1:78" s="78" customFormat="1" ht="12.75" x14ac:dyDescent="0.2">
      <c r="A43" s="22"/>
      <c r="B43" s="22"/>
      <c r="C43" s="136"/>
      <c r="D43" s="136"/>
      <c r="E43" s="136"/>
      <c r="F43" s="22"/>
      <c r="G43" s="22"/>
      <c r="H43" s="22"/>
      <c r="I43" s="22"/>
      <c r="J43" s="22"/>
      <c r="K43" s="22"/>
      <c r="L43" s="136"/>
      <c r="M43" s="22"/>
      <c r="N43" s="22"/>
      <c r="O43" s="22"/>
      <c r="P43" s="22"/>
      <c r="Q43" s="22"/>
      <c r="R43" s="22"/>
      <c r="S43" s="22"/>
      <c r="T43" s="22"/>
      <c r="U43" s="22"/>
      <c r="V43" s="22"/>
      <c r="W43" s="22"/>
      <c r="X43" s="22"/>
      <c r="Y43" s="22"/>
      <c r="Z43" s="22"/>
      <c r="AA43" s="22"/>
      <c r="AB43" s="22"/>
      <c r="AC43" s="22"/>
    </row>
    <row r="44" spans="1:78" s="78" customFormat="1" ht="12.75" x14ac:dyDescent="0.2">
      <c r="A44" s="22"/>
      <c r="B44" s="22"/>
      <c r="C44" s="136"/>
      <c r="D44" s="136"/>
      <c r="E44" s="136"/>
      <c r="F44" s="22"/>
      <c r="G44" s="22"/>
      <c r="H44" s="22"/>
      <c r="I44" s="22"/>
      <c r="J44" s="22"/>
      <c r="K44" s="22"/>
      <c r="L44" s="136"/>
      <c r="M44" s="22"/>
      <c r="N44" s="22"/>
      <c r="O44" s="22"/>
      <c r="P44" s="22"/>
      <c r="Q44" s="22"/>
      <c r="R44" s="22"/>
      <c r="S44" s="22"/>
      <c r="T44" s="22"/>
      <c r="U44" s="22"/>
      <c r="V44" s="22"/>
      <c r="W44" s="22"/>
      <c r="X44" s="22"/>
      <c r="Y44" s="22"/>
      <c r="Z44" s="22"/>
      <c r="AA44" s="22"/>
      <c r="AB44" s="22"/>
      <c r="AC44" s="22"/>
    </row>
    <row r="45" spans="1:78" s="78" customFormat="1" ht="12.75" x14ac:dyDescent="0.2">
      <c r="A45" s="22"/>
      <c r="B45" s="22"/>
      <c r="C45" s="136"/>
      <c r="D45" s="136"/>
      <c r="E45" s="136"/>
      <c r="F45" s="22"/>
      <c r="G45" s="22"/>
      <c r="H45" s="22"/>
      <c r="I45" s="22"/>
      <c r="J45" s="22"/>
      <c r="K45" s="22"/>
      <c r="L45" s="136"/>
      <c r="M45" s="22"/>
      <c r="N45" s="22"/>
      <c r="O45" s="22"/>
      <c r="P45" s="22"/>
      <c r="Q45" s="22"/>
      <c r="R45" s="22"/>
      <c r="S45" s="22"/>
      <c r="T45" s="22"/>
      <c r="U45" s="22"/>
      <c r="V45" s="22"/>
      <c r="W45" s="22"/>
      <c r="X45" s="22"/>
      <c r="Y45" s="22"/>
      <c r="Z45" s="22"/>
      <c r="AA45" s="22"/>
      <c r="AB45" s="22"/>
      <c r="AC45" s="22"/>
    </row>
  </sheetData>
  <sheetProtection algorithmName="SHA-512" hashValue="lWNTAMJ4WeWT3tv955LSG5NRcwLqdr5f1ghc9nvN2wsAy5o+jHJoL9nVrN5x6rZMH9DGQlza7QTo/LvjR1zreg==" saltValue="LcG65Cj7PbGOA9mPUOJ7SA==" spinCount="100000" sheet="1" objects="1" scenarios="1"/>
  <autoFilter ref="A8:HU38" xr:uid="{00000000-0009-0000-0000-000002000000}"/>
  <mergeCells count="154">
    <mergeCell ref="A7:A8"/>
    <mergeCell ref="B7:B8"/>
    <mergeCell ref="C7:C8"/>
    <mergeCell ref="P7:P8"/>
    <mergeCell ref="Q7:Q8"/>
    <mergeCell ref="R7:R8"/>
    <mergeCell ref="AT9:AT13"/>
    <mergeCell ref="AV9:AV13"/>
    <mergeCell ref="N7:N8"/>
    <mergeCell ref="W7:W8"/>
    <mergeCell ref="T7:T8"/>
    <mergeCell ref="U7:U8"/>
    <mergeCell ref="V7:V8"/>
    <mergeCell ref="X7:X8"/>
    <mergeCell ref="M7:M8"/>
    <mergeCell ref="Z22:Z23"/>
    <mergeCell ref="O7:O8"/>
    <mergeCell ref="F7:F8"/>
    <mergeCell ref="G7:G8"/>
    <mergeCell ref="D7:E7"/>
    <mergeCell ref="AO21:AO24"/>
    <mergeCell ref="AE21:AE24"/>
    <mergeCell ref="AD22:AD23"/>
    <mergeCell ref="AW22:AW23"/>
    <mergeCell ref="AF21:AF24"/>
    <mergeCell ref="Q21:Q24"/>
    <mergeCell ref="R21:R24"/>
    <mergeCell ref="S21:S24"/>
    <mergeCell ref="T21:T24"/>
    <mergeCell ref="U21:U24"/>
    <mergeCell ref="V21:V24"/>
    <mergeCell ref="Y21:Y24"/>
    <mergeCell ref="AA21:AA24"/>
    <mergeCell ref="AB21:AB24"/>
    <mergeCell ref="AM22:AM23"/>
    <mergeCell ref="A21:A24"/>
    <mergeCell ref="C21:C24"/>
    <mergeCell ref="F21:F24"/>
    <mergeCell ref="G21:G24"/>
    <mergeCell ref="H21:H24"/>
    <mergeCell ref="N21:N24"/>
    <mergeCell ref="O9:O12"/>
    <mergeCell ref="I21:I24"/>
    <mergeCell ref="M22:M23"/>
    <mergeCell ref="L22:L23"/>
    <mergeCell ref="N9:N12"/>
    <mergeCell ref="A1:B3"/>
    <mergeCell ref="C1:J1"/>
    <mergeCell ref="K1:BU1"/>
    <mergeCell ref="AX7:BG7"/>
    <mergeCell ref="BH7:BQ7"/>
    <mergeCell ref="G5:R5"/>
    <mergeCell ref="AD7:AM7"/>
    <mergeCell ref="AN7:AW7"/>
    <mergeCell ref="BR7:BY7"/>
    <mergeCell ref="BV1:BY3"/>
    <mergeCell ref="C2:J2"/>
    <mergeCell ref="K2:K3"/>
    <mergeCell ref="L2:BS3"/>
    <mergeCell ref="BT2:BT3"/>
    <mergeCell ref="BU2:BU3"/>
    <mergeCell ref="C3:J3"/>
    <mergeCell ref="Y7:Y8"/>
    <mergeCell ref="Z7:Z8"/>
    <mergeCell ref="H7:H8"/>
    <mergeCell ref="I7:I8"/>
    <mergeCell ref="J7:J8"/>
    <mergeCell ref="K7:K8"/>
    <mergeCell ref="L7:L8"/>
    <mergeCell ref="AB7:AB8"/>
    <mergeCell ref="BE22:BE23"/>
    <mergeCell ref="BF21:BF24"/>
    <mergeCell ref="BI21:BI24"/>
    <mergeCell ref="BJ21:BJ24"/>
    <mergeCell ref="BK22:BK23"/>
    <mergeCell ref="AX22:AX23"/>
    <mergeCell ref="BH22:BH23"/>
    <mergeCell ref="AH21:AH24"/>
    <mergeCell ref="AK22:AK23"/>
    <mergeCell ref="AP21:AP24"/>
    <mergeCell ref="AR21:AR24"/>
    <mergeCell ref="AS22:AS23"/>
    <mergeCell ref="AT21:AT24"/>
    <mergeCell ref="AU22:AU23"/>
    <mergeCell ref="AV21:AV24"/>
    <mergeCell ref="AY21:AY24"/>
    <mergeCell ref="AZ21:AZ24"/>
    <mergeCell ref="BA22:BA23"/>
    <mergeCell ref="BB21:BB24"/>
    <mergeCell ref="BC22:BC23"/>
    <mergeCell ref="BD21:BD24"/>
    <mergeCell ref="AQ22:AQ23"/>
    <mergeCell ref="AN22:AN23"/>
    <mergeCell ref="BG22:BG23"/>
    <mergeCell ref="BY21:BY24"/>
    <mergeCell ref="BR22:BR23"/>
    <mergeCell ref="BS21:BS24"/>
    <mergeCell ref="BT22:BT23"/>
    <mergeCell ref="BU21:BU24"/>
    <mergeCell ref="BV22:BV23"/>
    <mergeCell ref="BL21:BL24"/>
    <mergeCell ref="BM22:BM23"/>
    <mergeCell ref="BN21:BN24"/>
    <mergeCell ref="BO22:BO23"/>
    <mergeCell ref="BP21:BP24"/>
    <mergeCell ref="BW21:BW24"/>
    <mergeCell ref="BX22:BX23"/>
    <mergeCell ref="BU9:BU13"/>
    <mergeCell ref="BW9:BW13"/>
    <mergeCell ref="BY9:BY13"/>
    <mergeCell ref="S7:S8"/>
    <mergeCell ref="AA7:AA8"/>
    <mergeCell ref="BJ9:BJ13"/>
    <mergeCell ref="BL12:BL13"/>
    <mergeCell ref="BN9:BN13"/>
    <mergeCell ref="BP9:BP13"/>
    <mergeCell ref="BS9:BS13"/>
    <mergeCell ref="AE9:AE12"/>
    <mergeCell ref="Y9:Y12"/>
    <mergeCell ref="AA9:AA12"/>
    <mergeCell ref="AY9:AY12"/>
    <mergeCell ref="BI9:BI12"/>
    <mergeCell ref="AO9:AO12"/>
    <mergeCell ref="AP9:AP13"/>
    <mergeCell ref="AR9:AR13"/>
    <mergeCell ref="AZ9:AZ13"/>
    <mergeCell ref="BD9:BD13"/>
    <mergeCell ref="BF9:BF13"/>
    <mergeCell ref="AC7:AC8"/>
    <mergeCell ref="BB11:BB13"/>
    <mergeCell ref="A40:N40"/>
    <mergeCell ref="U9:U13"/>
    <mergeCell ref="V9:V13"/>
    <mergeCell ref="W9:W13"/>
    <mergeCell ref="AB9:AB13"/>
    <mergeCell ref="AF9:AF13"/>
    <mergeCell ref="AH9:AH13"/>
    <mergeCell ref="AJ9:AJ13"/>
    <mergeCell ref="AL9:AL13"/>
    <mergeCell ref="K9:K13"/>
    <mergeCell ref="P9:P13"/>
    <mergeCell ref="J9:J13"/>
    <mergeCell ref="Q9:Q13"/>
    <mergeCell ref="R9:R13"/>
    <mergeCell ref="S9:S13"/>
    <mergeCell ref="T9:T13"/>
    <mergeCell ref="X22:X23"/>
    <mergeCell ref="W21:W24"/>
    <mergeCell ref="AL21:AL24"/>
    <mergeCell ref="AJ21:AJ24"/>
    <mergeCell ref="AG22:AG23"/>
    <mergeCell ref="AI22:AI23"/>
    <mergeCell ref="O21:O24"/>
    <mergeCell ref="P21:P24"/>
  </mergeCells>
  <conditionalFormatting sqref="BR26:BY38">
    <cfRule type="cellIs" dxfId="13306" priority="73" operator="equal">
      <formula>#REF!</formula>
    </cfRule>
    <cfRule type="cellIs" dxfId="13305" priority="74" operator="greaterThan">
      <formula>1</formula>
    </cfRule>
    <cfRule type="cellIs" dxfId="13304" priority="75" operator="equal">
      <formula>100%</formula>
    </cfRule>
    <cfRule type="cellIs" dxfId="13303" priority="76" operator="between">
      <formula>80%</formula>
      <formula>99%</formula>
    </cfRule>
    <cfRule type="cellIs" dxfId="13302" priority="77" operator="between">
      <formula>0%</formula>
      <formula>79%</formula>
    </cfRule>
  </conditionalFormatting>
  <conditionalFormatting sqref="BR25:BY25">
    <cfRule type="cellIs" dxfId="13301" priority="67" operator="equal">
      <formula>#REF!</formula>
    </cfRule>
    <cfRule type="cellIs" dxfId="13300" priority="68" operator="greaterThan">
      <formula>1</formula>
    </cfRule>
    <cfRule type="cellIs" dxfId="13299" priority="69" operator="equal">
      <formula>100%</formula>
    </cfRule>
    <cfRule type="cellIs" dxfId="13298" priority="70" operator="between">
      <formula>80%</formula>
      <formula>99%</formula>
    </cfRule>
    <cfRule type="cellIs" dxfId="13297" priority="71" operator="between">
      <formula>0%</formula>
      <formula>79%</formula>
    </cfRule>
  </conditionalFormatting>
  <conditionalFormatting sqref="BR18:BY20">
    <cfRule type="cellIs" dxfId="13296" priority="61" operator="equal">
      <formula>#REF!</formula>
    </cfRule>
    <cfRule type="cellIs" dxfId="13295" priority="62" operator="greaterThan">
      <formula>1</formula>
    </cfRule>
    <cfRule type="cellIs" dxfId="13294" priority="63" operator="equal">
      <formula>100%</formula>
    </cfRule>
    <cfRule type="cellIs" dxfId="13293" priority="64" operator="between">
      <formula>80%</formula>
      <formula>99%</formula>
    </cfRule>
    <cfRule type="cellIs" dxfId="13292" priority="65" operator="between">
      <formula>0%</formula>
      <formula>79%</formula>
    </cfRule>
  </conditionalFormatting>
  <conditionalFormatting sqref="BR14:BY14 BR16:BY17">
    <cfRule type="cellIs" dxfId="13291" priority="43" operator="equal">
      <formula>#REF!</formula>
    </cfRule>
    <cfRule type="cellIs" dxfId="13290" priority="44" operator="greaterThan">
      <formula>1</formula>
    </cfRule>
    <cfRule type="cellIs" dxfId="13289" priority="45" operator="equal">
      <formula>100%</formula>
    </cfRule>
    <cfRule type="cellIs" dxfId="13288" priority="46" operator="between">
      <formula>80%</formula>
      <formula>99%</formula>
    </cfRule>
    <cfRule type="cellIs" dxfId="13287" priority="47" operator="between">
      <formula>0%</formula>
      <formula>79%</formula>
    </cfRule>
  </conditionalFormatting>
  <conditionalFormatting sqref="BR15:BY15">
    <cfRule type="cellIs" dxfId="13286" priority="31" operator="equal">
      <formula>#REF!</formula>
    </cfRule>
    <cfRule type="cellIs" dxfId="13285" priority="32" operator="greaterThan">
      <formula>1</formula>
    </cfRule>
    <cfRule type="cellIs" dxfId="13284" priority="33" operator="equal">
      <formula>100%</formula>
    </cfRule>
    <cfRule type="cellIs" dxfId="13283" priority="34" operator="between">
      <formula>80%</formula>
      <formula>99%</formula>
    </cfRule>
    <cfRule type="cellIs" dxfId="13282" priority="35" operator="between">
      <formula>0%</formula>
      <formula>79%</formula>
    </cfRule>
  </conditionalFormatting>
  <conditionalFormatting sqref="BR12 BT12 BV12 BX12">
    <cfRule type="cellIs" dxfId="13281" priority="25" operator="equal">
      <formula>#REF!</formula>
    </cfRule>
    <cfRule type="cellIs" dxfId="13280" priority="26" operator="greaterThan">
      <formula>1</formula>
    </cfRule>
    <cfRule type="cellIs" dxfId="13279" priority="27" operator="equal">
      <formula>100%</formula>
    </cfRule>
    <cfRule type="cellIs" dxfId="13278" priority="28" operator="between">
      <formula>80%</formula>
      <formula>99%</formula>
    </cfRule>
    <cfRule type="cellIs" dxfId="13277" priority="29" operator="between">
      <formula>0%</formula>
      <formula>79%</formula>
    </cfRule>
  </conditionalFormatting>
  <conditionalFormatting sqref="BR9:BY11">
    <cfRule type="cellIs" dxfId="13276" priority="19" operator="equal">
      <formula>#REF!</formula>
    </cfRule>
    <cfRule type="cellIs" dxfId="13275" priority="20" operator="greaterThan">
      <formula>1</formula>
    </cfRule>
    <cfRule type="cellIs" dxfId="13274" priority="21" operator="equal">
      <formula>100%</formula>
    </cfRule>
    <cfRule type="cellIs" dxfId="13273" priority="22" operator="between">
      <formula>80%</formula>
      <formula>99%</formula>
    </cfRule>
    <cfRule type="cellIs" dxfId="13272" priority="23" operator="between">
      <formula>0%</formula>
      <formula>79%</formula>
    </cfRule>
  </conditionalFormatting>
  <conditionalFormatting sqref="BR21:BY21">
    <cfRule type="cellIs" dxfId="13271" priority="13" operator="equal">
      <formula>#REF!</formula>
    </cfRule>
    <cfRule type="cellIs" dxfId="13270" priority="14" operator="greaterThan">
      <formula>1</formula>
    </cfRule>
    <cfRule type="cellIs" dxfId="13269" priority="15" operator="equal">
      <formula>100%</formula>
    </cfRule>
    <cfRule type="cellIs" dxfId="13268" priority="16" operator="between">
      <formula>80%</formula>
      <formula>99%</formula>
    </cfRule>
    <cfRule type="cellIs" dxfId="13267" priority="17" operator="between">
      <formula>0%</formula>
      <formula>79%</formula>
    </cfRule>
  </conditionalFormatting>
  <conditionalFormatting sqref="BR22 BR24 BT22 BT24 BV22 BV24 BX22 BX24">
    <cfRule type="cellIs" dxfId="13266" priority="7" operator="equal">
      <formula>#REF!</formula>
    </cfRule>
    <cfRule type="cellIs" dxfId="13265" priority="8" operator="greaterThan">
      <formula>1</formula>
    </cfRule>
    <cfRule type="cellIs" dxfId="13264" priority="9" operator="equal">
      <formula>100%</formula>
    </cfRule>
    <cfRule type="cellIs" dxfId="13263" priority="10" operator="between">
      <formula>80%</formula>
      <formula>99%</formula>
    </cfRule>
    <cfRule type="cellIs" dxfId="13262" priority="11" operator="between">
      <formula>0%</formula>
      <formula>79%</formula>
    </cfRule>
  </conditionalFormatting>
  <conditionalFormatting sqref="BR13 BT13 BV13 BX13">
    <cfRule type="cellIs" dxfId="13261" priority="1" operator="equal">
      <formula>#REF!</formula>
    </cfRule>
    <cfRule type="cellIs" dxfId="13260" priority="2" operator="greaterThan">
      <formula>1</formula>
    </cfRule>
    <cfRule type="cellIs" dxfId="13259" priority="3" operator="equal">
      <formula>100%</formula>
    </cfRule>
    <cfRule type="cellIs" dxfId="13258" priority="4" operator="between">
      <formula>80%</formula>
      <formula>99%</formula>
    </cfRule>
    <cfRule type="cellIs" dxfId="13257" priority="5" operator="between">
      <formula>0%</formula>
      <formula>79%</formula>
    </cfRule>
  </conditionalFormatting>
  <pageMargins left="0.70866141732283472" right="0.70866141732283472" top="0.74803149606299213" bottom="0.74803149606299213" header="0.31496062992125984" footer="0.31496062992125984"/>
  <pageSetup paperSize="41" scale="6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8" operator="containsText" id="{40C1699A-788C-4C04-ABFA-880EB4297438}">
            <xm:f>NOT(ISERROR(SEARCH(#REF!,BR26)))</xm:f>
            <xm:f>#REF!</xm:f>
            <x14:dxf>
              <font>
                <color theme="4"/>
              </font>
              <fill>
                <patternFill>
                  <bgColor theme="5" tint="0.59996337778862885"/>
                </patternFill>
              </fill>
            </x14:dxf>
          </x14:cfRule>
          <xm:sqref>BR26:BY38</xm:sqref>
        </x14:conditionalFormatting>
        <x14:conditionalFormatting xmlns:xm="http://schemas.microsoft.com/office/excel/2006/main">
          <x14:cfRule type="containsText" priority="72" operator="containsText" id="{5797B5AC-3405-43E8-815D-19E7DC918295}">
            <xm:f>NOT(ISERROR(SEARCH(#REF!,BR25)))</xm:f>
            <xm:f>#REF!</xm:f>
            <x14:dxf>
              <font>
                <color theme="4"/>
              </font>
              <fill>
                <patternFill>
                  <bgColor theme="5" tint="0.59996337778862885"/>
                </patternFill>
              </fill>
            </x14:dxf>
          </x14:cfRule>
          <xm:sqref>BR25:BY25</xm:sqref>
        </x14:conditionalFormatting>
        <x14:conditionalFormatting xmlns:xm="http://schemas.microsoft.com/office/excel/2006/main">
          <x14:cfRule type="containsText" priority="48" operator="containsText" id="{BE7CCC8B-D1B9-423D-A41C-FC34562F39A6}">
            <xm:f>NOT(ISERROR(SEARCH(#REF!,BR14)))</xm:f>
            <xm:f>#REF!</xm:f>
            <x14:dxf>
              <font>
                <color theme="4"/>
              </font>
              <fill>
                <patternFill>
                  <bgColor theme="5" tint="0.59996337778862885"/>
                </patternFill>
              </fill>
            </x14:dxf>
          </x14:cfRule>
          <xm:sqref>BR14:BY14 BR16:BY20</xm:sqref>
        </x14:conditionalFormatting>
        <x14:conditionalFormatting xmlns:xm="http://schemas.microsoft.com/office/excel/2006/main">
          <x14:cfRule type="containsText" priority="36" operator="containsText" id="{2CFE06A9-70B2-4BE9-98BC-EC60EEB83DE2}">
            <xm:f>NOT(ISERROR(SEARCH(#REF!,BR15)))</xm:f>
            <xm:f>#REF!</xm:f>
            <x14:dxf>
              <font>
                <color theme="4"/>
              </font>
              <fill>
                <patternFill>
                  <bgColor theme="5" tint="0.59996337778862885"/>
                </patternFill>
              </fill>
            </x14:dxf>
          </x14:cfRule>
          <xm:sqref>BR15:BY15</xm:sqref>
        </x14:conditionalFormatting>
        <x14:conditionalFormatting xmlns:xm="http://schemas.microsoft.com/office/excel/2006/main">
          <x14:cfRule type="containsText" priority="30" operator="containsText" id="{2437D06A-5C77-4D45-A774-EB38D1FC7375}">
            <xm:f>NOT(ISERROR(SEARCH(#REF!,BR12)))</xm:f>
            <xm:f>#REF!</xm:f>
            <x14:dxf>
              <font>
                <color theme="4"/>
              </font>
              <fill>
                <patternFill>
                  <bgColor theme="5" tint="0.59996337778862885"/>
                </patternFill>
              </fill>
            </x14:dxf>
          </x14:cfRule>
          <xm:sqref>BR12 BT12 BV12 BX12</xm:sqref>
        </x14:conditionalFormatting>
        <x14:conditionalFormatting xmlns:xm="http://schemas.microsoft.com/office/excel/2006/main">
          <x14:cfRule type="containsText" priority="24" operator="containsText" id="{41260370-EEBD-4BA7-8969-51A558D07CE2}">
            <xm:f>NOT(ISERROR(SEARCH(#REF!,BR9)))</xm:f>
            <xm:f>#REF!</xm:f>
            <x14:dxf>
              <font>
                <color theme="4"/>
              </font>
              <fill>
                <patternFill>
                  <bgColor theme="5" tint="0.59996337778862885"/>
                </patternFill>
              </fill>
            </x14:dxf>
          </x14:cfRule>
          <xm:sqref>BR9:BY11</xm:sqref>
        </x14:conditionalFormatting>
        <x14:conditionalFormatting xmlns:xm="http://schemas.microsoft.com/office/excel/2006/main">
          <x14:cfRule type="containsText" priority="18" operator="containsText" id="{97DDFBC4-E065-46AD-827D-EEE65459992E}">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12" operator="containsText" id="{D89EEE73-8695-4895-91C8-B9C8C3AF952D}">
            <xm:f>NOT(ISERROR(SEARCH(#REF!,BR22)))</xm:f>
            <xm:f>#REF!</xm:f>
            <x14:dxf>
              <font>
                <color theme="4"/>
              </font>
              <fill>
                <patternFill>
                  <bgColor theme="5" tint="0.59996337778862885"/>
                </patternFill>
              </fill>
            </x14:dxf>
          </x14:cfRule>
          <xm:sqref>BR22 BR24 BT22 BT24 BV22 BV24 BX22 BX24</xm:sqref>
        </x14:conditionalFormatting>
        <x14:conditionalFormatting xmlns:xm="http://schemas.microsoft.com/office/excel/2006/main">
          <x14:cfRule type="containsText" priority="6" operator="containsText" id="{6C66B225-4944-4492-B7D5-2FF3F2066762}">
            <xm:f>NOT(ISERROR(SEARCH(#REF!,BR13)))</xm:f>
            <xm:f>#REF!</xm:f>
            <x14:dxf>
              <font>
                <color theme="4"/>
              </font>
              <fill>
                <patternFill>
                  <bgColor theme="5" tint="0.59996337778862885"/>
                </patternFill>
              </fill>
            </x14:dxf>
          </x14:cfRule>
          <xm:sqref>BR13 BT13 BV13 BX13</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0000000}">
          <x14:formula1>
            <xm:f>'TAB. REF. PA'!$D$4:$D$9</xm:f>
          </x14:formula1>
          <xm:sqref>G26:G34 G9:G20</xm:sqref>
        </x14:dataValidation>
        <x14:dataValidation type="list" allowBlank="1" showInputMessage="1" showErrorMessage="1" xr:uid="{00000000-0002-0000-0200-000002000000}">
          <x14:formula1>
            <xm:f>'TAB. REF. PA'!$D$4:$D$11</xm:f>
          </x14:formula1>
          <xm:sqref>G35:G38</xm:sqref>
        </x14:dataValidation>
        <x14:dataValidation type="list" allowBlank="1" showInputMessage="1" showErrorMessage="1" xr:uid="{00000000-0002-0000-0200-00000D000000}">
          <x14:formula1>
            <xm:f>'TAB. REF. PA'!$U$4:$U$24</xm:f>
          </x14:formula1>
          <xm:sqref>Y21 Y25</xm:sqref>
        </x14:dataValidation>
        <x14:dataValidation type="list" allowBlank="1" showInputMessage="1" showErrorMessage="1" xr:uid="{00000000-0002-0000-0200-00000C000000}">
          <x14:formula1>
            <xm:f>'TAB. REF. PA'!$X$4:$X$9</xm:f>
          </x14:formula1>
          <xm:sqref>I25:I38 I9:I21</xm:sqref>
        </x14:dataValidation>
        <x14:dataValidation type="list" allowBlank="1" showInputMessage="1" showErrorMessage="1" xr:uid="{00000000-0002-0000-0200-000006000000}">
          <x14:formula1>
            <xm:f>'TAB. REF. PA'!$J$4:$J$6</xm:f>
          </x14:formula1>
          <xm:sqref>T35:T38 T9:T11 T14:T21 T25</xm:sqref>
        </x14:dataValidation>
        <x14:dataValidation type="list" allowBlank="1" showInputMessage="1" showErrorMessage="1" xr:uid="{00000000-0002-0000-0200-000007000000}">
          <x14:formula1>
            <xm:f>'TAB. REF. PA'!$H$4:$H$21</xm:f>
          </x14:formula1>
          <xm:sqref>S35:S38 S9:S11 S14:S21</xm:sqref>
        </x14:dataValidation>
        <x14:dataValidation type="list" allowBlank="1" showInputMessage="1" showErrorMessage="1" xr:uid="{00000000-0002-0000-0200-000008000000}">
          <x14:formula1>
            <xm:f>'TAB. REF. PA'!$F$4:$F$10</xm:f>
          </x14:formula1>
          <xm:sqref>R35:R38 R9:R11 R14:R21</xm:sqref>
        </x14:dataValidation>
        <x14:dataValidation type="list" allowBlank="1" showInputMessage="1" showErrorMessage="1" xr:uid="{00000000-0002-0000-0200-000005000000}">
          <x14:formula1>
            <xm:f>'TAB. REF. PA'!$L$4:$L$11</xm:f>
          </x14:formula1>
          <xm:sqref>U35:U38 U9:U11 U14:U21 U25</xm:sqref>
        </x14:dataValidation>
        <x14:dataValidation type="list" allowBlank="1" showInputMessage="1" showErrorMessage="1" xr:uid="{00000000-0002-0000-0200-000009000000}">
          <x14:formula1>
            <xm:f>'TAB. REF. PA'!$R$4:$R$12</xm:f>
          </x14:formula1>
          <xm:sqref>C25:C38 C9:C21</xm:sqref>
        </x14:dataValidation>
        <x14:dataValidation type="list" allowBlank="1" showInputMessage="1" showErrorMessage="1" xr:uid="{00000000-0002-0000-0200-00000B000000}">
          <x14:formula1>
            <xm:f>'TAB. REF. PA'!$Y$4:$Y$14</xm:f>
          </x14:formula1>
          <xm:sqref>A25:A38 A9:A21</xm:sqref>
        </x14:dataValidation>
        <x14:dataValidation type="list" allowBlank="1" showInputMessage="1" showErrorMessage="1" xr:uid="{00000000-0002-0000-0200-000004000000}">
          <x14:formula1>
            <xm:f>'TAB. REF. PA'!$N$4:$N$28</xm:f>
          </x14:formula1>
          <xm:sqref>V33:V34 V25:V29 V18:V21</xm:sqref>
        </x14:dataValidation>
        <x14:dataValidation type="list" allowBlank="1" showInputMessage="1" showErrorMessage="1" xr:uid="{A9BC83D4-7222-4226-B688-CB3C0AFD2B8B}">
          <x14:formula1>
            <xm:f>'C:\Users\norela.briceno\Documents\Plan de acción\Plan Acción 2019\[DIES-F07-08_Plan_Accion_con_Cuadro_de_Mando_V03 Preliminar con ajustes PAA..xlsx]TAB. REF. PA'!#REF!</xm:f>
          </x14:formula1>
          <xm:sqref>T26:U34 R25:S34</xm:sqref>
        </x14:dataValidation>
        <x14:dataValidation type="list" allowBlank="1" showInputMessage="1" showErrorMessage="1" xr:uid="{86347974-5FA8-46F8-8927-29BC44C99594}">
          <x14:formula1>
            <xm:f>'TAB. REF. PA'!$N$4:$N$33</xm:f>
          </x14:formula1>
          <xm:sqref>V30:V32 V9:V11 V35:V38 V14:V17</xm:sqref>
        </x14:dataValidation>
        <x14:dataValidation type="list" allowBlank="1" showInputMessage="1" showErrorMessage="1" xr:uid="{5DF185E2-3002-4D16-8892-CC258B42D61F}">
          <x14:formula1>
            <xm:f>'TAB. REF. PA'!$U$4:$U$25</xm:f>
          </x14:formula1>
          <xm:sqref>Y9:Y11 Y14:Y20 Y26:Y36 Y38</xm:sqref>
        </x14:dataValidation>
        <x14:dataValidation type="list" allowBlank="1" showInputMessage="1" showErrorMessage="1" xr:uid="{00000000-0002-0000-0200-000001000000}">
          <x14:formula1>
            <xm:f>'TAB. REF. PA'!$D$4:$D$10</xm:f>
          </x14:formula1>
          <xm:sqref>G21 G25</xm:sqref>
        </x14:dataValidation>
        <x14:dataValidation type="list" allowBlank="1" showInputMessage="1" showErrorMessage="1" xr:uid="{00000000-0002-0000-0200-00000A000000}">
          <x14:formula1>
            <xm:f>'TAB. REF. PA'!$B$4:$B$14</xm:f>
          </x14:formula1>
          <xm:sqref>B9:B38</xm:sqref>
        </x14:dataValidation>
        <x14:dataValidation type="list" allowBlank="1" showInputMessage="1" showErrorMessage="1" xr:uid="{00000000-0002-0000-0200-00000E000000}">
          <x14:formula1>
            <xm:f>'TAB. REF. PA'!$W$3:$W$7</xm:f>
          </x14:formula1>
          <xm:sqref>AC9:AC38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253A-9069-4566-8D6A-C254B23076B0}">
  <dimension ref="A1:BA15"/>
  <sheetViews>
    <sheetView showGridLines="0" zoomScale="80" zoomScaleNormal="80" workbookViewId="0">
      <selection activeCell="V17" sqref="V17"/>
    </sheetView>
  </sheetViews>
  <sheetFormatPr baseColWidth="10" defaultRowHeight="15" x14ac:dyDescent="0.25"/>
  <cols>
    <col min="1" max="1" width="49" customWidth="1"/>
    <col min="2" max="2" width="2.28515625" customWidth="1"/>
    <col min="3" max="3" width="21.7109375" customWidth="1"/>
    <col min="4" max="8" width="3.28515625" customWidth="1"/>
    <col min="9" max="9" width="11.7109375" customWidth="1"/>
    <col min="10" max="14" width="3.28515625" customWidth="1"/>
    <col min="15" max="15" width="2.7109375" customWidth="1"/>
    <col min="16" max="16" width="11.7109375" customWidth="1"/>
    <col min="17" max="21" width="3.28515625" customWidth="1"/>
    <col min="22" max="22" width="11.7109375" customWidth="1"/>
    <col min="23" max="27" width="3.28515625" customWidth="1"/>
    <col min="28" max="28" width="3.140625" customWidth="1"/>
    <col min="29" max="29" width="17.28515625" customWidth="1"/>
    <col min="30" max="34" width="3.28515625" customWidth="1"/>
    <col min="35" max="35" width="15.85546875" customWidth="1"/>
    <col min="36" max="40" width="3.28515625" customWidth="1"/>
    <col min="41" max="41" width="2.85546875" customWidth="1"/>
    <col min="42" max="42" width="11.7109375" hidden="1" customWidth="1"/>
    <col min="43" max="47" width="3.28515625" hidden="1" customWidth="1"/>
    <col min="48" max="48" width="14.42578125" hidden="1" customWidth="1"/>
    <col min="49" max="53" width="3.28515625" hidden="1" customWidth="1"/>
  </cols>
  <sheetData>
    <row r="1" spans="1:53" ht="25.5"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92"/>
      <c r="AP1" s="1471"/>
      <c r="AQ1" s="1472"/>
      <c r="AR1" s="1472"/>
      <c r="AS1" s="1472"/>
      <c r="AT1" s="1472"/>
      <c r="AU1" s="1472"/>
      <c r="AV1" s="1472"/>
      <c r="AW1" s="1472"/>
      <c r="AX1" s="1472"/>
      <c r="AY1" s="1472"/>
      <c r="AZ1" s="1472"/>
      <c r="BA1" s="1473"/>
    </row>
    <row r="2" spans="1:53" ht="29.2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93"/>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223</v>
      </c>
      <c r="P3" s="1484"/>
      <c r="Q3" s="1484"/>
      <c r="R3" s="1484"/>
      <c r="S3" s="1484"/>
      <c r="T3" s="1484"/>
      <c r="U3" s="1484"/>
      <c r="V3" s="1484"/>
      <c r="W3" s="1484"/>
      <c r="X3" s="1484"/>
      <c r="Y3" s="1484"/>
      <c r="Z3" s="1484"/>
      <c r="AA3" s="1484"/>
      <c r="AB3" s="1484"/>
      <c r="AC3" s="1484"/>
      <c r="AD3" s="1484"/>
      <c r="AE3" s="1484"/>
      <c r="AF3" s="1484"/>
      <c r="AG3" s="1484"/>
      <c r="AH3" s="1485"/>
      <c r="AI3" s="327" t="s">
        <v>249</v>
      </c>
      <c r="AJ3" s="1388">
        <v>1</v>
      </c>
      <c r="AK3" s="1391"/>
      <c r="AL3" s="1391"/>
      <c r="AM3" s="1391"/>
      <c r="AN3" s="1391"/>
      <c r="AO3" s="1494"/>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232</v>
      </c>
      <c r="B5" s="426"/>
      <c r="C5" s="1462" t="s">
        <v>1191</v>
      </c>
      <c r="D5" s="1486"/>
      <c r="E5" s="1486"/>
      <c r="F5" s="1486"/>
      <c r="G5" s="1486"/>
      <c r="H5" s="1487"/>
      <c r="I5" s="1465" t="s">
        <v>1192</v>
      </c>
      <c r="J5" s="1461"/>
      <c r="K5" s="1461"/>
      <c r="L5" s="1461"/>
      <c r="M5" s="1461"/>
      <c r="N5" s="1461"/>
      <c r="O5" s="17"/>
      <c r="P5" s="1465" t="s">
        <v>1194</v>
      </c>
      <c r="Q5" s="1461"/>
      <c r="R5" s="1461"/>
      <c r="S5" s="1461"/>
      <c r="T5" s="1461"/>
      <c r="U5" s="1491"/>
      <c r="V5" s="1460" t="s">
        <v>1195</v>
      </c>
      <c r="W5" s="1461"/>
      <c r="X5" s="1461"/>
      <c r="Y5" s="1461"/>
      <c r="Z5" s="1461"/>
      <c r="AA5" s="1461"/>
      <c r="AB5" s="427"/>
      <c r="AC5" s="1465" t="s">
        <v>1196</v>
      </c>
      <c r="AD5" s="1461"/>
      <c r="AE5" s="1461"/>
      <c r="AF5" s="1461"/>
      <c r="AG5" s="1461"/>
      <c r="AH5" s="1491"/>
      <c r="AI5" s="1460" t="s">
        <v>1197</v>
      </c>
      <c r="AJ5" s="1461"/>
      <c r="AK5" s="1461"/>
      <c r="AL5" s="1461"/>
      <c r="AM5" s="1461"/>
      <c r="AN5" s="1461"/>
      <c r="AO5" s="427"/>
      <c r="AP5" s="1465" t="s">
        <v>1198</v>
      </c>
      <c r="AQ5" s="1461"/>
      <c r="AR5" s="1461"/>
      <c r="AS5" s="1461"/>
      <c r="AT5" s="1461"/>
      <c r="AU5" s="1491"/>
      <c r="AV5" s="1460" t="s">
        <v>1199</v>
      </c>
      <c r="AW5" s="1461"/>
      <c r="AX5" s="1461"/>
      <c r="AY5" s="1461"/>
      <c r="AZ5" s="1461"/>
      <c r="BA5" s="1461"/>
    </row>
    <row r="6" spans="1:53" ht="18" x14ac:dyDescent="0.25">
      <c r="A6" s="422" t="s">
        <v>1</v>
      </c>
      <c r="B6" s="428"/>
      <c r="C6" s="429">
        <f>AVERAGE('Cuadro Mando Integral Detallado'!L171:L181,'Cuadro Mando Integral Detallado'!L238:L241,'Cuadro Mando Integral Detallado'!L361)</f>
        <v>0.73806078147612153</v>
      </c>
      <c r="D6" s="514">
        <f t="shared" ref="D6:D14" si="0">+C6</f>
        <v>0.73806078147612153</v>
      </c>
      <c r="E6" s="506">
        <f t="shared" ref="E6:E14" si="1">+C6</f>
        <v>0.73806078147612153</v>
      </c>
      <c r="F6" s="506">
        <f t="shared" ref="F6:F14" si="2">+C6</f>
        <v>0.73806078147612153</v>
      </c>
      <c r="G6" s="506">
        <f t="shared" ref="G6:G14" si="3">+C6</f>
        <v>0.73806078147612153</v>
      </c>
      <c r="H6" s="515">
        <f t="shared" ref="H6:H14" si="4">+C6</f>
        <v>0.73806078147612153</v>
      </c>
      <c r="I6" s="429">
        <f>AVERAGE('Cuadro Mando Integral Detallado'!O171:O181,'Cuadro Mando Integral Detallado'!O238:O241,'Cuadro Mando Integral Detallado'!O361)</f>
        <v>0.18451519536903038</v>
      </c>
      <c r="J6" s="500">
        <f t="shared" ref="J6:J14" si="5">+I6</f>
        <v>0.18451519536903038</v>
      </c>
      <c r="K6" s="501">
        <f t="shared" ref="K6:K14" si="6">+I6</f>
        <v>0.18451519536903038</v>
      </c>
      <c r="L6" s="501">
        <f t="shared" ref="L6:L14" si="7">+I6</f>
        <v>0.18451519536903038</v>
      </c>
      <c r="M6" s="501">
        <f t="shared" ref="M6:M14" si="8">+I6</f>
        <v>0.18451519536903038</v>
      </c>
      <c r="N6" s="502">
        <f t="shared" ref="N6:N14" si="9">+I6</f>
        <v>0.18451519536903038</v>
      </c>
      <c r="O6" s="17"/>
      <c r="P6" s="429">
        <f>AVERAGE('Cuadro Mando Integral Detallado'!S171:S181,'Cuadro Mando Integral Detallado'!S238:S243)</f>
        <v>1</v>
      </c>
      <c r="Q6" s="375">
        <f t="shared" ref="Q6:Q14" si="10">+P6</f>
        <v>1</v>
      </c>
      <c r="R6" s="365">
        <f t="shared" ref="R6:R14" si="11">+P6</f>
        <v>1</v>
      </c>
      <c r="S6" s="365">
        <f t="shared" ref="S6:S14" si="12">+P6</f>
        <v>1</v>
      </c>
      <c r="T6" s="365">
        <f t="shared" ref="T6:T14" si="13">+P6</f>
        <v>1</v>
      </c>
      <c r="U6" s="366">
        <f t="shared" ref="U6:U14" si="14">+P6</f>
        <v>1</v>
      </c>
      <c r="V6" s="429">
        <f>AVERAGE('Cuadro Mando Integral Detallado'!V171:V181,'Cuadro Mando Integral Detallado'!V238:V243)</f>
        <v>0.43005306319343944</v>
      </c>
      <c r="W6" s="368">
        <f t="shared" ref="W6:W14" si="15">+V6</f>
        <v>0.43005306319343944</v>
      </c>
      <c r="X6" s="369">
        <f t="shared" ref="X6:X14" si="16">+V6</f>
        <v>0.43005306319343944</v>
      </c>
      <c r="Y6" s="369">
        <f t="shared" ref="Y6:Y14" si="17">+V6</f>
        <v>0.43005306319343944</v>
      </c>
      <c r="Z6" s="369">
        <f t="shared" ref="Z6:Z14" si="18">+V6</f>
        <v>0.43005306319343944</v>
      </c>
      <c r="AA6" s="370">
        <f t="shared" ref="AA6:AA13" si="19">+V6</f>
        <v>0.43005306319343944</v>
      </c>
      <c r="AB6" s="416"/>
      <c r="AC6" s="985">
        <f>AVERAGE('Cuadro Mando Integral Detallado'!Z171:Z181,'Cuadro Mando Integral Detallado'!Z238:Z243)</f>
        <v>0.81818181818181823</v>
      </c>
      <c r="AD6" s="375">
        <f t="shared" ref="AD6:AD14" si="20">+AC6</f>
        <v>0.81818181818181823</v>
      </c>
      <c r="AE6" s="365">
        <f t="shared" ref="AE6:AE14" si="21">+AC6</f>
        <v>0.81818181818181823</v>
      </c>
      <c r="AF6" s="365">
        <f t="shared" ref="AF6:AF14" si="22">+AC6</f>
        <v>0.81818181818181823</v>
      </c>
      <c r="AG6" s="365">
        <f t="shared" ref="AG6:AG14" si="23">+AC6</f>
        <v>0.81818181818181823</v>
      </c>
      <c r="AH6" s="366">
        <f t="shared" ref="AH6:AH14" si="24">+AC6</f>
        <v>0.81818181818181823</v>
      </c>
      <c r="AI6" s="1045">
        <f>AVERAGE('Cuadro Mando Integral Detallado'!AC171:AC181,'Cuadro Mando Integral Detallado'!AC238:AC243)</f>
        <v>0.71279546550892425</v>
      </c>
      <c r="AJ6" s="389">
        <f t="shared" ref="AJ6" si="25">+AI6</f>
        <v>0.71279546550892425</v>
      </c>
      <c r="AK6" s="384">
        <f t="shared" ref="AK6" si="26">+AI6</f>
        <v>0.71279546550892425</v>
      </c>
      <c r="AL6" s="384">
        <f t="shared" ref="AL6" si="27">+AI6</f>
        <v>0.71279546550892425</v>
      </c>
      <c r="AM6" s="384">
        <f t="shared" ref="AM6" si="28">+AI6</f>
        <v>0.71279546550892425</v>
      </c>
      <c r="AN6" s="385">
        <f t="shared" ref="AN6" si="29">+AI6</f>
        <v>0.71279546550892425</v>
      </c>
      <c r="AO6" s="416"/>
      <c r="AP6" s="429">
        <f>AVERAGE('Cuadro Mando Integral Detallado'!AG171:AG181,'Cuadro Mando Integral Detallado'!AG238:AG243)</f>
        <v>0</v>
      </c>
      <c r="AQ6" s="375">
        <f t="shared" ref="AQ6:AQ14" si="30">+AP6</f>
        <v>0</v>
      </c>
      <c r="AR6" s="365">
        <f t="shared" ref="AR6:AR14" si="31">+AP6</f>
        <v>0</v>
      </c>
      <c r="AS6" s="365">
        <f t="shared" ref="AS6:AS14" si="32">+AP6</f>
        <v>0</v>
      </c>
      <c r="AT6" s="365">
        <f t="shared" ref="AT6:AT14" si="33">+AP6</f>
        <v>0</v>
      </c>
      <c r="AU6" s="366">
        <f t="shared" ref="AU6:AU14" si="34">+AP6</f>
        <v>0</v>
      </c>
      <c r="AV6" s="429">
        <f>AVERAGE('Cuadro Mando Integral Detallado'!AI171:AI181,'Cuadro Mando Integral Detallado'!AI238:AI243)</f>
        <v>0.57023637240713942</v>
      </c>
      <c r="AW6" s="375">
        <f>+AV6</f>
        <v>0.57023637240713942</v>
      </c>
      <c r="AX6" s="369">
        <f t="shared" ref="AX6:AX13" si="35">+AV6</f>
        <v>0.57023637240713942</v>
      </c>
      <c r="AY6" s="369">
        <f t="shared" ref="AY6:AY14" si="36">+AV6</f>
        <v>0.57023637240713942</v>
      </c>
      <c r="AZ6" s="369">
        <f t="shared" ref="AZ6:AZ14" si="37">+AV6</f>
        <v>0.57023637240713942</v>
      </c>
      <c r="BA6" s="370">
        <f t="shared" ref="BA6:BA14" si="38">+AV6</f>
        <v>0.57023637240713942</v>
      </c>
    </row>
    <row r="7" spans="1:53" ht="36" x14ac:dyDescent="0.25">
      <c r="A7" s="377" t="s">
        <v>229</v>
      </c>
      <c r="B7" s="428"/>
      <c r="C7" s="430">
        <f>AVERAGE('Cuadro Mando Integral Detallado'!L162:L164,'Cuadro Mando Integral Detallado'!L221:L222,'Cuadro Mando Integral Detallado'!L244:L245)</f>
        <v>0.99987501698138848</v>
      </c>
      <c r="D7" s="389">
        <f t="shared" si="0"/>
        <v>0.99987501698138848</v>
      </c>
      <c r="E7" s="380">
        <f t="shared" si="1"/>
        <v>0.99987501698138848</v>
      </c>
      <c r="F7" s="380">
        <f t="shared" si="2"/>
        <v>0.99987501698138848</v>
      </c>
      <c r="G7" s="380">
        <f t="shared" si="3"/>
        <v>0.99987501698138848</v>
      </c>
      <c r="H7" s="381">
        <f t="shared" si="4"/>
        <v>0.99987501698138848</v>
      </c>
      <c r="I7" s="430">
        <f>AVERAGE('Cuadro Mando Integral Detallado'!O162:O164,'Cuadro Mando Integral Detallado'!O221:O222,'Cuadro Mando Integral Detallado'!O244:O245)</f>
        <v>0.24996875424534712</v>
      </c>
      <c r="J7" s="383">
        <f t="shared" si="5"/>
        <v>0.24996875424534712</v>
      </c>
      <c r="K7" s="384">
        <f t="shared" si="6"/>
        <v>0.24996875424534712</v>
      </c>
      <c r="L7" s="384">
        <f t="shared" si="7"/>
        <v>0.24996875424534712</v>
      </c>
      <c r="M7" s="384">
        <f t="shared" si="8"/>
        <v>0.24996875424534712</v>
      </c>
      <c r="N7" s="385">
        <f t="shared" si="9"/>
        <v>0.24996875424534712</v>
      </c>
      <c r="O7" s="11"/>
      <c r="P7" s="430">
        <f>AVERAGE('Cuadro Mando Integral Detallado'!S162:S164,'Cuadro Mando Integral Detallado'!S221:S222,'Cuadro Mando Integral Detallado'!S244:S245)</f>
        <v>0.99996602279870217</v>
      </c>
      <c r="Q7" s="389">
        <f t="shared" si="10"/>
        <v>0.99996602279870217</v>
      </c>
      <c r="R7" s="380">
        <f t="shared" si="11"/>
        <v>0.99996602279870217</v>
      </c>
      <c r="S7" s="380">
        <f t="shared" si="12"/>
        <v>0.99996602279870217</v>
      </c>
      <c r="T7" s="380">
        <f t="shared" si="13"/>
        <v>0.99996602279870217</v>
      </c>
      <c r="U7" s="381">
        <f t="shared" si="14"/>
        <v>0.99996602279870217</v>
      </c>
      <c r="V7" s="430">
        <f>AVERAGE('Cuadro Mando Integral Detallado'!V162:V164,'Cuadro Mando Integral Detallado'!V221:V222,'Cuadro Mando Integral Detallado'!V244:V245)</f>
        <v>0.47218768979302034</v>
      </c>
      <c r="W7" s="383">
        <f t="shared" si="15"/>
        <v>0.47218768979302034</v>
      </c>
      <c r="X7" s="384">
        <f t="shared" si="16"/>
        <v>0.47218768979302034</v>
      </c>
      <c r="Y7" s="384">
        <f t="shared" si="17"/>
        <v>0.47218768979302034</v>
      </c>
      <c r="Z7" s="384">
        <f t="shared" si="18"/>
        <v>0.47218768979302034</v>
      </c>
      <c r="AA7" s="385">
        <f t="shared" si="19"/>
        <v>0.47218768979302034</v>
      </c>
      <c r="AB7" s="416"/>
      <c r="AC7" s="430">
        <f>AVERAGE('Cuadro Mando Integral Detallado'!Z162:Z164,'Cuadro Mando Integral Detallado'!Z221:Z222,'Cuadro Mando Integral Detallado'!Z244:Z245)</f>
        <v>0.99996948511212536</v>
      </c>
      <c r="AD7" s="389">
        <f t="shared" si="20"/>
        <v>0.99996948511212536</v>
      </c>
      <c r="AE7" s="380">
        <f t="shared" si="21"/>
        <v>0.99996948511212536</v>
      </c>
      <c r="AF7" s="380">
        <f t="shared" si="22"/>
        <v>0.99996948511212536</v>
      </c>
      <c r="AG7" s="380">
        <f t="shared" si="23"/>
        <v>0.99996948511212536</v>
      </c>
      <c r="AH7" s="381">
        <f t="shared" si="24"/>
        <v>0.99996948511212536</v>
      </c>
      <c r="AI7" s="430">
        <f>AVERAGE('Cuadro Mando Integral Detallado'!AC162:AC164,'Cuadro Mando Integral Detallado'!AC221:AC222,'Cuadro Mando Integral Detallado'!AC244:AC245)</f>
        <v>0.70234372443395354</v>
      </c>
      <c r="AJ7" s="389">
        <f t="shared" ref="AJ7:AJ14" si="39">+AI7</f>
        <v>0.70234372443395354</v>
      </c>
      <c r="AK7" s="384">
        <f t="shared" ref="AK7:AK14" si="40">+AI7</f>
        <v>0.70234372443395354</v>
      </c>
      <c r="AL7" s="384">
        <f t="shared" ref="AL7:AL14" si="41">+AI7</f>
        <v>0.70234372443395354</v>
      </c>
      <c r="AM7" s="384">
        <f t="shared" ref="AM7:AM14" si="42">+AI7</f>
        <v>0.70234372443395354</v>
      </c>
      <c r="AN7" s="385">
        <f t="shared" ref="AN7:AN14" si="43">+AI7</f>
        <v>0.70234372443395354</v>
      </c>
      <c r="AO7" s="416"/>
      <c r="AP7" s="430">
        <f>AVERAGE('Cuadro Mando Integral Detallado'!AG162:AG164,'Cuadro Mando Integral Detallado'!AG221:AG222,'Cuadro Mando Integral Detallado'!AG244:AG245)</f>
        <v>0</v>
      </c>
      <c r="AQ7" s="389">
        <f t="shared" si="30"/>
        <v>0</v>
      </c>
      <c r="AR7" s="380">
        <f t="shared" si="31"/>
        <v>0</v>
      </c>
      <c r="AS7" s="380">
        <f t="shared" si="32"/>
        <v>0</v>
      </c>
      <c r="AT7" s="380">
        <f t="shared" si="33"/>
        <v>0</v>
      </c>
      <c r="AU7" s="381">
        <f t="shared" si="34"/>
        <v>0</v>
      </c>
      <c r="AV7" s="430">
        <f>AVERAGE('Cuadro Mando Integral Detallado'!AI162:AI164,'Cuadro Mando Integral Detallado'!AI221:AI222,'Cuadro Mando Integral Detallado'!AI244:AI245)</f>
        <v>0.70234372443395354</v>
      </c>
      <c r="AW7" s="389">
        <f t="shared" ref="AW7:AW14" si="44">+AV7</f>
        <v>0.70234372443395354</v>
      </c>
      <c r="AX7" s="384">
        <f t="shared" si="35"/>
        <v>0.70234372443395354</v>
      </c>
      <c r="AY7" s="384">
        <f t="shared" si="36"/>
        <v>0.70234372443395354</v>
      </c>
      <c r="AZ7" s="384">
        <f t="shared" si="37"/>
        <v>0.70234372443395354</v>
      </c>
      <c r="BA7" s="385">
        <f t="shared" si="38"/>
        <v>0.70234372443395354</v>
      </c>
    </row>
    <row r="8" spans="1:53" ht="36" x14ac:dyDescent="0.25">
      <c r="A8" s="377" t="s">
        <v>12</v>
      </c>
      <c r="B8" s="428"/>
      <c r="C8" s="430">
        <f>AVERAGE('Cuadro Mando Integral Detallado'!L147:L157,'Cuadro Mando Integral Detallado'!L205,'Cuadro Mando Integral Detallado'!L212:L214,'Cuadro Mando Integral Detallado'!L307)</f>
        <v>0.88721351785088942</v>
      </c>
      <c r="D8" s="389">
        <f>+C8</f>
        <v>0.88721351785088942</v>
      </c>
      <c r="E8" s="380">
        <f t="shared" si="1"/>
        <v>0.88721351785088942</v>
      </c>
      <c r="F8" s="380">
        <f t="shared" si="2"/>
        <v>0.88721351785088942</v>
      </c>
      <c r="G8" s="380">
        <f t="shared" si="3"/>
        <v>0.88721351785088942</v>
      </c>
      <c r="H8" s="381">
        <f t="shared" si="4"/>
        <v>0.88721351785088942</v>
      </c>
      <c r="I8" s="430">
        <f>AVERAGE('Cuadro Mando Integral Detallado'!O147:O157,'Cuadro Mando Integral Detallado'!O205,'Cuadro Mando Integral Detallado'!O212:O214,'Cuadro Mando Integral Detallado'!O307)</f>
        <v>0.22180337946272236</v>
      </c>
      <c r="J8" s="383">
        <f t="shared" si="5"/>
        <v>0.22180337946272236</v>
      </c>
      <c r="K8" s="384">
        <f t="shared" si="6"/>
        <v>0.22180337946272236</v>
      </c>
      <c r="L8" s="384">
        <f t="shared" si="7"/>
        <v>0.22180337946272236</v>
      </c>
      <c r="M8" s="384">
        <f t="shared" si="8"/>
        <v>0.22180337946272236</v>
      </c>
      <c r="N8" s="385">
        <f t="shared" si="9"/>
        <v>0.22180337946272236</v>
      </c>
      <c r="O8" s="11"/>
      <c r="P8" s="430">
        <f>AVERAGE('Cuadro Mando Integral Detallado'!S147:S157,'Cuadro Mando Integral Detallado'!S205,'Cuadro Mando Integral Detallado'!S212:S214,'Cuadro Mando Integral Detallado'!S307)</f>
        <v>0.99917452830188691</v>
      </c>
      <c r="Q8" s="389">
        <f t="shared" si="10"/>
        <v>0.99917452830188691</v>
      </c>
      <c r="R8" s="380">
        <f t="shared" si="11"/>
        <v>0.99917452830188691</v>
      </c>
      <c r="S8" s="380">
        <f t="shared" si="12"/>
        <v>0.99917452830188691</v>
      </c>
      <c r="T8" s="380">
        <f t="shared" si="13"/>
        <v>0.99917452830188691</v>
      </c>
      <c r="U8" s="381">
        <f t="shared" si="14"/>
        <v>0.99917452830188691</v>
      </c>
      <c r="V8" s="430">
        <f>AVERAGE('Cuadro Mando Integral Detallado'!V147:V157,'Cuadro Mando Integral Detallado'!V205,'Cuadro Mando Integral Detallado'!V212:V214,'Cuadro Mando Integral Detallado'!V307)</f>
        <v>0.42371212750780773</v>
      </c>
      <c r="W8" s="383">
        <f t="shared" si="15"/>
        <v>0.42371212750780773</v>
      </c>
      <c r="X8" s="384">
        <f t="shared" si="16"/>
        <v>0.42371212750780773</v>
      </c>
      <c r="Y8" s="384">
        <f t="shared" si="17"/>
        <v>0.42371212750780773</v>
      </c>
      <c r="Z8" s="384">
        <f t="shared" si="18"/>
        <v>0.42371212750780773</v>
      </c>
      <c r="AA8" s="385">
        <f t="shared" si="19"/>
        <v>0.42371212750780773</v>
      </c>
      <c r="AB8" s="419"/>
      <c r="AC8" s="430">
        <f>AVERAGE('Cuadro Mando Integral Detallado'!Z147:Z157,'Cuadro Mando Integral Detallado'!Z205,'Cuadro Mando Integral Detallado'!Z212:Z214,'Cuadro Mando Integral Detallado'!Z307)</f>
        <v>0.9997652582159624</v>
      </c>
      <c r="AD8" s="389">
        <f t="shared" si="20"/>
        <v>0.9997652582159624</v>
      </c>
      <c r="AE8" s="380">
        <f t="shared" si="21"/>
        <v>0.9997652582159624</v>
      </c>
      <c r="AF8" s="380">
        <f t="shared" si="22"/>
        <v>0.9997652582159624</v>
      </c>
      <c r="AG8" s="380">
        <f t="shared" si="23"/>
        <v>0.9997652582159624</v>
      </c>
      <c r="AH8" s="381">
        <f t="shared" si="24"/>
        <v>0.9997652582159624</v>
      </c>
      <c r="AI8" s="430">
        <f>AVERAGE('Cuadro Mando Integral Detallado'!AC147:AC157,'Cuadro Mando Integral Detallado'!AC205,'Cuadro Mando Integral Detallado'!AC212:AC214,'Cuadro Mando Integral Detallado'!AC307)</f>
        <v>0.66608301952658711</v>
      </c>
      <c r="AJ8" s="389">
        <f t="shared" si="39"/>
        <v>0.66608301952658711</v>
      </c>
      <c r="AK8" s="384">
        <f t="shared" si="40"/>
        <v>0.66608301952658711</v>
      </c>
      <c r="AL8" s="384">
        <f t="shared" si="41"/>
        <v>0.66608301952658711</v>
      </c>
      <c r="AM8" s="384">
        <f t="shared" si="42"/>
        <v>0.66608301952658711</v>
      </c>
      <c r="AN8" s="385">
        <f t="shared" si="43"/>
        <v>0.66608301952658711</v>
      </c>
      <c r="AO8" s="416"/>
      <c r="AP8" s="430">
        <f>AVERAGE('Cuadro Mando Integral Detallado'!AG147:AG157,'Cuadro Mando Integral Detallado'!AG205,'Cuadro Mando Integral Detallado'!AG212:AG214,'Cuadro Mando Integral Detallado'!AG307)</f>
        <v>0</v>
      </c>
      <c r="AQ8" s="389">
        <f t="shared" si="30"/>
        <v>0</v>
      </c>
      <c r="AR8" s="380">
        <f t="shared" si="31"/>
        <v>0</v>
      </c>
      <c r="AS8" s="380">
        <f t="shared" si="32"/>
        <v>0</v>
      </c>
      <c r="AT8" s="380">
        <f t="shared" si="33"/>
        <v>0</v>
      </c>
      <c r="AU8" s="381">
        <f t="shared" si="34"/>
        <v>0</v>
      </c>
      <c r="AV8" s="430">
        <f>AVERAGE('Cuadro Mando Integral Detallado'!AI147:AI157,'Cuadro Mando Integral Detallado'!AI205,'Cuadro Mando Integral Detallado'!AI212:AI214,'Cuadro Mando Integral Detallado'!AI307)</f>
        <v>0.45793207592452867</v>
      </c>
      <c r="AW8" s="389">
        <f t="shared" si="44"/>
        <v>0.45793207592452867</v>
      </c>
      <c r="AX8" s="384">
        <f t="shared" si="35"/>
        <v>0.45793207592452867</v>
      </c>
      <c r="AY8" s="384">
        <f t="shared" si="36"/>
        <v>0.45793207592452867</v>
      </c>
      <c r="AZ8" s="384">
        <f t="shared" si="37"/>
        <v>0.45793207592452867</v>
      </c>
      <c r="BA8" s="385">
        <f t="shared" si="38"/>
        <v>0.45793207592452867</v>
      </c>
    </row>
    <row r="9" spans="1:53" ht="18" x14ac:dyDescent="0.25">
      <c r="A9" s="377" t="s">
        <v>162</v>
      </c>
      <c r="B9" s="428"/>
      <c r="C9" s="430">
        <f>AVERAGE('Cuadro Mando Integral Detallado'!L133,'Cuadro Mando Integral Detallado'!L138:L142,'Cuadro Mando Integral Detallado'!L206,'Cuadro Mando Integral Detallado'!L209:L210,'Cuadro Mando Integral Detallado'!L308)</f>
        <v>0.66666819025165036</v>
      </c>
      <c r="D9" s="389">
        <f t="shared" si="0"/>
        <v>0.66666819025165036</v>
      </c>
      <c r="E9" s="380">
        <f t="shared" si="1"/>
        <v>0.66666819025165036</v>
      </c>
      <c r="F9" s="380">
        <f t="shared" si="2"/>
        <v>0.66666819025165036</v>
      </c>
      <c r="G9" s="380">
        <f t="shared" si="3"/>
        <v>0.66666819025165036</v>
      </c>
      <c r="H9" s="381">
        <f t="shared" si="4"/>
        <v>0.66666819025165036</v>
      </c>
      <c r="I9" s="430">
        <f>AVERAGE('Cuadro Mando Integral Detallado'!O133,'Cuadro Mando Integral Detallado'!O138:O142,'Cuadro Mando Integral Detallado'!O206,'Cuadro Mando Integral Detallado'!O209:O210,'Cuadro Mando Integral Detallado'!O308)</f>
        <v>0.16666704756291259</v>
      </c>
      <c r="J9" s="383">
        <f t="shared" si="5"/>
        <v>0.16666704756291259</v>
      </c>
      <c r="K9" s="384">
        <f t="shared" si="6"/>
        <v>0.16666704756291259</v>
      </c>
      <c r="L9" s="384">
        <f t="shared" si="7"/>
        <v>0.16666704756291259</v>
      </c>
      <c r="M9" s="384">
        <f t="shared" si="8"/>
        <v>0.16666704756291259</v>
      </c>
      <c r="N9" s="385">
        <f t="shared" si="9"/>
        <v>0.16666704756291259</v>
      </c>
      <c r="O9" s="11"/>
      <c r="P9" s="430">
        <f>AVERAGE('Cuadro Mando Integral Detallado'!S133:S142,'Cuadro Mando Integral Detallado'!S206:S207,'Cuadro Mando Integral Detallado'!S209:S210,'Cuadro Mando Integral Detallado'!S308)</f>
        <v>1</v>
      </c>
      <c r="Q9" s="389">
        <f t="shared" si="10"/>
        <v>1</v>
      </c>
      <c r="R9" s="380">
        <f t="shared" si="11"/>
        <v>1</v>
      </c>
      <c r="S9" s="380">
        <f t="shared" si="12"/>
        <v>1</v>
      </c>
      <c r="T9" s="380">
        <f t="shared" si="13"/>
        <v>1</v>
      </c>
      <c r="U9" s="381">
        <f t="shared" si="14"/>
        <v>1</v>
      </c>
      <c r="V9" s="430">
        <f>AVERAGE('Cuadro Mando Integral Detallado'!V133:V142,'Cuadro Mando Integral Detallado'!V206:V207,'Cuadro Mando Integral Detallado'!V209:V210,'Cuadro Mando Integral Detallado'!V308)</f>
        <v>0.37179513549227278</v>
      </c>
      <c r="W9" s="383">
        <f t="shared" si="15"/>
        <v>0.37179513549227278</v>
      </c>
      <c r="X9" s="384">
        <f t="shared" si="16"/>
        <v>0.37179513549227278</v>
      </c>
      <c r="Y9" s="384">
        <f t="shared" si="17"/>
        <v>0.37179513549227278</v>
      </c>
      <c r="Z9" s="384">
        <f t="shared" si="18"/>
        <v>0.37179513549227278</v>
      </c>
      <c r="AA9" s="385">
        <f t="shared" si="19"/>
        <v>0.37179513549227278</v>
      </c>
      <c r="AB9" s="416"/>
      <c r="AC9" s="430">
        <f>AVERAGE('Cuadro Mando Integral Detallado'!Z133:Z142,'Cuadro Mando Integral Detallado'!Z206,'Cuadro Mando Integral Detallado'!Z209:Z210,'Cuadro Mando Integral Detallado'!Z308)</f>
        <v>0.99262899262899262</v>
      </c>
      <c r="AD9" s="389">
        <f t="shared" si="20"/>
        <v>0.99262899262899262</v>
      </c>
      <c r="AE9" s="380">
        <f t="shared" si="21"/>
        <v>0.99262899262899262</v>
      </c>
      <c r="AF9" s="380">
        <f t="shared" si="22"/>
        <v>0.99262899262899262</v>
      </c>
      <c r="AG9" s="380">
        <f t="shared" si="23"/>
        <v>0.99262899262899262</v>
      </c>
      <c r="AH9" s="381">
        <f t="shared" si="24"/>
        <v>0.99262899262899262</v>
      </c>
      <c r="AI9" s="430">
        <f>AVERAGE('Cuadro Mando Integral Detallado'!AC133:AC142,'Cuadro Mando Integral Detallado'!AC206,'Cuadro Mando Integral Detallado'!AC209:AC210,'Cuadro Mando Integral Detallado'!AC308)</f>
        <v>0.60689562059275803</v>
      </c>
      <c r="AJ9" s="389">
        <f t="shared" si="39"/>
        <v>0.60689562059275803</v>
      </c>
      <c r="AK9" s="384">
        <f t="shared" si="40"/>
        <v>0.60689562059275803</v>
      </c>
      <c r="AL9" s="384">
        <f t="shared" si="41"/>
        <v>0.60689562059275803</v>
      </c>
      <c r="AM9" s="384">
        <f t="shared" si="42"/>
        <v>0.60689562059275803</v>
      </c>
      <c r="AN9" s="385">
        <f t="shared" si="43"/>
        <v>0.60689562059275803</v>
      </c>
      <c r="AO9" s="416"/>
      <c r="AP9" s="430">
        <f>AVERAGE('Cuadro Mando Integral Detallado'!AG133:AG142,'Cuadro Mando Integral Detallado'!AG206,'Cuadro Mando Integral Detallado'!AG209:AG210,'Cuadro Mando Integral Detallado'!AG308)</f>
        <v>0</v>
      </c>
      <c r="AQ9" s="389">
        <f t="shared" si="30"/>
        <v>0</v>
      </c>
      <c r="AR9" s="380">
        <f t="shared" si="31"/>
        <v>0</v>
      </c>
      <c r="AS9" s="380">
        <f t="shared" si="32"/>
        <v>0</v>
      </c>
      <c r="AT9" s="380">
        <f t="shared" si="33"/>
        <v>0</v>
      </c>
      <c r="AU9" s="381">
        <f t="shared" si="34"/>
        <v>0</v>
      </c>
      <c r="AV9" s="430">
        <f>AVERAGE('Cuadro Mando Integral Detallado'!AI133:AI142,'Cuadro Mando Integral Detallado'!AI206,'Cuadro Mando Integral Detallado'!AI209:AI210,'Cuadro Mando Integral Detallado'!AI308)</f>
        <v>0.60689562059275803</v>
      </c>
      <c r="AW9" s="389">
        <f t="shared" si="44"/>
        <v>0.60689562059275803</v>
      </c>
      <c r="AX9" s="384">
        <f t="shared" si="35"/>
        <v>0.60689562059275803</v>
      </c>
      <c r="AY9" s="384">
        <f t="shared" si="36"/>
        <v>0.60689562059275803</v>
      </c>
      <c r="AZ9" s="384">
        <f t="shared" si="37"/>
        <v>0.60689562059275803</v>
      </c>
      <c r="BA9" s="385">
        <f t="shared" si="38"/>
        <v>0.60689562059275803</v>
      </c>
    </row>
    <row r="10" spans="1:53" ht="54" x14ac:dyDescent="0.25">
      <c r="A10" s="377" t="s">
        <v>230</v>
      </c>
      <c r="B10" s="428"/>
      <c r="C10" s="430">
        <f>AVERAGE('Cuadro Mando Integral Detallado'!L143:L146,'Cuadro Mando Integral Detallado'!L195:L198,'Cuadro Mando Integral Detallado'!L211,'Cuadro Mando Integral Detallado'!L288:L301,'Cuadro Mando Integral Detallado'!L358:L360)</f>
        <v>0.99890010933381257</v>
      </c>
      <c r="D10" s="389">
        <f t="shared" si="0"/>
        <v>0.99890010933381257</v>
      </c>
      <c r="E10" s="380">
        <f t="shared" si="1"/>
        <v>0.99890010933381257</v>
      </c>
      <c r="F10" s="380">
        <f t="shared" si="2"/>
        <v>0.99890010933381257</v>
      </c>
      <c r="G10" s="380">
        <f t="shared" si="3"/>
        <v>0.99890010933381257</v>
      </c>
      <c r="H10" s="381">
        <f t="shared" si="4"/>
        <v>0.99890010933381257</v>
      </c>
      <c r="I10" s="430">
        <f>AVERAGE('Cuadro Mando Integral Detallado'!O143:O146,'Cuadro Mando Integral Detallado'!O195:O198,'Cuadro Mando Integral Detallado'!O211,'Cuadro Mando Integral Detallado'!O288:O301,'Cuadro Mando Integral Detallado'!O358:O360)</f>
        <v>0.53515067151328233</v>
      </c>
      <c r="J10" s="383">
        <f t="shared" si="5"/>
        <v>0.53515067151328233</v>
      </c>
      <c r="K10" s="384">
        <f t="shared" si="6"/>
        <v>0.53515067151328233</v>
      </c>
      <c r="L10" s="384">
        <f t="shared" si="7"/>
        <v>0.53515067151328233</v>
      </c>
      <c r="M10" s="384">
        <f t="shared" si="8"/>
        <v>0.53515067151328233</v>
      </c>
      <c r="N10" s="385">
        <f t="shared" si="9"/>
        <v>0.53515067151328233</v>
      </c>
      <c r="O10" s="11"/>
      <c r="P10" s="430">
        <f>AVERAGE('Cuadro Mando Integral Detallado'!S143:S146,'Cuadro Mando Integral Detallado'!S195:S198,'Cuadro Mando Integral Detallado'!S211,'Cuadro Mando Integral Detallado'!S288:S301,'Cuadro Mando Integral Detallado'!S358:S360)</f>
        <v>0.89975913088505466</v>
      </c>
      <c r="Q10" s="389">
        <f t="shared" si="10"/>
        <v>0.89975913088505466</v>
      </c>
      <c r="R10" s="380">
        <f t="shared" si="11"/>
        <v>0.89975913088505466</v>
      </c>
      <c r="S10" s="380">
        <f t="shared" si="12"/>
        <v>0.89975913088505466</v>
      </c>
      <c r="T10" s="380">
        <f t="shared" si="13"/>
        <v>0.89975913088505466</v>
      </c>
      <c r="U10" s="381">
        <f t="shared" si="14"/>
        <v>0.89975913088505466</v>
      </c>
      <c r="V10" s="430">
        <f>AVERAGE('Cuadro Mando Integral Detallado'!V143:V146,'Cuadro Mando Integral Detallado'!V195:V198,'Cuadro Mando Integral Detallado'!V211,'Cuadro Mando Integral Detallado'!V288:V301,'Cuadro Mando Integral Detallado'!V358:V360)</f>
        <v>0.55776084756264677</v>
      </c>
      <c r="W10" s="383">
        <f t="shared" si="15"/>
        <v>0.55776084756264677</v>
      </c>
      <c r="X10" s="384">
        <f t="shared" si="16"/>
        <v>0.55776084756264677</v>
      </c>
      <c r="Y10" s="384">
        <f t="shared" si="17"/>
        <v>0.55776084756264677</v>
      </c>
      <c r="Z10" s="384">
        <f t="shared" si="18"/>
        <v>0.55776084756264677</v>
      </c>
      <c r="AA10" s="385">
        <f t="shared" si="19"/>
        <v>0.55776084756264677</v>
      </c>
      <c r="AB10" s="416"/>
      <c r="AC10" s="430">
        <f>AVERAGE('Cuadro Mando Integral Detallado'!Z143:Z146,'Cuadro Mando Integral Detallado'!Z195:Z198,'Cuadro Mando Integral Detallado'!Z211,'Cuadro Mando Integral Detallado'!Z288:Z301,'Cuadro Mando Integral Detallado'!Z358:Z360)</f>
        <v>0.96838102856228481</v>
      </c>
      <c r="AD10" s="389">
        <f t="shared" si="20"/>
        <v>0.96838102856228481</v>
      </c>
      <c r="AE10" s="380">
        <f t="shared" si="21"/>
        <v>0.96838102856228481</v>
      </c>
      <c r="AF10" s="380">
        <f t="shared" si="22"/>
        <v>0.96838102856228481</v>
      </c>
      <c r="AG10" s="380">
        <f t="shared" si="23"/>
        <v>0.96838102856228481</v>
      </c>
      <c r="AH10" s="381">
        <f t="shared" si="24"/>
        <v>0.96838102856228481</v>
      </c>
      <c r="AI10" s="430">
        <f>AVERAGE('Cuadro Mando Integral Detallado'!AC143:AC146,'Cuadro Mando Integral Detallado'!AC195:AC198,'Cuadro Mando Integral Detallado'!AC211,'Cuadro Mando Integral Detallado'!AC288:AC301,'Cuadro Mando Integral Detallado'!AC358:AC360)</f>
        <v>0.72710756834015544</v>
      </c>
      <c r="AJ10" s="389">
        <f t="shared" si="39"/>
        <v>0.72710756834015544</v>
      </c>
      <c r="AK10" s="384">
        <f t="shared" si="40"/>
        <v>0.72710756834015544</v>
      </c>
      <c r="AL10" s="384">
        <f t="shared" si="41"/>
        <v>0.72710756834015544</v>
      </c>
      <c r="AM10" s="384">
        <f t="shared" si="42"/>
        <v>0.72710756834015544</v>
      </c>
      <c r="AN10" s="385">
        <f t="shared" si="43"/>
        <v>0.72710756834015544</v>
      </c>
      <c r="AO10" s="416"/>
      <c r="AP10" s="430">
        <f>AVERAGE('Cuadro Mando Integral Detallado'!AG143:AG146,'Cuadro Mando Integral Detallado'!AG195:AG198,'Cuadro Mando Integral Detallado'!AG211,'Cuadro Mando Integral Detallado'!AG288:AG301,'Cuadro Mando Integral Detallado'!AG358:AG360)</f>
        <v>0</v>
      </c>
      <c r="AQ10" s="389">
        <f t="shared" si="30"/>
        <v>0</v>
      </c>
      <c r="AR10" s="380">
        <f t="shared" si="31"/>
        <v>0</v>
      </c>
      <c r="AS10" s="380">
        <f t="shared" si="32"/>
        <v>0</v>
      </c>
      <c r="AT10" s="380">
        <f t="shared" si="33"/>
        <v>0</v>
      </c>
      <c r="AU10" s="381">
        <f t="shared" si="34"/>
        <v>0</v>
      </c>
      <c r="AV10" s="430">
        <f>AVERAGE('Cuadro Mando Integral Detallado'!AI143:AI146,'Cuadro Mando Integral Detallado'!AI195:AI198,'Cuadro Mando Integral Detallado'!AI211,'Cuadro Mando Integral Detallado'!AI288:AI301,'Cuadro Mando Integral Detallado'!AI358:AI360)</f>
        <v>0.59716480834507168</v>
      </c>
      <c r="AW10" s="389">
        <f t="shared" si="44"/>
        <v>0.59716480834507168</v>
      </c>
      <c r="AX10" s="384">
        <f t="shared" si="35"/>
        <v>0.59716480834507168</v>
      </c>
      <c r="AY10" s="384">
        <f t="shared" si="36"/>
        <v>0.59716480834507168</v>
      </c>
      <c r="AZ10" s="384">
        <f t="shared" si="37"/>
        <v>0.59716480834507168</v>
      </c>
      <c r="BA10" s="385">
        <f t="shared" si="38"/>
        <v>0.59716480834507168</v>
      </c>
    </row>
    <row r="11" spans="1:53" ht="36" x14ac:dyDescent="0.25">
      <c r="A11" s="431" t="s">
        <v>14</v>
      </c>
      <c r="B11" s="428"/>
      <c r="C11" s="430">
        <f>AVERAGE('Cuadro Mando Integral Detallado'!L183:L194,'Cuadro Mando Integral Detallado'!L256:L287,'Cuadro Mando Integral Detallado'!L310:L357)</f>
        <v>0.88260048207929065</v>
      </c>
      <c r="D11" s="389">
        <f t="shared" si="0"/>
        <v>0.88260048207929065</v>
      </c>
      <c r="E11" s="380">
        <f t="shared" si="1"/>
        <v>0.88260048207929065</v>
      </c>
      <c r="F11" s="380">
        <f t="shared" si="2"/>
        <v>0.88260048207929065</v>
      </c>
      <c r="G11" s="380">
        <f t="shared" si="3"/>
        <v>0.88260048207929065</v>
      </c>
      <c r="H11" s="381">
        <f t="shared" si="4"/>
        <v>0.88260048207929065</v>
      </c>
      <c r="I11" s="430">
        <f>AVERAGE('Cuadro Mando Integral Detallado'!O183:O194,'Cuadro Mando Integral Detallado'!O256:O287,'Cuadro Mando Integral Detallado'!O310:O357)</f>
        <v>0.40894148156067422</v>
      </c>
      <c r="J11" s="383">
        <f t="shared" si="5"/>
        <v>0.40894148156067422</v>
      </c>
      <c r="K11" s="384">
        <f t="shared" si="6"/>
        <v>0.40894148156067422</v>
      </c>
      <c r="L11" s="384">
        <f t="shared" si="7"/>
        <v>0.40894148156067422</v>
      </c>
      <c r="M11" s="384">
        <f t="shared" si="8"/>
        <v>0.40894148156067422</v>
      </c>
      <c r="N11" s="385">
        <f t="shared" si="9"/>
        <v>0.40894148156067422</v>
      </c>
      <c r="O11" s="11"/>
      <c r="P11" s="430">
        <f>AVERAGE('Cuadro Mando Integral Detallado'!S183:S194,'Cuadro Mando Integral Detallado'!S256:S287,'Cuadro Mando Integral Detallado'!S310:S357)</f>
        <v>0.80318131953133776</v>
      </c>
      <c r="Q11" s="389">
        <f t="shared" si="10"/>
        <v>0.80318131953133776</v>
      </c>
      <c r="R11" s="380">
        <f t="shared" si="11"/>
        <v>0.80318131953133776</v>
      </c>
      <c r="S11" s="380">
        <f t="shared" si="12"/>
        <v>0.80318131953133776</v>
      </c>
      <c r="T11" s="380">
        <f t="shared" si="13"/>
        <v>0.80318131953133776</v>
      </c>
      <c r="U11" s="381">
        <f t="shared" si="14"/>
        <v>0.80318131953133776</v>
      </c>
      <c r="V11" s="430">
        <f>AVERAGE('Cuadro Mando Integral Detallado'!V183:V194,'Cuadro Mando Integral Detallado'!V256:V287,'Cuadro Mando Integral Detallado'!V310:V357)</f>
        <v>0.4761972078664462</v>
      </c>
      <c r="W11" s="383">
        <f t="shared" si="15"/>
        <v>0.4761972078664462</v>
      </c>
      <c r="X11" s="384">
        <f t="shared" si="16"/>
        <v>0.4761972078664462</v>
      </c>
      <c r="Y11" s="384">
        <f t="shared" si="17"/>
        <v>0.4761972078664462</v>
      </c>
      <c r="Z11" s="384">
        <f t="shared" si="18"/>
        <v>0.4761972078664462</v>
      </c>
      <c r="AA11" s="385">
        <f t="shared" si="19"/>
        <v>0.4761972078664462</v>
      </c>
      <c r="AB11" s="416"/>
      <c r="AC11" s="430">
        <f>AVERAGE('Cuadro Mando Integral Detallado'!Z183:Z194,'Cuadro Mando Integral Detallado'!Z256:Z287,'Cuadro Mando Integral Detallado'!Z310:Z357)</f>
        <v>0.64074775171484954</v>
      </c>
      <c r="AD11" s="389">
        <f t="shared" si="20"/>
        <v>0.64074775171484954</v>
      </c>
      <c r="AE11" s="380">
        <f t="shared" si="21"/>
        <v>0.64074775171484954</v>
      </c>
      <c r="AF11" s="380">
        <f t="shared" si="22"/>
        <v>0.64074775171484954</v>
      </c>
      <c r="AG11" s="380">
        <f t="shared" si="23"/>
        <v>0.64074775171484954</v>
      </c>
      <c r="AH11" s="381">
        <f t="shared" si="24"/>
        <v>0.64074775171484954</v>
      </c>
      <c r="AI11" s="430">
        <f>AVERAGE('Cuadro Mando Integral Detallado'!AC183:AC194,'Cuadro Mando Integral Detallado'!AC256:AC287,'Cuadro Mando Integral Detallado'!AC310:AC357)</f>
        <v>0.5914298403078212</v>
      </c>
      <c r="AJ11" s="389">
        <f t="shared" si="39"/>
        <v>0.5914298403078212</v>
      </c>
      <c r="AK11" s="384">
        <f t="shared" si="40"/>
        <v>0.5914298403078212</v>
      </c>
      <c r="AL11" s="384">
        <f t="shared" si="41"/>
        <v>0.5914298403078212</v>
      </c>
      <c r="AM11" s="384">
        <f t="shared" si="42"/>
        <v>0.5914298403078212</v>
      </c>
      <c r="AN11" s="385">
        <f t="shared" si="43"/>
        <v>0.5914298403078212</v>
      </c>
      <c r="AO11" s="416"/>
      <c r="AP11" s="430">
        <f>AVERAGE('Cuadro Mando Integral Detallado'!AG183:AG194,'Cuadro Mando Integral Detallado'!AG256:AG287,'Cuadro Mando Integral Detallado'!AG310:AG357)</f>
        <v>3.2258064516129031E-2</v>
      </c>
      <c r="AQ11" s="389">
        <f t="shared" si="30"/>
        <v>3.2258064516129031E-2</v>
      </c>
      <c r="AR11" s="380">
        <f t="shared" si="31"/>
        <v>3.2258064516129031E-2</v>
      </c>
      <c r="AS11" s="380">
        <f t="shared" si="32"/>
        <v>3.2258064516129031E-2</v>
      </c>
      <c r="AT11" s="380">
        <f t="shared" si="33"/>
        <v>3.2258064516129031E-2</v>
      </c>
      <c r="AU11" s="381">
        <f t="shared" si="34"/>
        <v>3.2258064516129031E-2</v>
      </c>
      <c r="AV11" s="430">
        <f>AVERAGE('Cuadro Mando Integral Detallado'!AI183:AI194,'Cuadro Mando Integral Detallado'!AI256:AI287,'Cuadro Mando Integral Detallado'!AI310:AI357)</f>
        <v>0.55388582483142212</v>
      </c>
      <c r="AW11" s="389">
        <f t="shared" si="44"/>
        <v>0.55388582483142212</v>
      </c>
      <c r="AX11" s="384">
        <f t="shared" si="35"/>
        <v>0.55388582483142212</v>
      </c>
      <c r="AY11" s="384">
        <f t="shared" si="36"/>
        <v>0.55388582483142212</v>
      </c>
      <c r="AZ11" s="384">
        <f t="shared" si="37"/>
        <v>0.55388582483142212</v>
      </c>
      <c r="BA11" s="385">
        <f t="shared" si="38"/>
        <v>0.55388582483142212</v>
      </c>
    </row>
    <row r="12" spans="1:53" ht="36" x14ac:dyDescent="0.25">
      <c r="A12" s="431" t="s">
        <v>231</v>
      </c>
      <c r="B12" s="428"/>
      <c r="C12" s="430">
        <f>AVERAGE('Cuadro Mando Integral Detallado'!L199:L204,'Cuadro Mando Integral Detallado'!L245:L248,'Cuadro Mando Integral Detallado'!L302:L303,'Cuadro Mando Integral Detallado'!L306,'Cuadro Mando Integral Detallado'!L363:L364)</f>
        <v>0.72946859903381644</v>
      </c>
      <c r="D12" s="389">
        <f t="shared" si="0"/>
        <v>0.72946859903381644</v>
      </c>
      <c r="E12" s="380">
        <f t="shared" si="1"/>
        <v>0.72946859903381644</v>
      </c>
      <c r="F12" s="380">
        <f t="shared" si="2"/>
        <v>0.72946859903381644</v>
      </c>
      <c r="G12" s="380">
        <f t="shared" si="3"/>
        <v>0.72946859903381644</v>
      </c>
      <c r="H12" s="381">
        <f t="shared" si="4"/>
        <v>0.72946859903381644</v>
      </c>
      <c r="I12" s="430">
        <f>AVERAGE('Cuadro Mando Integral Detallado'!O199:O204,'Cuadro Mando Integral Detallado'!O245:O248,'Cuadro Mando Integral Detallado'!O302:O303,'Cuadro Mando Integral Detallado'!O306,'Cuadro Mando Integral Detallado'!O363:O364)</f>
        <v>0.47472826086956527</v>
      </c>
      <c r="J12" s="383">
        <f t="shared" si="5"/>
        <v>0.47472826086956527</v>
      </c>
      <c r="K12" s="384">
        <f t="shared" si="6"/>
        <v>0.47472826086956527</v>
      </c>
      <c r="L12" s="384">
        <f t="shared" si="7"/>
        <v>0.47472826086956527</v>
      </c>
      <c r="M12" s="384">
        <f t="shared" si="8"/>
        <v>0.47472826086956527</v>
      </c>
      <c r="N12" s="385">
        <f t="shared" si="9"/>
        <v>0.47472826086956527</v>
      </c>
      <c r="O12" s="11"/>
      <c r="P12" s="430">
        <f>AVERAGE('Cuadro Mando Integral Detallado'!S199:S204,'Cuadro Mando Integral Detallado'!S245:S248,'Cuadro Mando Integral Detallado'!S302:S306,'Cuadro Mando Integral Detallado'!S363:S364)</f>
        <v>0.875</v>
      </c>
      <c r="Q12" s="389">
        <f t="shared" si="10"/>
        <v>0.875</v>
      </c>
      <c r="R12" s="380">
        <f t="shared" si="11"/>
        <v>0.875</v>
      </c>
      <c r="S12" s="380">
        <f t="shared" si="12"/>
        <v>0.875</v>
      </c>
      <c r="T12" s="380">
        <f t="shared" si="13"/>
        <v>0.875</v>
      </c>
      <c r="U12" s="381">
        <f t="shared" si="14"/>
        <v>0.875</v>
      </c>
      <c r="V12" s="430">
        <f>AVERAGE('Cuadro Mando Integral Detallado'!V199:V204,'Cuadro Mando Integral Detallado'!V245:V248,'Cuadro Mando Integral Detallado'!V302:V306,'Cuadro Mando Integral Detallado'!V363:V364)</f>
        <v>0.63096830705526352</v>
      </c>
      <c r="W12" s="383">
        <f t="shared" si="15"/>
        <v>0.63096830705526352</v>
      </c>
      <c r="X12" s="384">
        <f t="shared" si="16"/>
        <v>0.63096830705526352</v>
      </c>
      <c r="Y12" s="384">
        <f t="shared" si="17"/>
        <v>0.63096830705526352</v>
      </c>
      <c r="Z12" s="384">
        <f t="shared" si="18"/>
        <v>0.63096830705526352</v>
      </c>
      <c r="AA12" s="385">
        <f t="shared" si="19"/>
        <v>0.63096830705526352</v>
      </c>
      <c r="AB12" s="416"/>
      <c r="AC12" s="430">
        <f>AVERAGE('Cuadro Mando Integral Detallado'!Z199:Z204,'Cuadro Mando Integral Detallado'!Z245:Z248,'Cuadro Mando Integral Detallado'!Z302:Z306,'Cuadro Mando Integral Detallado'!Z363:Z364)</f>
        <v>1</v>
      </c>
      <c r="AD12" s="389">
        <f t="shared" si="20"/>
        <v>1</v>
      </c>
      <c r="AE12" s="380">
        <f t="shared" si="21"/>
        <v>1</v>
      </c>
      <c r="AF12" s="380">
        <f t="shared" si="22"/>
        <v>1</v>
      </c>
      <c r="AG12" s="380">
        <f t="shared" si="23"/>
        <v>1</v>
      </c>
      <c r="AH12" s="381">
        <f t="shared" si="24"/>
        <v>1</v>
      </c>
      <c r="AI12" s="430">
        <f>AVERAGE('Cuadro Mando Integral Detallado'!AC199:AC204,'Cuadro Mando Integral Detallado'!AC245:AC248,'Cuadro Mando Integral Detallado'!AC302:AC306,'Cuadro Mando Integral Detallado'!AC363:AC364)</f>
        <v>0.84873360938578324</v>
      </c>
      <c r="AJ12" s="389">
        <f t="shared" si="39"/>
        <v>0.84873360938578324</v>
      </c>
      <c r="AK12" s="384">
        <f t="shared" si="40"/>
        <v>0.84873360938578324</v>
      </c>
      <c r="AL12" s="384">
        <f t="shared" si="41"/>
        <v>0.84873360938578324</v>
      </c>
      <c r="AM12" s="384">
        <f t="shared" si="42"/>
        <v>0.84873360938578324</v>
      </c>
      <c r="AN12" s="385">
        <f t="shared" si="43"/>
        <v>0.84873360938578324</v>
      </c>
      <c r="AO12" s="416"/>
      <c r="AP12" s="430">
        <f>AVERAGE('Cuadro Mando Integral Detallado'!AG199:AG204,'Cuadro Mando Integral Detallado'!AG245:AG248,'Cuadro Mando Integral Detallado'!AG302:AG306,'Cuadro Mando Integral Detallado'!AG363:AG364)</f>
        <v>0</v>
      </c>
      <c r="AQ12" s="389">
        <f t="shared" si="30"/>
        <v>0</v>
      </c>
      <c r="AR12" s="380">
        <f t="shared" si="31"/>
        <v>0</v>
      </c>
      <c r="AS12" s="380">
        <f t="shared" si="32"/>
        <v>0</v>
      </c>
      <c r="AT12" s="380">
        <f t="shared" si="33"/>
        <v>0</v>
      </c>
      <c r="AU12" s="381">
        <f t="shared" si="34"/>
        <v>0</v>
      </c>
      <c r="AV12" s="430">
        <f>AVERAGE('Cuadro Mando Integral Detallado'!AI199:AI204,'Cuadro Mando Integral Detallado'!AI245:AI248,'Cuadro Mando Integral Detallado'!AI302:AI306,'Cuadro Mando Integral Detallado'!AI363:AI364)</f>
        <v>0.74264190821256038</v>
      </c>
      <c r="AW12" s="389">
        <f>+AV12</f>
        <v>0.74264190821256038</v>
      </c>
      <c r="AX12" s="384">
        <f t="shared" si="35"/>
        <v>0.74264190821256038</v>
      </c>
      <c r="AY12" s="384">
        <f t="shared" si="36"/>
        <v>0.74264190821256038</v>
      </c>
      <c r="AZ12" s="384">
        <f t="shared" si="37"/>
        <v>0.74264190821256038</v>
      </c>
      <c r="BA12" s="385">
        <f t="shared" si="38"/>
        <v>0.74264190821256038</v>
      </c>
    </row>
    <row r="13" spans="1:53" ht="18" x14ac:dyDescent="0.25">
      <c r="A13" s="431" t="s">
        <v>125</v>
      </c>
      <c r="B13" s="428"/>
      <c r="C13" s="430">
        <f>AVERAGE('Cuadro Mando Integral Detallado'!L158:L161,'Cuadro Mando Integral Detallado'!L165:L170,'Cuadro Mando Integral Detallado'!L215:L220,'Cuadro Mando Integral Detallado'!L223:L237,'Cuadro Mando Integral Detallado'!L249)</f>
        <v>0.66072036893640718</v>
      </c>
      <c r="D13" s="389">
        <f t="shared" si="0"/>
        <v>0.66072036893640718</v>
      </c>
      <c r="E13" s="380">
        <f t="shared" si="1"/>
        <v>0.66072036893640718</v>
      </c>
      <c r="F13" s="380">
        <f t="shared" si="2"/>
        <v>0.66072036893640718</v>
      </c>
      <c r="G13" s="380">
        <f t="shared" si="3"/>
        <v>0.66072036893640718</v>
      </c>
      <c r="H13" s="381">
        <f t="shared" si="4"/>
        <v>0.66072036893640718</v>
      </c>
      <c r="I13" s="430">
        <f>AVERAGE('Cuadro Mando Integral Detallado'!O158:O161,'Cuadro Mando Integral Detallado'!O165:O170,'Cuadro Mando Integral Detallado'!O215:O220,'Cuadro Mando Integral Detallado'!O223:O237,'Cuadro Mando Integral Detallado'!O249)</f>
        <v>0.25659784115185075</v>
      </c>
      <c r="J13" s="383">
        <f t="shared" si="5"/>
        <v>0.25659784115185075</v>
      </c>
      <c r="K13" s="384">
        <f t="shared" si="6"/>
        <v>0.25659784115185075</v>
      </c>
      <c r="L13" s="384">
        <f t="shared" si="7"/>
        <v>0.25659784115185075</v>
      </c>
      <c r="M13" s="384">
        <f t="shared" si="8"/>
        <v>0.25659784115185075</v>
      </c>
      <c r="N13" s="385">
        <f t="shared" si="9"/>
        <v>0.25659784115185075</v>
      </c>
      <c r="O13" s="11"/>
      <c r="P13" s="430">
        <f>AVERAGE('Cuadro Mando Integral Detallado'!S158:S161,'Cuadro Mando Integral Detallado'!S165:S170,'Cuadro Mando Integral Detallado'!S215:S220,'Cuadro Mando Integral Detallado'!S223,S220:S232,'Cuadro Mando Integral Detallado'!S249)</f>
        <v>0.83073648530998312</v>
      </c>
      <c r="Q13" s="389">
        <f t="shared" si="10"/>
        <v>0.83073648530998312</v>
      </c>
      <c r="R13" s="380">
        <f t="shared" si="11"/>
        <v>0.83073648530998312</v>
      </c>
      <c r="S13" s="380">
        <f t="shared" si="12"/>
        <v>0.83073648530998312</v>
      </c>
      <c r="T13" s="380">
        <f t="shared" si="13"/>
        <v>0.83073648530998312</v>
      </c>
      <c r="U13" s="381">
        <f t="shared" si="14"/>
        <v>0.83073648530998312</v>
      </c>
      <c r="V13" s="430">
        <f>AVERAGE('Cuadro Mando Integral Detallado'!V158:V161,'Cuadro Mando Integral Detallado'!V165:V170,'Cuadro Mando Integral Detallado'!V215:V220,'Cuadro Mando Integral Detallado'!V223:V237,'Cuadro Mando Integral Detallado'!V249)</f>
        <v>0.39558811244069708</v>
      </c>
      <c r="W13" s="383">
        <f t="shared" si="15"/>
        <v>0.39558811244069708</v>
      </c>
      <c r="X13" s="384">
        <f t="shared" si="16"/>
        <v>0.39558811244069708</v>
      </c>
      <c r="Y13" s="384">
        <f t="shared" si="17"/>
        <v>0.39558811244069708</v>
      </c>
      <c r="Z13" s="384">
        <f t="shared" si="18"/>
        <v>0.39558811244069708</v>
      </c>
      <c r="AA13" s="385">
        <f t="shared" si="19"/>
        <v>0.39558811244069708</v>
      </c>
      <c r="AB13" s="416"/>
      <c r="AC13" s="430">
        <f>AVERAGE('Cuadro Mando Integral Detallado'!Z158:Z161,'Cuadro Mando Integral Detallado'!Z165:Z170,'Cuadro Mando Integral Detallado'!Z215:Z220,'Cuadro Mando Integral Detallado'!Z223:Z237,'Cuadro Mando Integral Detallado'!Z249)</f>
        <v>0.94496781805818586</v>
      </c>
      <c r="AD13" s="389">
        <f t="shared" si="20"/>
        <v>0.94496781805818586</v>
      </c>
      <c r="AE13" s="380">
        <f t="shared" si="21"/>
        <v>0.94496781805818586</v>
      </c>
      <c r="AF13" s="380">
        <f t="shared" si="22"/>
        <v>0.94496781805818586</v>
      </c>
      <c r="AG13" s="380">
        <f t="shared" si="23"/>
        <v>0.94496781805818586</v>
      </c>
      <c r="AH13" s="381">
        <f t="shared" si="24"/>
        <v>0.94496781805818586</v>
      </c>
      <c r="AI13" s="430">
        <f>AVERAGE('Cuadro Mando Integral Detallado'!AC158:AC161,'Cuadro Mando Integral Detallado'!AC165:AC170,'Cuadro Mando Integral Detallado'!AC215:AC220,'Cuadro Mando Integral Detallado'!AC223:AC237,'Cuadro Mando Integral Detallado'!AC249)</f>
        <v>0.55104745632540353</v>
      </c>
      <c r="AJ13" s="389">
        <f t="shared" si="39"/>
        <v>0.55104745632540353</v>
      </c>
      <c r="AK13" s="384">
        <f t="shared" si="40"/>
        <v>0.55104745632540353</v>
      </c>
      <c r="AL13" s="384">
        <f t="shared" si="41"/>
        <v>0.55104745632540353</v>
      </c>
      <c r="AM13" s="384">
        <f t="shared" si="42"/>
        <v>0.55104745632540353</v>
      </c>
      <c r="AN13" s="385">
        <f t="shared" si="43"/>
        <v>0.55104745632540353</v>
      </c>
      <c r="AO13" s="416"/>
      <c r="AP13" s="430">
        <f>AVERAGE('Cuadro Mando Integral Detallado'!AG158:AG161,'Cuadro Mando Integral Detallado'!AG165:AG170,'Cuadro Mando Integral Detallado'!AG215:AG220,'Cuadro Mando Integral Detallado'!AG223:AG237,'Cuadro Mando Integral Detallado'!AG249)</f>
        <v>0</v>
      </c>
      <c r="AQ13" s="389">
        <f t="shared" si="30"/>
        <v>0</v>
      </c>
      <c r="AR13" s="380">
        <f t="shared" si="31"/>
        <v>0</v>
      </c>
      <c r="AS13" s="380">
        <f t="shared" si="32"/>
        <v>0</v>
      </c>
      <c r="AT13" s="380">
        <f t="shared" si="33"/>
        <v>0</v>
      </c>
      <c r="AU13" s="381">
        <f t="shared" si="34"/>
        <v>0</v>
      </c>
      <c r="AV13" s="430" t="e">
        <f>AVERAGE('Cuadro Mando Integral Detallado'!AI158:AI161,'Cuadro Mando Integral Detallado'!AI165:AI170,'Cuadro Mando Integral Detallado'!AI215:AI220,'Cuadro Mando Integral Detallado'!AI223:AI237,'Cuadro Mando Integral Detallado'!AI249)</f>
        <v>#VALUE!</v>
      </c>
      <c r="AW13" s="389" t="e">
        <f t="shared" si="44"/>
        <v>#VALUE!</v>
      </c>
      <c r="AX13" s="384" t="e">
        <f t="shared" si="35"/>
        <v>#VALUE!</v>
      </c>
      <c r="AY13" s="384" t="e">
        <f t="shared" si="36"/>
        <v>#VALUE!</v>
      </c>
      <c r="AZ13" s="384" t="e">
        <f t="shared" si="37"/>
        <v>#VALUE!</v>
      </c>
      <c r="BA13" s="385" t="e">
        <f t="shared" si="38"/>
        <v>#VALUE!</v>
      </c>
    </row>
    <row r="14" spans="1:53" ht="18.75" thickBot="1" x14ac:dyDescent="0.3">
      <c r="A14" s="390" t="s">
        <v>3</v>
      </c>
      <c r="B14" s="432"/>
      <c r="C14" s="433">
        <f>AVERAGE('Cuadro Mando Integral Detallado'!L182,'Cuadro Mando Integral Detallado'!L250:L255,'Cuadro Mando Integral Detallado'!L362)</f>
        <v>0.8571428571428571</v>
      </c>
      <c r="D14" s="402">
        <f t="shared" si="0"/>
        <v>0.8571428571428571</v>
      </c>
      <c r="E14" s="393">
        <f t="shared" si="1"/>
        <v>0.8571428571428571</v>
      </c>
      <c r="F14" s="393">
        <f t="shared" si="2"/>
        <v>0.8571428571428571</v>
      </c>
      <c r="G14" s="393">
        <f t="shared" si="3"/>
        <v>0.8571428571428571</v>
      </c>
      <c r="H14" s="394">
        <f t="shared" si="4"/>
        <v>0.8571428571428571</v>
      </c>
      <c r="I14" s="433">
        <f>AVERAGE('Cuadro Mando Integral Detallado'!O182,'Cuadro Mando Integral Detallado'!O250:R255,'Cuadro Mando Integral Detallado'!O362)</f>
        <v>1.0015432098765433</v>
      </c>
      <c r="J14" s="396">
        <f t="shared" si="5"/>
        <v>1.0015432098765433</v>
      </c>
      <c r="K14" s="397">
        <f t="shared" si="6"/>
        <v>1.0015432098765433</v>
      </c>
      <c r="L14" s="397">
        <f t="shared" si="7"/>
        <v>1.0015432098765433</v>
      </c>
      <c r="M14" s="397">
        <f t="shared" si="8"/>
        <v>1.0015432098765433</v>
      </c>
      <c r="N14" s="398">
        <f t="shared" si="9"/>
        <v>1.0015432098765433</v>
      </c>
      <c r="O14" s="11"/>
      <c r="P14" s="433">
        <f>AVERAGE('Cuadro Mando Integral Detallado'!S182,'Cuadro Mando Integral Detallado'!S250:S255,'Cuadro Mando Integral Detallado'!S362)</f>
        <v>1</v>
      </c>
      <c r="Q14" s="402">
        <f t="shared" si="10"/>
        <v>1</v>
      </c>
      <c r="R14" s="393">
        <f t="shared" si="11"/>
        <v>1</v>
      </c>
      <c r="S14" s="393">
        <f t="shared" si="12"/>
        <v>1</v>
      </c>
      <c r="T14" s="393">
        <f t="shared" si="13"/>
        <v>1</v>
      </c>
      <c r="U14" s="394">
        <f t="shared" si="14"/>
        <v>1</v>
      </c>
      <c r="V14" s="433">
        <f>AVERAGE('Cuadro Mando Integral Detallado'!V182,'Cuadro Mando Integral Detallado'!V250:V255,'Cuadro Mando Integral Detallado'!V362)</f>
        <v>0.48381410256410251</v>
      </c>
      <c r="W14" s="396">
        <f t="shared" si="15"/>
        <v>0.48381410256410251</v>
      </c>
      <c r="X14" s="397">
        <f t="shared" si="16"/>
        <v>0.48381410256410251</v>
      </c>
      <c r="Y14" s="397">
        <f t="shared" si="17"/>
        <v>0.48381410256410251</v>
      </c>
      <c r="Z14" s="397">
        <f t="shared" si="18"/>
        <v>0.48381410256410251</v>
      </c>
      <c r="AA14" s="398">
        <f>+W14</f>
        <v>0.48381410256410251</v>
      </c>
      <c r="AB14" s="416"/>
      <c r="AC14" s="433">
        <f>AVERAGE('Cuadro Mando Integral Detallado'!Z182,'Cuadro Mando Integral Detallado'!Z250:Z255,'Cuadro Mando Integral Detallado'!Z362)</f>
        <v>1</v>
      </c>
      <c r="AD14" s="402">
        <f t="shared" si="20"/>
        <v>1</v>
      </c>
      <c r="AE14" s="393">
        <f t="shared" si="21"/>
        <v>1</v>
      </c>
      <c r="AF14" s="393">
        <f t="shared" si="22"/>
        <v>1</v>
      </c>
      <c r="AG14" s="393">
        <f t="shared" si="23"/>
        <v>1</v>
      </c>
      <c r="AH14" s="394">
        <f t="shared" si="24"/>
        <v>1</v>
      </c>
      <c r="AI14" s="433">
        <f>AVERAGE('Cuadro Mando Integral Detallado'!AC182,'Cuadro Mando Integral Detallado'!AC250:AC255,'Cuadro Mando Integral Detallado'!AC362)</f>
        <v>0.79658119658119664</v>
      </c>
      <c r="AJ14" s="402">
        <f t="shared" si="39"/>
        <v>0.79658119658119664</v>
      </c>
      <c r="AK14" s="397">
        <f t="shared" si="40"/>
        <v>0.79658119658119664</v>
      </c>
      <c r="AL14" s="397">
        <f t="shared" si="41"/>
        <v>0.79658119658119664</v>
      </c>
      <c r="AM14" s="397">
        <f t="shared" si="42"/>
        <v>0.79658119658119664</v>
      </c>
      <c r="AN14" s="398">
        <f t="shared" si="43"/>
        <v>0.79658119658119664</v>
      </c>
      <c r="AO14" s="416"/>
      <c r="AP14" s="433">
        <f>AVERAGE('Cuadro Mando Integral Detallado'!AG182,'Cuadro Mando Integral Detallado'!AG250:AG255,'Cuadro Mando Integral Detallado'!AG362)</f>
        <v>0</v>
      </c>
      <c r="AQ14" s="402">
        <f t="shared" si="30"/>
        <v>0</v>
      </c>
      <c r="AR14" s="393">
        <f t="shared" si="31"/>
        <v>0</v>
      </c>
      <c r="AS14" s="393">
        <f t="shared" si="32"/>
        <v>0</v>
      </c>
      <c r="AT14" s="393">
        <f t="shared" si="33"/>
        <v>0</v>
      </c>
      <c r="AU14" s="394">
        <f t="shared" si="34"/>
        <v>0</v>
      </c>
      <c r="AV14" s="433">
        <f>AVERAGE('Cuadro Mando Integral Detallado'!AI182,'Cuadro Mando Integral Detallado'!AI250:AI255,'Cuadro Mando Integral Detallado'!AI362)</f>
        <v>0.79658119658119664</v>
      </c>
      <c r="AW14" s="402">
        <f t="shared" si="44"/>
        <v>0.79658119658119664</v>
      </c>
      <c r="AX14" s="397">
        <f>+AV14</f>
        <v>0.79658119658119664</v>
      </c>
      <c r="AY14" s="397">
        <f t="shared" si="36"/>
        <v>0.79658119658119664</v>
      </c>
      <c r="AZ14" s="397">
        <f t="shared" si="37"/>
        <v>0.79658119658119664</v>
      </c>
      <c r="BA14" s="398">
        <f t="shared" si="38"/>
        <v>0.79658119658119664</v>
      </c>
    </row>
    <row r="15" spans="1:53" x14ac:dyDescent="0.25">
      <c r="A15" s="13"/>
    </row>
  </sheetData>
  <sheetProtection algorithmName="SHA-512" hashValue="9EaYPueQVDALaVXA5RsUwLitcVfFXjvRsrBMrFc2ZED8hVQtzsQG5v2lpz1b/zK+m6UZH7hpeJRd5j/UPPjHLQ==" saltValue="JapC2T3bdMrSb2+XLmoGXw=="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631" priority="312" stopIfTrue="1" operator="between">
      <formula>0</formula>
      <formula>0.5</formula>
    </cfRule>
  </conditionalFormatting>
  <conditionalFormatting sqref="R6">
    <cfRule type="cellIs" dxfId="630" priority="311" operator="between">
      <formula>0.51</formula>
      <formula>0.75</formula>
    </cfRule>
  </conditionalFormatting>
  <conditionalFormatting sqref="S6">
    <cfRule type="cellIs" dxfId="629" priority="310" operator="between">
      <formula>0.76</formula>
      <formula>0.95</formula>
    </cfRule>
  </conditionalFormatting>
  <conditionalFormatting sqref="T6">
    <cfRule type="cellIs" dxfId="628" priority="309" operator="between">
      <formula>0.95</formula>
      <formula>1</formula>
    </cfRule>
  </conditionalFormatting>
  <conditionalFormatting sqref="U6">
    <cfRule type="cellIs" dxfId="627" priority="308" operator="greaterThan">
      <formula>1</formula>
    </cfRule>
  </conditionalFormatting>
  <conditionalFormatting sqref="Q7">
    <cfRule type="cellIs" dxfId="626" priority="307" stopIfTrue="1" operator="between">
      <formula>0</formula>
      <formula>0.5</formula>
    </cfRule>
  </conditionalFormatting>
  <conditionalFormatting sqref="R7">
    <cfRule type="cellIs" dxfId="625" priority="306" operator="between">
      <formula>0.51</formula>
      <formula>0.75</formula>
    </cfRule>
  </conditionalFormatting>
  <conditionalFormatting sqref="S7">
    <cfRule type="cellIs" dxfId="624" priority="305" operator="between">
      <formula>0.76</formula>
      <formula>0.95</formula>
    </cfRule>
  </conditionalFormatting>
  <conditionalFormatting sqref="T7">
    <cfRule type="cellIs" dxfId="623" priority="304" operator="between">
      <formula>0.95</formula>
      <formula>1</formula>
    </cfRule>
  </conditionalFormatting>
  <conditionalFormatting sqref="U7">
    <cfRule type="cellIs" dxfId="622" priority="303" operator="greaterThan">
      <formula>1</formula>
    </cfRule>
  </conditionalFormatting>
  <conditionalFormatting sqref="Q8">
    <cfRule type="cellIs" dxfId="621" priority="302" stopIfTrue="1" operator="between">
      <formula>0</formula>
      <formula>0.5</formula>
    </cfRule>
  </conditionalFormatting>
  <conditionalFormatting sqref="R8">
    <cfRule type="cellIs" dxfId="620" priority="301" operator="between">
      <formula>0.51</formula>
      <formula>0.75</formula>
    </cfRule>
  </conditionalFormatting>
  <conditionalFormatting sqref="S8">
    <cfRule type="cellIs" dxfId="619" priority="300" operator="between">
      <formula>0.76</formula>
      <formula>0.95</formula>
    </cfRule>
  </conditionalFormatting>
  <conditionalFormatting sqref="T8">
    <cfRule type="cellIs" dxfId="618" priority="299" operator="between">
      <formula>0.95</formula>
      <formula>1</formula>
    </cfRule>
  </conditionalFormatting>
  <conditionalFormatting sqref="U8">
    <cfRule type="cellIs" dxfId="617" priority="298" operator="greaterThan">
      <formula>1</formula>
    </cfRule>
  </conditionalFormatting>
  <conditionalFormatting sqref="Q9">
    <cfRule type="cellIs" dxfId="616" priority="297" stopIfTrue="1" operator="between">
      <formula>0</formula>
      <formula>0.5</formula>
    </cfRule>
  </conditionalFormatting>
  <conditionalFormatting sqref="R9">
    <cfRule type="cellIs" dxfId="615" priority="296" operator="between">
      <formula>0.51</formula>
      <formula>0.75</formula>
    </cfRule>
  </conditionalFormatting>
  <conditionalFormatting sqref="S9">
    <cfRule type="cellIs" dxfId="614" priority="295" operator="between">
      <formula>0.76</formula>
      <formula>0.95</formula>
    </cfRule>
  </conditionalFormatting>
  <conditionalFormatting sqref="T9">
    <cfRule type="cellIs" dxfId="613" priority="294" operator="between">
      <formula>0.95</formula>
      <formula>1</formula>
    </cfRule>
  </conditionalFormatting>
  <conditionalFormatting sqref="U9">
    <cfRule type="cellIs" dxfId="612" priority="293" operator="greaterThan">
      <formula>1</formula>
    </cfRule>
  </conditionalFormatting>
  <conditionalFormatting sqref="Q10">
    <cfRule type="cellIs" dxfId="611" priority="292" stopIfTrue="1" operator="between">
      <formula>0</formula>
      <formula>0.5</formula>
    </cfRule>
  </conditionalFormatting>
  <conditionalFormatting sqref="R10">
    <cfRule type="cellIs" dxfId="610" priority="291" operator="between">
      <formula>0.51</formula>
      <formula>0.75</formula>
    </cfRule>
  </conditionalFormatting>
  <conditionalFormatting sqref="S10">
    <cfRule type="cellIs" dxfId="609" priority="290" operator="between">
      <formula>0.76</formula>
      <formula>0.95</formula>
    </cfRule>
  </conditionalFormatting>
  <conditionalFormatting sqref="T10">
    <cfRule type="cellIs" dxfId="608" priority="289" operator="between">
      <formula>0.95</formula>
      <formula>1</formula>
    </cfRule>
  </conditionalFormatting>
  <conditionalFormatting sqref="U10">
    <cfRule type="cellIs" dxfId="607" priority="288" operator="greaterThan">
      <formula>1</formula>
    </cfRule>
  </conditionalFormatting>
  <conditionalFormatting sqref="Q11">
    <cfRule type="cellIs" dxfId="606" priority="287" stopIfTrue="1" operator="between">
      <formula>0</formula>
      <formula>0.5</formula>
    </cfRule>
  </conditionalFormatting>
  <conditionalFormatting sqref="R11">
    <cfRule type="cellIs" dxfId="605" priority="286" operator="between">
      <formula>0.51</formula>
      <formula>0.75</formula>
    </cfRule>
  </conditionalFormatting>
  <conditionalFormatting sqref="S11">
    <cfRule type="cellIs" dxfId="604" priority="285" operator="between">
      <formula>0.76</formula>
      <formula>0.95</formula>
    </cfRule>
  </conditionalFormatting>
  <conditionalFormatting sqref="T11">
    <cfRule type="cellIs" dxfId="603" priority="284" operator="between">
      <formula>0.95</formula>
      <formula>1</formula>
    </cfRule>
  </conditionalFormatting>
  <conditionalFormatting sqref="U11">
    <cfRule type="cellIs" dxfId="602" priority="283" operator="greaterThan">
      <formula>1</formula>
    </cfRule>
  </conditionalFormatting>
  <conditionalFormatting sqref="Q12">
    <cfRule type="cellIs" dxfId="601" priority="282" stopIfTrue="1" operator="between">
      <formula>0</formula>
      <formula>0.5</formula>
    </cfRule>
  </conditionalFormatting>
  <conditionalFormatting sqref="R12">
    <cfRule type="cellIs" dxfId="600" priority="281" operator="between">
      <formula>0.51</formula>
      <formula>0.75</formula>
    </cfRule>
  </conditionalFormatting>
  <conditionalFormatting sqref="S12">
    <cfRule type="cellIs" dxfId="599" priority="280" operator="between">
      <formula>0.76</formula>
      <formula>0.95</formula>
    </cfRule>
  </conditionalFormatting>
  <conditionalFormatting sqref="T12">
    <cfRule type="cellIs" dxfId="598" priority="279" operator="between">
      <formula>0.95</formula>
      <formula>1</formula>
    </cfRule>
  </conditionalFormatting>
  <conditionalFormatting sqref="U12">
    <cfRule type="cellIs" dxfId="597" priority="278" operator="greaterThan">
      <formula>1</formula>
    </cfRule>
  </conditionalFormatting>
  <conditionalFormatting sqref="Q13">
    <cfRule type="cellIs" dxfId="596" priority="277" stopIfTrue="1" operator="between">
      <formula>0</formula>
      <formula>0.5</formula>
    </cfRule>
  </conditionalFormatting>
  <conditionalFormatting sqref="R13">
    <cfRule type="cellIs" dxfId="595" priority="276" operator="between">
      <formula>0.51</formula>
      <formula>0.75</formula>
    </cfRule>
  </conditionalFormatting>
  <conditionalFormatting sqref="S13">
    <cfRule type="cellIs" dxfId="594" priority="275" operator="between">
      <formula>0.76</formula>
      <formula>0.95</formula>
    </cfRule>
  </conditionalFormatting>
  <conditionalFormatting sqref="T13">
    <cfRule type="cellIs" dxfId="593" priority="274" operator="between">
      <formula>0.95</formula>
      <formula>1</formula>
    </cfRule>
  </conditionalFormatting>
  <conditionalFormatting sqref="U13">
    <cfRule type="cellIs" dxfId="592" priority="273" operator="greaterThan">
      <formula>1</formula>
    </cfRule>
  </conditionalFormatting>
  <conditionalFormatting sqref="Q14">
    <cfRule type="cellIs" dxfId="591" priority="272" stopIfTrue="1" operator="between">
      <formula>0</formula>
      <formula>0.5</formula>
    </cfRule>
  </conditionalFormatting>
  <conditionalFormatting sqref="R14">
    <cfRule type="cellIs" dxfId="590" priority="271" operator="between">
      <formula>0.51</formula>
      <formula>0.75</formula>
    </cfRule>
  </conditionalFormatting>
  <conditionalFormatting sqref="S14">
    <cfRule type="cellIs" dxfId="589" priority="270" operator="between">
      <formula>0.76</formula>
      <formula>0.95</formula>
    </cfRule>
  </conditionalFormatting>
  <conditionalFormatting sqref="T14">
    <cfRule type="cellIs" dxfId="588" priority="269" operator="between">
      <formula>0.95</formula>
      <formula>1</formula>
    </cfRule>
  </conditionalFormatting>
  <conditionalFormatting sqref="U14">
    <cfRule type="cellIs" dxfId="587" priority="268" operator="greaterThan">
      <formula>1</formula>
    </cfRule>
  </conditionalFormatting>
  <conditionalFormatting sqref="W7">
    <cfRule type="cellIs" dxfId="586" priority="267" stopIfTrue="1" operator="between">
      <formula>0</formula>
      <formula>0.255</formula>
    </cfRule>
  </conditionalFormatting>
  <conditionalFormatting sqref="X7">
    <cfRule type="cellIs" dxfId="585" priority="266" operator="between">
      <formula>0.2551</formula>
      <formula>0.375</formula>
    </cfRule>
  </conditionalFormatting>
  <conditionalFormatting sqref="Y7">
    <cfRule type="cellIs" dxfId="584" priority="265" operator="between">
      <formula>0.3751</formula>
      <formula>0.475</formula>
    </cfRule>
  </conditionalFormatting>
  <conditionalFormatting sqref="Z7">
    <cfRule type="cellIs" dxfId="583" priority="264" operator="between">
      <formula>0.48</formula>
      <formula>0.51</formula>
    </cfRule>
  </conditionalFormatting>
  <conditionalFormatting sqref="AA7">
    <cfRule type="cellIs" dxfId="582" priority="263" operator="greaterThan">
      <formula>0.505</formula>
    </cfRule>
  </conditionalFormatting>
  <conditionalFormatting sqref="W9">
    <cfRule type="cellIs" dxfId="581" priority="262" stopIfTrue="1" operator="between">
      <formula>0</formula>
      <formula>0.255</formula>
    </cfRule>
  </conditionalFormatting>
  <conditionalFormatting sqref="X9">
    <cfRule type="cellIs" dxfId="580" priority="261" operator="between">
      <formula>0.2551</formula>
      <formula>0.375</formula>
    </cfRule>
  </conditionalFormatting>
  <conditionalFormatting sqref="Y9">
    <cfRule type="cellIs" dxfId="579" priority="260" operator="between">
      <formula>0.38</formula>
      <formula>0.475</formula>
    </cfRule>
  </conditionalFormatting>
  <conditionalFormatting sqref="Z9">
    <cfRule type="cellIs" dxfId="578" priority="259" operator="between">
      <formula>0.48</formula>
      <formula>0.51</formula>
    </cfRule>
  </conditionalFormatting>
  <conditionalFormatting sqref="AA9">
    <cfRule type="cellIs" dxfId="577" priority="258" operator="greaterThan">
      <formula>0.505</formula>
    </cfRule>
  </conditionalFormatting>
  <conditionalFormatting sqref="W10">
    <cfRule type="cellIs" dxfId="576" priority="257" stopIfTrue="1" operator="between">
      <formula>0</formula>
      <formula>0.255</formula>
    </cfRule>
  </conditionalFormatting>
  <conditionalFormatting sqref="X10">
    <cfRule type="cellIs" dxfId="575" priority="256" operator="between">
      <formula>0.2551</formula>
      <formula>0.375</formula>
    </cfRule>
  </conditionalFormatting>
  <conditionalFormatting sqref="Y10">
    <cfRule type="cellIs" dxfId="574" priority="255" operator="between">
      <formula>0.38</formula>
      <formula>0.475</formula>
    </cfRule>
  </conditionalFormatting>
  <conditionalFormatting sqref="Z10">
    <cfRule type="cellIs" dxfId="573" priority="254" operator="between">
      <formula>0.48</formula>
      <formula>0.51</formula>
    </cfRule>
  </conditionalFormatting>
  <conditionalFormatting sqref="AA10">
    <cfRule type="cellIs" dxfId="572" priority="253" operator="greaterThan">
      <formula>0.505</formula>
    </cfRule>
  </conditionalFormatting>
  <conditionalFormatting sqref="W11">
    <cfRule type="cellIs" dxfId="571" priority="252" stopIfTrue="1" operator="between">
      <formula>0</formula>
      <formula>0.255</formula>
    </cfRule>
  </conditionalFormatting>
  <conditionalFormatting sqref="X11">
    <cfRule type="cellIs" dxfId="570" priority="251" operator="between">
      <formula>0.2551</formula>
      <formula>0.375</formula>
    </cfRule>
  </conditionalFormatting>
  <conditionalFormatting sqref="Y11">
    <cfRule type="cellIs" dxfId="569" priority="250" operator="between">
      <formula>0.38</formula>
      <formula>0.475</formula>
    </cfRule>
  </conditionalFormatting>
  <conditionalFormatting sqref="Z11">
    <cfRule type="cellIs" dxfId="568" priority="249" operator="between">
      <formula>0.48</formula>
      <formula>0.51</formula>
    </cfRule>
  </conditionalFormatting>
  <conditionalFormatting sqref="AA11">
    <cfRule type="cellIs" dxfId="567" priority="248" operator="greaterThan">
      <formula>0.505</formula>
    </cfRule>
  </conditionalFormatting>
  <conditionalFormatting sqref="W12">
    <cfRule type="cellIs" dxfId="566" priority="247" stopIfTrue="1" operator="between">
      <formula>0</formula>
      <formula>0.255</formula>
    </cfRule>
  </conditionalFormatting>
  <conditionalFormatting sqref="X12">
    <cfRule type="cellIs" dxfId="565" priority="246" operator="between">
      <formula>0.2551</formula>
      <formula>0.375</formula>
    </cfRule>
  </conditionalFormatting>
  <conditionalFormatting sqref="Y12">
    <cfRule type="cellIs" dxfId="564" priority="245" operator="between">
      <formula>0.38</formula>
      <formula>0.475</formula>
    </cfRule>
  </conditionalFormatting>
  <conditionalFormatting sqref="Z12">
    <cfRule type="cellIs" dxfId="563" priority="244" operator="between">
      <formula>0.48</formula>
      <formula>0.51</formula>
    </cfRule>
  </conditionalFormatting>
  <conditionalFormatting sqref="AA12">
    <cfRule type="cellIs" dxfId="562" priority="243" operator="greaterThan">
      <formula>0.505</formula>
    </cfRule>
  </conditionalFormatting>
  <conditionalFormatting sqref="W13">
    <cfRule type="cellIs" dxfId="561" priority="242" stopIfTrue="1" operator="between">
      <formula>0</formula>
      <formula>0.255</formula>
    </cfRule>
  </conditionalFormatting>
  <conditionalFormatting sqref="X13">
    <cfRule type="cellIs" dxfId="560" priority="241" operator="between">
      <formula>0.2551</formula>
      <formula>0.375</formula>
    </cfRule>
  </conditionalFormatting>
  <conditionalFormatting sqref="Y13">
    <cfRule type="cellIs" dxfId="559" priority="240" operator="between">
      <formula>0.38</formula>
      <formula>0.475</formula>
    </cfRule>
  </conditionalFormatting>
  <conditionalFormatting sqref="Z13">
    <cfRule type="cellIs" dxfId="558" priority="239" operator="between">
      <formula>0.48</formula>
      <formula>0.51</formula>
    </cfRule>
  </conditionalFormatting>
  <conditionalFormatting sqref="AA13">
    <cfRule type="cellIs" dxfId="557" priority="238" operator="greaterThan">
      <formula>0.505</formula>
    </cfRule>
  </conditionalFormatting>
  <conditionalFormatting sqref="W14">
    <cfRule type="cellIs" dxfId="556" priority="237" stopIfTrue="1" operator="between">
      <formula>0</formula>
      <formula>0.255</formula>
    </cfRule>
  </conditionalFormatting>
  <conditionalFormatting sqref="X14">
    <cfRule type="cellIs" dxfId="555" priority="236" operator="between">
      <formula>0.2551</formula>
      <formula>0.375</formula>
    </cfRule>
  </conditionalFormatting>
  <conditionalFormatting sqref="Y14">
    <cfRule type="cellIs" dxfId="554" priority="235" operator="between">
      <formula>0.38</formula>
      <formula>0.475</formula>
    </cfRule>
  </conditionalFormatting>
  <conditionalFormatting sqref="Z14">
    <cfRule type="cellIs" dxfId="553" priority="234" operator="between">
      <formula>0.48</formula>
      <formula>0.51</formula>
    </cfRule>
  </conditionalFormatting>
  <conditionalFormatting sqref="AA14">
    <cfRule type="cellIs" dxfId="552" priority="233" operator="greaterThan">
      <formula>0.505</formula>
    </cfRule>
  </conditionalFormatting>
  <conditionalFormatting sqref="AD6">
    <cfRule type="cellIs" dxfId="551" priority="232" stopIfTrue="1" operator="between">
      <formula>0</formula>
      <formula>0.5</formula>
    </cfRule>
  </conditionalFormatting>
  <conditionalFormatting sqref="AE6">
    <cfRule type="cellIs" dxfId="550" priority="231" operator="between">
      <formula>0.51</formula>
      <formula>0.75</formula>
    </cfRule>
  </conditionalFormatting>
  <conditionalFormatting sqref="AF6">
    <cfRule type="cellIs" dxfId="549" priority="230" operator="between">
      <formula>0.76</formula>
      <formula>0.95</formula>
    </cfRule>
  </conditionalFormatting>
  <conditionalFormatting sqref="AG6">
    <cfRule type="cellIs" dxfId="548" priority="229" operator="between">
      <formula>0.95</formula>
      <formula>1</formula>
    </cfRule>
  </conditionalFormatting>
  <conditionalFormatting sqref="AH6">
    <cfRule type="cellIs" dxfId="547" priority="228" operator="greaterThan">
      <formula>1</formula>
    </cfRule>
  </conditionalFormatting>
  <conditionalFormatting sqref="AD7">
    <cfRule type="cellIs" dxfId="546" priority="227" stopIfTrue="1" operator="between">
      <formula>0</formula>
      <formula>0.5</formula>
    </cfRule>
  </conditionalFormatting>
  <conditionalFormatting sqref="AE7">
    <cfRule type="cellIs" dxfId="545" priority="226" operator="between">
      <formula>0.51</formula>
      <formula>0.75</formula>
    </cfRule>
  </conditionalFormatting>
  <conditionalFormatting sqref="AF7">
    <cfRule type="cellIs" dxfId="544" priority="225" operator="between">
      <formula>0.76</formula>
      <formula>0.95</formula>
    </cfRule>
  </conditionalFormatting>
  <conditionalFormatting sqref="AG7">
    <cfRule type="cellIs" dxfId="543" priority="224" operator="between">
      <formula>0.95</formula>
      <formula>1</formula>
    </cfRule>
  </conditionalFormatting>
  <conditionalFormatting sqref="AH7">
    <cfRule type="cellIs" dxfId="542" priority="223" operator="greaterThan">
      <formula>1</formula>
    </cfRule>
  </conditionalFormatting>
  <conditionalFormatting sqref="AD8">
    <cfRule type="cellIs" dxfId="541" priority="222" stopIfTrue="1" operator="between">
      <formula>0</formula>
      <formula>0.5</formula>
    </cfRule>
  </conditionalFormatting>
  <conditionalFormatting sqref="AE8">
    <cfRule type="cellIs" dxfId="540" priority="221" operator="between">
      <formula>0.51</formula>
      <formula>0.75</formula>
    </cfRule>
  </conditionalFormatting>
  <conditionalFormatting sqref="AF8">
    <cfRule type="cellIs" dxfId="539" priority="220" operator="between">
      <formula>0.76</formula>
      <formula>0.95</formula>
    </cfRule>
  </conditionalFormatting>
  <conditionalFormatting sqref="AG8">
    <cfRule type="cellIs" dxfId="538" priority="219" operator="between">
      <formula>0.95</formula>
      <formula>1</formula>
    </cfRule>
  </conditionalFormatting>
  <conditionalFormatting sqref="AH8">
    <cfRule type="cellIs" dxfId="537" priority="218" operator="greaterThan">
      <formula>1</formula>
    </cfRule>
  </conditionalFormatting>
  <conditionalFormatting sqref="AD9">
    <cfRule type="cellIs" dxfId="536" priority="217" stopIfTrue="1" operator="between">
      <formula>0</formula>
      <formula>0.5</formula>
    </cfRule>
  </conditionalFormatting>
  <conditionalFormatting sqref="AE9">
    <cfRule type="cellIs" dxfId="535" priority="216" operator="between">
      <formula>0.51</formula>
      <formula>0.75</formula>
    </cfRule>
  </conditionalFormatting>
  <conditionalFormatting sqref="AF9">
    <cfRule type="cellIs" dxfId="534" priority="215" operator="between">
      <formula>0.76</formula>
      <formula>0.95</formula>
    </cfRule>
  </conditionalFormatting>
  <conditionalFormatting sqref="AG9">
    <cfRule type="cellIs" dxfId="533" priority="214" operator="between">
      <formula>0.95</formula>
      <formula>1</formula>
    </cfRule>
  </conditionalFormatting>
  <conditionalFormatting sqref="AH9">
    <cfRule type="cellIs" dxfId="532" priority="213" operator="greaterThan">
      <formula>1</formula>
    </cfRule>
  </conditionalFormatting>
  <conditionalFormatting sqref="AD10">
    <cfRule type="cellIs" dxfId="531" priority="212" stopIfTrue="1" operator="between">
      <formula>0</formula>
      <formula>0.5</formula>
    </cfRule>
  </conditionalFormatting>
  <conditionalFormatting sqref="AE10">
    <cfRule type="cellIs" dxfId="530" priority="211" operator="between">
      <formula>0.51</formula>
      <formula>0.75</formula>
    </cfRule>
  </conditionalFormatting>
  <conditionalFormatting sqref="AF10">
    <cfRule type="cellIs" dxfId="529" priority="210" operator="between">
      <formula>0.76</formula>
      <formula>0.95</formula>
    </cfRule>
  </conditionalFormatting>
  <conditionalFormatting sqref="AG10">
    <cfRule type="cellIs" dxfId="528" priority="209" operator="between">
      <formula>0.95</formula>
      <formula>1</formula>
    </cfRule>
  </conditionalFormatting>
  <conditionalFormatting sqref="AH10">
    <cfRule type="cellIs" dxfId="527" priority="208" operator="greaterThan">
      <formula>1</formula>
    </cfRule>
  </conditionalFormatting>
  <conditionalFormatting sqref="AD11">
    <cfRule type="cellIs" dxfId="526" priority="207" stopIfTrue="1" operator="between">
      <formula>0</formula>
      <formula>0.5</formula>
    </cfRule>
  </conditionalFormatting>
  <conditionalFormatting sqref="AE11">
    <cfRule type="cellIs" dxfId="525" priority="206" operator="between">
      <formula>0.51</formula>
      <formula>0.75</formula>
    </cfRule>
  </conditionalFormatting>
  <conditionalFormatting sqref="AF11">
    <cfRule type="cellIs" dxfId="524" priority="205" operator="between">
      <formula>0.76</formula>
      <formula>0.95</formula>
    </cfRule>
  </conditionalFormatting>
  <conditionalFormatting sqref="AG11">
    <cfRule type="cellIs" dxfId="523" priority="204" operator="between">
      <formula>0.95</formula>
      <formula>1</formula>
    </cfRule>
  </conditionalFormatting>
  <conditionalFormatting sqref="AH11">
    <cfRule type="cellIs" dxfId="522" priority="203" operator="greaterThan">
      <formula>1</formula>
    </cfRule>
  </conditionalFormatting>
  <conditionalFormatting sqref="AD12">
    <cfRule type="cellIs" dxfId="521" priority="202" stopIfTrue="1" operator="between">
      <formula>0</formula>
      <formula>0.5</formula>
    </cfRule>
  </conditionalFormatting>
  <conditionalFormatting sqref="AE12">
    <cfRule type="cellIs" dxfId="520" priority="201" operator="between">
      <formula>0.51</formula>
      <formula>0.75</formula>
    </cfRule>
  </conditionalFormatting>
  <conditionalFormatting sqref="AF12">
    <cfRule type="cellIs" dxfId="519" priority="200" operator="between">
      <formula>0.76</formula>
      <formula>0.95</formula>
    </cfRule>
  </conditionalFormatting>
  <conditionalFormatting sqref="AG12">
    <cfRule type="cellIs" dxfId="518" priority="199" operator="between">
      <formula>0.95</formula>
      <formula>1</formula>
    </cfRule>
  </conditionalFormatting>
  <conditionalFormatting sqref="AH12">
    <cfRule type="cellIs" dxfId="517" priority="198" operator="greaterThan">
      <formula>1</formula>
    </cfRule>
  </conditionalFormatting>
  <conditionalFormatting sqref="AD13">
    <cfRule type="cellIs" dxfId="516" priority="197" stopIfTrue="1" operator="between">
      <formula>0</formula>
      <formula>0.5</formula>
    </cfRule>
  </conditionalFormatting>
  <conditionalFormatting sqref="AE13">
    <cfRule type="cellIs" dxfId="515" priority="196" operator="between">
      <formula>0.51</formula>
      <formula>0.75</formula>
    </cfRule>
  </conditionalFormatting>
  <conditionalFormatting sqref="AF13">
    <cfRule type="cellIs" dxfId="514" priority="195" operator="between">
      <formula>0.76</formula>
      <formula>0.95</formula>
    </cfRule>
  </conditionalFormatting>
  <conditionalFormatting sqref="AG13">
    <cfRule type="cellIs" dxfId="513" priority="194" operator="between">
      <formula>0.95</formula>
      <formula>1</formula>
    </cfRule>
  </conditionalFormatting>
  <conditionalFormatting sqref="AH13">
    <cfRule type="cellIs" dxfId="512" priority="193" operator="greaterThan">
      <formula>1</formula>
    </cfRule>
  </conditionalFormatting>
  <conditionalFormatting sqref="AD14">
    <cfRule type="cellIs" dxfId="511" priority="192" stopIfTrue="1" operator="between">
      <formula>0</formula>
      <formula>0.5</formula>
    </cfRule>
  </conditionalFormatting>
  <conditionalFormatting sqref="AE14">
    <cfRule type="cellIs" dxfId="510" priority="191" operator="between">
      <formula>0.51</formula>
      <formula>0.75</formula>
    </cfRule>
  </conditionalFormatting>
  <conditionalFormatting sqref="AF14">
    <cfRule type="cellIs" dxfId="509" priority="190" operator="between">
      <formula>0.76</formula>
      <formula>0.95</formula>
    </cfRule>
  </conditionalFormatting>
  <conditionalFormatting sqref="AG14">
    <cfRule type="cellIs" dxfId="508" priority="189" operator="between">
      <formula>0.95</formula>
      <formula>1</formula>
    </cfRule>
  </conditionalFormatting>
  <conditionalFormatting sqref="AH14">
    <cfRule type="cellIs" dxfId="507" priority="188" operator="greaterThan">
      <formula>1</formula>
    </cfRule>
  </conditionalFormatting>
  <conditionalFormatting sqref="AJ7">
    <cfRule type="cellIs" dxfId="506" priority="182" stopIfTrue="1" operator="between">
      <formula>0</formula>
      <formula>0.375</formula>
    </cfRule>
  </conditionalFormatting>
  <conditionalFormatting sqref="AK7">
    <cfRule type="cellIs" dxfId="505" priority="181" operator="between">
      <formula>0.3751</formula>
      <formula>0.5625</formula>
    </cfRule>
  </conditionalFormatting>
  <conditionalFormatting sqref="AL7">
    <cfRule type="cellIs" dxfId="504" priority="180" operator="between">
      <formula>0.563</formula>
      <formula>0.7125</formula>
    </cfRule>
  </conditionalFormatting>
  <conditionalFormatting sqref="AM7">
    <cfRule type="cellIs" dxfId="503" priority="179" operator="between">
      <formula>0.713</formula>
      <formula>0.75</formula>
    </cfRule>
  </conditionalFormatting>
  <conditionalFormatting sqref="AN7">
    <cfRule type="cellIs" dxfId="502" priority="178" operator="greaterThan">
      <formula>0.755</formula>
    </cfRule>
  </conditionalFormatting>
  <conditionalFormatting sqref="AJ8">
    <cfRule type="cellIs" dxfId="501" priority="177" stopIfTrue="1" operator="between">
      <formula>0</formula>
      <formula>0.375</formula>
    </cfRule>
  </conditionalFormatting>
  <conditionalFormatting sqref="AK8">
    <cfRule type="cellIs" dxfId="500" priority="176" operator="between">
      <formula>0.3751</formula>
      <formula>0.5625</formula>
    </cfRule>
  </conditionalFormatting>
  <conditionalFormatting sqref="AL8">
    <cfRule type="cellIs" dxfId="499" priority="175" operator="between">
      <formula>0.563</formula>
      <formula>0.7125</formula>
    </cfRule>
  </conditionalFormatting>
  <conditionalFormatting sqref="AM8">
    <cfRule type="cellIs" dxfId="498" priority="174" operator="between">
      <formula>0.713</formula>
      <formula>0.75</formula>
    </cfRule>
  </conditionalFormatting>
  <conditionalFormatting sqref="AN8">
    <cfRule type="cellIs" dxfId="497" priority="173" operator="greaterThan">
      <formula>0.755</formula>
    </cfRule>
  </conditionalFormatting>
  <conditionalFormatting sqref="AJ9">
    <cfRule type="cellIs" dxfId="496" priority="172" stopIfTrue="1" operator="between">
      <formula>0</formula>
      <formula>0.375</formula>
    </cfRule>
  </conditionalFormatting>
  <conditionalFormatting sqref="AK9">
    <cfRule type="cellIs" dxfId="495" priority="171" operator="between">
      <formula>0.3751</formula>
      <formula>0.5625</formula>
    </cfRule>
  </conditionalFormatting>
  <conditionalFormatting sqref="AL9">
    <cfRule type="cellIs" dxfId="494" priority="170" operator="between">
      <formula>0.563</formula>
      <formula>0.7125</formula>
    </cfRule>
  </conditionalFormatting>
  <conditionalFormatting sqref="AM9">
    <cfRule type="cellIs" dxfId="493" priority="169" operator="between">
      <formula>0.713</formula>
      <formula>0.75</formula>
    </cfRule>
  </conditionalFormatting>
  <conditionalFormatting sqref="AN9">
    <cfRule type="cellIs" dxfId="492" priority="168" operator="greaterThan">
      <formula>0.755</formula>
    </cfRule>
  </conditionalFormatting>
  <conditionalFormatting sqref="AJ10">
    <cfRule type="cellIs" dxfId="491" priority="167" stopIfTrue="1" operator="between">
      <formula>0</formula>
      <formula>0.375</formula>
    </cfRule>
  </conditionalFormatting>
  <conditionalFormatting sqref="AK10">
    <cfRule type="cellIs" dxfId="490" priority="166" operator="between">
      <formula>0.3751</formula>
      <formula>0.5625</formula>
    </cfRule>
  </conditionalFormatting>
  <conditionalFormatting sqref="AL10">
    <cfRule type="cellIs" dxfId="489" priority="165" operator="between">
      <formula>0.563</formula>
      <formula>0.7125</formula>
    </cfRule>
  </conditionalFormatting>
  <conditionalFormatting sqref="AM10">
    <cfRule type="cellIs" dxfId="488" priority="164" operator="between">
      <formula>0.71251</formula>
      <formula>0.75</formula>
    </cfRule>
  </conditionalFormatting>
  <conditionalFormatting sqref="AN10">
    <cfRule type="cellIs" dxfId="487" priority="163" operator="greaterThan">
      <formula>0.755</formula>
    </cfRule>
  </conditionalFormatting>
  <conditionalFormatting sqref="AJ11">
    <cfRule type="cellIs" dxfId="486" priority="162" stopIfTrue="1" operator="between">
      <formula>0</formula>
      <formula>0.375</formula>
    </cfRule>
  </conditionalFormatting>
  <conditionalFormatting sqref="AK11">
    <cfRule type="cellIs" dxfId="485" priority="161" operator="between">
      <formula>0.3751</formula>
      <formula>0.5625</formula>
    </cfRule>
  </conditionalFormatting>
  <conditionalFormatting sqref="AL11">
    <cfRule type="cellIs" dxfId="484" priority="160" operator="between">
      <formula>0.563</formula>
      <formula>0.7125</formula>
    </cfRule>
  </conditionalFormatting>
  <conditionalFormatting sqref="AM11">
    <cfRule type="cellIs" dxfId="483" priority="159" operator="between">
      <formula>0.713</formula>
      <formula>0.75</formula>
    </cfRule>
  </conditionalFormatting>
  <conditionalFormatting sqref="AN11">
    <cfRule type="cellIs" dxfId="482" priority="158" operator="greaterThan">
      <formula>0.755</formula>
    </cfRule>
  </conditionalFormatting>
  <conditionalFormatting sqref="AJ12">
    <cfRule type="cellIs" dxfId="481" priority="157" stopIfTrue="1" operator="between">
      <formula>0</formula>
      <formula>0.375</formula>
    </cfRule>
  </conditionalFormatting>
  <conditionalFormatting sqref="AK12">
    <cfRule type="cellIs" dxfId="480" priority="156" operator="between">
      <formula>0.3751</formula>
      <formula>0.5625</formula>
    </cfRule>
  </conditionalFormatting>
  <conditionalFormatting sqref="AL12">
    <cfRule type="cellIs" dxfId="479" priority="155" operator="between">
      <formula>0.563</formula>
      <formula>0.7125</formula>
    </cfRule>
  </conditionalFormatting>
  <conditionalFormatting sqref="AM12">
    <cfRule type="cellIs" dxfId="478" priority="154" operator="between">
      <formula>0.713</formula>
      <formula>0.75</formula>
    </cfRule>
  </conditionalFormatting>
  <conditionalFormatting sqref="AN12">
    <cfRule type="cellIs" dxfId="477" priority="153" operator="greaterThan">
      <formula>0.755</formula>
    </cfRule>
  </conditionalFormatting>
  <conditionalFormatting sqref="AJ13">
    <cfRule type="cellIs" dxfId="476" priority="152" stopIfTrue="1" operator="between">
      <formula>0</formula>
      <formula>0.375</formula>
    </cfRule>
  </conditionalFormatting>
  <conditionalFormatting sqref="AK13">
    <cfRule type="cellIs" dxfId="475" priority="151" operator="between">
      <formula>0.3751</formula>
      <formula>0.5625</formula>
    </cfRule>
  </conditionalFormatting>
  <conditionalFormatting sqref="AL13">
    <cfRule type="cellIs" dxfId="474" priority="150" operator="between">
      <formula>0.563</formula>
      <formula>0.7125</formula>
    </cfRule>
  </conditionalFormatting>
  <conditionalFormatting sqref="AM13">
    <cfRule type="cellIs" dxfId="473" priority="149" operator="between">
      <formula>0.713</formula>
      <formula>0.75</formula>
    </cfRule>
  </conditionalFormatting>
  <conditionalFormatting sqref="AN13">
    <cfRule type="cellIs" dxfId="472" priority="148" operator="greaterThan">
      <formula>0.755</formula>
    </cfRule>
  </conditionalFormatting>
  <conditionalFormatting sqref="AJ14">
    <cfRule type="cellIs" dxfId="471" priority="147" stopIfTrue="1" operator="between">
      <formula>0</formula>
      <formula>0.375</formula>
    </cfRule>
  </conditionalFormatting>
  <conditionalFormatting sqref="AK14">
    <cfRule type="cellIs" dxfId="470" priority="146" operator="between">
      <formula>0.3751</formula>
      <formula>0.5625</formula>
    </cfRule>
  </conditionalFormatting>
  <conditionalFormatting sqref="AL14">
    <cfRule type="cellIs" dxfId="469" priority="145" operator="between">
      <formula>0.563</formula>
      <formula>0.7125</formula>
    </cfRule>
  </conditionalFormatting>
  <conditionalFormatting sqref="AM14">
    <cfRule type="cellIs" dxfId="468" priority="144" operator="between">
      <formula>0.713</formula>
      <formula>0.75</formula>
    </cfRule>
  </conditionalFormatting>
  <conditionalFormatting sqref="AN14">
    <cfRule type="cellIs" dxfId="467" priority="143" operator="greaterThan">
      <formula>0.755</formula>
    </cfRule>
  </conditionalFormatting>
  <conditionalFormatting sqref="AQ6">
    <cfRule type="cellIs" dxfId="466" priority="142" stopIfTrue="1" operator="between">
      <formula>0</formula>
      <formula>0.5</formula>
    </cfRule>
  </conditionalFormatting>
  <conditionalFormatting sqref="AR6">
    <cfRule type="cellIs" dxfId="465" priority="141" operator="between">
      <formula>0.51</formula>
      <formula>0.75</formula>
    </cfRule>
  </conditionalFormatting>
  <conditionalFormatting sqref="AS6">
    <cfRule type="cellIs" dxfId="464" priority="140" operator="between">
      <formula>0.76</formula>
      <formula>0.95</formula>
    </cfRule>
  </conditionalFormatting>
  <conditionalFormatting sqref="AT6">
    <cfRule type="cellIs" dxfId="463" priority="139" operator="between">
      <formula>0.95</formula>
      <formula>1</formula>
    </cfRule>
  </conditionalFormatting>
  <conditionalFormatting sqref="AU6">
    <cfRule type="cellIs" dxfId="462" priority="138" operator="greaterThan">
      <formula>1</formula>
    </cfRule>
  </conditionalFormatting>
  <conditionalFormatting sqref="AQ7">
    <cfRule type="cellIs" dxfId="461" priority="137" stopIfTrue="1" operator="between">
      <formula>0</formula>
      <formula>0.5</formula>
    </cfRule>
  </conditionalFormatting>
  <conditionalFormatting sqref="AR7">
    <cfRule type="cellIs" dxfId="460" priority="136" operator="between">
      <formula>0.51</formula>
      <formula>0.75</formula>
    </cfRule>
  </conditionalFormatting>
  <conditionalFormatting sqref="AS7">
    <cfRule type="cellIs" dxfId="459" priority="135" operator="between">
      <formula>0.76</formula>
      <formula>0.95</formula>
    </cfRule>
  </conditionalFormatting>
  <conditionalFormatting sqref="AT7">
    <cfRule type="cellIs" dxfId="458" priority="134" operator="between">
      <formula>0.95</formula>
      <formula>1</formula>
    </cfRule>
  </conditionalFormatting>
  <conditionalFormatting sqref="AU7">
    <cfRule type="cellIs" dxfId="457" priority="133" operator="greaterThan">
      <formula>1</formula>
    </cfRule>
  </conditionalFormatting>
  <conditionalFormatting sqref="AQ8">
    <cfRule type="cellIs" dxfId="456" priority="132" stopIfTrue="1" operator="between">
      <formula>0</formula>
      <formula>0.5</formula>
    </cfRule>
  </conditionalFormatting>
  <conditionalFormatting sqref="AR8">
    <cfRule type="cellIs" dxfId="455" priority="131" operator="between">
      <formula>0.51</formula>
      <formula>0.75</formula>
    </cfRule>
  </conditionalFormatting>
  <conditionalFormatting sqref="AS8">
    <cfRule type="cellIs" dxfId="454" priority="130" operator="between">
      <formula>0.76</formula>
      <formula>0.95</formula>
    </cfRule>
  </conditionalFormatting>
  <conditionalFormatting sqref="AT8">
    <cfRule type="cellIs" dxfId="453" priority="129" operator="between">
      <formula>0.95</formula>
      <formula>1</formula>
    </cfRule>
  </conditionalFormatting>
  <conditionalFormatting sqref="AU8">
    <cfRule type="cellIs" dxfId="452" priority="128" operator="greaterThan">
      <formula>1</formula>
    </cfRule>
  </conditionalFormatting>
  <conditionalFormatting sqref="AQ9">
    <cfRule type="cellIs" dxfId="451" priority="127" stopIfTrue="1" operator="between">
      <formula>0</formula>
      <formula>0.5</formula>
    </cfRule>
  </conditionalFormatting>
  <conditionalFormatting sqref="AR9">
    <cfRule type="cellIs" dxfId="450" priority="126" operator="between">
      <formula>0.51</formula>
      <formula>0.75</formula>
    </cfRule>
  </conditionalFormatting>
  <conditionalFormatting sqref="AS9">
    <cfRule type="cellIs" dxfId="449" priority="125" operator="between">
      <formula>0.76</formula>
      <formula>0.95</formula>
    </cfRule>
  </conditionalFormatting>
  <conditionalFormatting sqref="AT9">
    <cfRule type="cellIs" dxfId="448" priority="124" operator="between">
      <formula>0.95</formula>
      <formula>1</formula>
    </cfRule>
  </conditionalFormatting>
  <conditionalFormatting sqref="AU9">
    <cfRule type="cellIs" dxfId="447" priority="123" operator="greaterThan">
      <formula>1</formula>
    </cfRule>
  </conditionalFormatting>
  <conditionalFormatting sqref="AQ10">
    <cfRule type="cellIs" dxfId="446" priority="122" stopIfTrue="1" operator="between">
      <formula>0</formula>
      <formula>0.5</formula>
    </cfRule>
  </conditionalFormatting>
  <conditionalFormatting sqref="AR10">
    <cfRule type="cellIs" dxfId="445" priority="121" operator="between">
      <formula>0.51</formula>
      <formula>0.75</formula>
    </cfRule>
  </conditionalFormatting>
  <conditionalFormatting sqref="AS10">
    <cfRule type="cellIs" dxfId="444" priority="120" operator="between">
      <formula>0.76</formula>
      <formula>0.95</formula>
    </cfRule>
  </conditionalFormatting>
  <conditionalFormatting sqref="AT10">
    <cfRule type="cellIs" dxfId="443" priority="119" operator="between">
      <formula>0.95</formula>
      <formula>1</formula>
    </cfRule>
  </conditionalFormatting>
  <conditionalFormatting sqref="AU10">
    <cfRule type="cellIs" dxfId="442" priority="118" operator="greaterThan">
      <formula>1</formula>
    </cfRule>
  </conditionalFormatting>
  <conditionalFormatting sqref="AQ11">
    <cfRule type="cellIs" dxfId="441" priority="117" stopIfTrue="1" operator="between">
      <formula>0</formula>
      <formula>0.5</formula>
    </cfRule>
  </conditionalFormatting>
  <conditionalFormatting sqref="AR11">
    <cfRule type="cellIs" dxfId="440" priority="116" operator="between">
      <formula>0.51</formula>
      <formula>0.75</formula>
    </cfRule>
  </conditionalFormatting>
  <conditionalFormatting sqref="AS11">
    <cfRule type="cellIs" dxfId="439" priority="115" operator="between">
      <formula>0.76</formula>
      <formula>0.95</formula>
    </cfRule>
  </conditionalFormatting>
  <conditionalFormatting sqref="AT11">
    <cfRule type="cellIs" dxfId="438" priority="114" operator="between">
      <formula>0.95</formula>
      <formula>1</formula>
    </cfRule>
  </conditionalFormatting>
  <conditionalFormatting sqref="AU11">
    <cfRule type="cellIs" dxfId="437" priority="113" operator="greaterThan">
      <formula>1</formula>
    </cfRule>
  </conditionalFormatting>
  <conditionalFormatting sqref="AQ12">
    <cfRule type="cellIs" dxfId="436" priority="112" stopIfTrue="1" operator="between">
      <formula>0</formula>
      <formula>0.5</formula>
    </cfRule>
  </conditionalFormatting>
  <conditionalFormatting sqref="AR12">
    <cfRule type="cellIs" dxfId="435" priority="111" operator="between">
      <formula>0.51</formula>
      <formula>0.75</formula>
    </cfRule>
  </conditionalFormatting>
  <conditionalFormatting sqref="AS12">
    <cfRule type="cellIs" dxfId="434" priority="110" operator="between">
      <formula>0.76</formula>
      <formula>0.95</formula>
    </cfRule>
  </conditionalFormatting>
  <conditionalFormatting sqref="AT12">
    <cfRule type="cellIs" dxfId="433" priority="109" operator="between">
      <formula>0.95</formula>
      <formula>1</formula>
    </cfRule>
  </conditionalFormatting>
  <conditionalFormatting sqref="AU12">
    <cfRule type="cellIs" dxfId="432" priority="108" operator="greaterThan">
      <formula>1</formula>
    </cfRule>
  </conditionalFormatting>
  <conditionalFormatting sqref="AQ13">
    <cfRule type="cellIs" dxfId="431" priority="107" stopIfTrue="1" operator="between">
      <formula>0</formula>
      <formula>0.5</formula>
    </cfRule>
  </conditionalFormatting>
  <conditionalFormatting sqref="AR13">
    <cfRule type="cellIs" dxfId="430" priority="106" operator="between">
      <formula>0.51</formula>
      <formula>0.75</formula>
    </cfRule>
  </conditionalFormatting>
  <conditionalFormatting sqref="AS13">
    <cfRule type="cellIs" dxfId="429" priority="105" operator="between">
      <formula>0.76</formula>
      <formula>0.95</formula>
    </cfRule>
  </conditionalFormatting>
  <conditionalFormatting sqref="AT13">
    <cfRule type="cellIs" dxfId="428" priority="104" operator="between">
      <formula>0.95</formula>
      <formula>1</formula>
    </cfRule>
  </conditionalFormatting>
  <conditionalFormatting sqref="AU13">
    <cfRule type="cellIs" dxfId="427" priority="103" operator="greaterThan">
      <formula>1</formula>
    </cfRule>
  </conditionalFormatting>
  <conditionalFormatting sqref="AQ14">
    <cfRule type="cellIs" dxfId="426" priority="102" stopIfTrue="1" operator="between">
      <formula>0</formula>
      <formula>0.5</formula>
    </cfRule>
  </conditionalFormatting>
  <conditionalFormatting sqref="AR14">
    <cfRule type="cellIs" dxfId="425" priority="101" operator="between">
      <formula>0.51</formula>
      <formula>0.75</formula>
    </cfRule>
  </conditionalFormatting>
  <conditionalFormatting sqref="AS14">
    <cfRule type="cellIs" dxfId="424" priority="100" operator="between">
      <formula>0.76</formula>
      <formula>0.95</formula>
    </cfRule>
  </conditionalFormatting>
  <conditionalFormatting sqref="AT14">
    <cfRule type="cellIs" dxfId="423" priority="99" operator="between">
      <formula>0.95</formula>
      <formula>1</formula>
    </cfRule>
  </conditionalFormatting>
  <conditionalFormatting sqref="AU14">
    <cfRule type="cellIs" dxfId="422" priority="98" operator="greaterThan">
      <formula>1</formula>
    </cfRule>
  </conditionalFormatting>
  <conditionalFormatting sqref="AX6">
    <cfRule type="cellIs" dxfId="421" priority="97" operator="between">
      <formula>0.501</formula>
      <formula>0.75</formula>
    </cfRule>
  </conditionalFormatting>
  <conditionalFormatting sqref="AY6">
    <cfRule type="cellIs" dxfId="420" priority="96" operator="between">
      <formula>0.76</formula>
      <formula>0.95</formula>
    </cfRule>
  </conditionalFormatting>
  <conditionalFormatting sqref="AZ6">
    <cfRule type="cellIs" dxfId="419" priority="95" operator="between">
      <formula>0.95</formula>
      <formula>1</formula>
    </cfRule>
  </conditionalFormatting>
  <conditionalFormatting sqref="BA6">
    <cfRule type="cellIs" dxfId="418" priority="94" operator="greaterThan">
      <formula>1</formula>
    </cfRule>
  </conditionalFormatting>
  <conditionalFormatting sqref="AW6">
    <cfRule type="cellIs" dxfId="417" priority="93" stopIfTrue="1" operator="between">
      <formula>0</formula>
      <formula>0.5</formula>
    </cfRule>
  </conditionalFormatting>
  <conditionalFormatting sqref="AX7">
    <cfRule type="cellIs" dxfId="416" priority="92" operator="between">
      <formula>0.501</formula>
      <formula>0.75</formula>
    </cfRule>
  </conditionalFormatting>
  <conditionalFormatting sqref="AY7">
    <cfRule type="cellIs" dxfId="415" priority="91" operator="between">
      <formula>0.76</formula>
      <formula>0.95</formula>
    </cfRule>
  </conditionalFormatting>
  <conditionalFormatting sqref="AZ7">
    <cfRule type="cellIs" dxfId="414" priority="90" operator="between">
      <formula>0.95</formula>
      <formula>1</formula>
    </cfRule>
  </conditionalFormatting>
  <conditionalFormatting sqref="BA7">
    <cfRule type="cellIs" dxfId="413" priority="89" operator="greaterThan">
      <formula>1</formula>
    </cfRule>
  </conditionalFormatting>
  <conditionalFormatting sqref="AW7">
    <cfRule type="cellIs" dxfId="412" priority="88" stopIfTrue="1" operator="between">
      <formula>0</formula>
      <formula>0.5</formula>
    </cfRule>
  </conditionalFormatting>
  <conditionalFormatting sqref="AX8">
    <cfRule type="cellIs" dxfId="411" priority="87" operator="between">
      <formula>0.501</formula>
      <formula>0.75</formula>
    </cfRule>
  </conditionalFormatting>
  <conditionalFormatting sqref="AY8">
    <cfRule type="cellIs" dxfId="410" priority="86" operator="between">
      <formula>0.76</formula>
      <formula>0.95</formula>
    </cfRule>
  </conditionalFormatting>
  <conditionalFormatting sqref="AZ8">
    <cfRule type="cellIs" dxfId="409" priority="85" operator="between">
      <formula>0.95</formula>
      <formula>1</formula>
    </cfRule>
  </conditionalFormatting>
  <conditionalFormatting sqref="BA8">
    <cfRule type="cellIs" dxfId="408" priority="84" operator="greaterThan">
      <formula>1</formula>
    </cfRule>
  </conditionalFormatting>
  <conditionalFormatting sqref="AW8">
    <cfRule type="cellIs" dxfId="407" priority="83" stopIfTrue="1" operator="between">
      <formula>0</formula>
      <formula>0.5</formula>
    </cfRule>
  </conditionalFormatting>
  <conditionalFormatting sqref="AX9">
    <cfRule type="cellIs" dxfId="406" priority="82" operator="between">
      <formula>0.501</formula>
      <formula>0.75</formula>
    </cfRule>
  </conditionalFormatting>
  <conditionalFormatting sqref="AY9">
    <cfRule type="cellIs" dxfId="405" priority="81" operator="between">
      <formula>0.76</formula>
      <formula>0.95</formula>
    </cfRule>
  </conditionalFormatting>
  <conditionalFormatting sqref="AZ9">
    <cfRule type="cellIs" dxfId="404" priority="80" operator="between">
      <formula>0.95</formula>
      <formula>1</formula>
    </cfRule>
  </conditionalFormatting>
  <conditionalFormatting sqref="BA9">
    <cfRule type="cellIs" dxfId="403" priority="79" operator="greaterThan">
      <formula>1</formula>
    </cfRule>
  </conditionalFormatting>
  <conditionalFormatting sqref="AW9">
    <cfRule type="cellIs" dxfId="402" priority="78" stopIfTrue="1" operator="between">
      <formula>0</formula>
      <formula>0.5</formula>
    </cfRule>
  </conditionalFormatting>
  <conditionalFormatting sqref="AX10">
    <cfRule type="cellIs" dxfId="401" priority="77" operator="between">
      <formula>0.501</formula>
      <formula>0.75</formula>
    </cfRule>
  </conditionalFormatting>
  <conditionalFormatting sqref="AY10">
    <cfRule type="cellIs" dxfId="400" priority="76" operator="between">
      <formula>0.76</formula>
      <formula>0.95</formula>
    </cfRule>
  </conditionalFormatting>
  <conditionalFormatting sqref="AZ10">
    <cfRule type="cellIs" dxfId="399" priority="75" operator="between">
      <formula>0.95</formula>
      <formula>1</formula>
    </cfRule>
  </conditionalFormatting>
  <conditionalFormatting sqref="BA10">
    <cfRule type="cellIs" dxfId="398" priority="74" operator="greaterThan">
      <formula>1</formula>
    </cfRule>
  </conditionalFormatting>
  <conditionalFormatting sqref="AW10">
    <cfRule type="cellIs" dxfId="397" priority="73" stopIfTrue="1" operator="between">
      <formula>0</formula>
      <formula>0.5</formula>
    </cfRule>
  </conditionalFormatting>
  <conditionalFormatting sqref="AX11">
    <cfRule type="cellIs" dxfId="396" priority="72" operator="between">
      <formula>0.501</formula>
      <formula>0.75</formula>
    </cfRule>
  </conditionalFormatting>
  <conditionalFormatting sqref="AY11">
    <cfRule type="cellIs" dxfId="395" priority="71" operator="between">
      <formula>0.76</formula>
      <formula>0.95</formula>
    </cfRule>
  </conditionalFormatting>
  <conditionalFormatting sqref="AZ11">
    <cfRule type="cellIs" dxfId="394" priority="70" operator="between">
      <formula>0.95</formula>
      <formula>1</formula>
    </cfRule>
  </conditionalFormatting>
  <conditionalFormatting sqref="BA11">
    <cfRule type="cellIs" dxfId="393" priority="69" operator="greaterThan">
      <formula>1</formula>
    </cfRule>
  </conditionalFormatting>
  <conditionalFormatting sqref="AW11">
    <cfRule type="cellIs" dxfId="392" priority="68" stopIfTrue="1" operator="between">
      <formula>0</formula>
      <formula>0.5</formula>
    </cfRule>
  </conditionalFormatting>
  <conditionalFormatting sqref="AX12">
    <cfRule type="cellIs" dxfId="391" priority="67" operator="between">
      <formula>0.501</formula>
      <formula>0.75</formula>
    </cfRule>
  </conditionalFormatting>
  <conditionalFormatting sqref="AY12">
    <cfRule type="cellIs" dxfId="390" priority="66" operator="between">
      <formula>0.76</formula>
      <formula>0.95</formula>
    </cfRule>
  </conditionalFormatting>
  <conditionalFormatting sqref="AZ12">
    <cfRule type="cellIs" dxfId="389" priority="65" operator="between">
      <formula>0.95</formula>
      <formula>1</formula>
    </cfRule>
  </conditionalFormatting>
  <conditionalFormatting sqref="BA12">
    <cfRule type="cellIs" dxfId="388" priority="64" operator="greaterThan">
      <formula>1</formula>
    </cfRule>
  </conditionalFormatting>
  <conditionalFormatting sqref="AW12">
    <cfRule type="cellIs" dxfId="387" priority="63" stopIfTrue="1" operator="between">
      <formula>0</formula>
      <formula>0.5</formula>
    </cfRule>
  </conditionalFormatting>
  <conditionalFormatting sqref="AX13">
    <cfRule type="cellIs" dxfId="386" priority="62" operator="between">
      <formula>0.501</formula>
      <formula>0.75</formula>
    </cfRule>
  </conditionalFormatting>
  <conditionalFormatting sqref="AY13">
    <cfRule type="cellIs" dxfId="385" priority="61" operator="between">
      <formula>0.76</formula>
      <formula>0.95</formula>
    </cfRule>
  </conditionalFormatting>
  <conditionalFormatting sqref="AZ13">
    <cfRule type="cellIs" dxfId="384" priority="60" operator="between">
      <formula>0.95</formula>
      <formula>1</formula>
    </cfRule>
  </conditionalFormatting>
  <conditionalFormatting sqref="BA13">
    <cfRule type="cellIs" dxfId="383" priority="59" operator="greaterThan">
      <formula>1</formula>
    </cfRule>
  </conditionalFormatting>
  <conditionalFormatting sqref="AW13">
    <cfRule type="cellIs" dxfId="382" priority="58" stopIfTrue="1" operator="between">
      <formula>0</formula>
      <formula>0.5</formula>
    </cfRule>
  </conditionalFormatting>
  <conditionalFormatting sqref="AX14">
    <cfRule type="cellIs" dxfId="381" priority="57" operator="between">
      <formula>0.501</formula>
      <formula>0.75</formula>
    </cfRule>
  </conditionalFormatting>
  <conditionalFormatting sqref="AY14">
    <cfRule type="cellIs" dxfId="380" priority="56" operator="between">
      <formula>0.76</formula>
      <formula>0.95</formula>
    </cfRule>
  </conditionalFormatting>
  <conditionalFormatting sqref="AZ14">
    <cfRule type="cellIs" dxfId="379" priority="55" operator="between">
      <formula>0.95</formula>
      <formula>1</formula>
    </cfRule>
  </conditionalFormatting>
  <conditionalFormatting sqref="BA14">
    <cfRule type="cellIs" dxfId="378" priority="54" operator="greaterThan">
      <formula>1</formula>
    </cfRule>
  </conditionalFormatting>
  <conditionalFormatting sqref="AW14">
    <cfRule type="cellIs" dxfId="377" priority="53" stopIfTrue="1" operator="between">
      <formula>0</formula>
      <formula>0.5</formula>
    </cfRule>
  </conditionalFormatting>
  <conditionalFormatting sqref="W6">
    <cfRule type="cellIs" dxfId="376" priority="52" stopIfTrue="1" operator="between">
      <formula>0</formula>
      <formula>0.255</formula>
    </cfRule>
  </conditionalFormatting>
  <conditionalFormatting sqref="X6">
    <cfRule type="cellIs" dxfId="375" priority="51" operator="between">
      <formula>0.2551</formula>
      <formula>0.375</formula>
    </cfRule>
  </conditionalFormatting>
  <conditionalFormatting sqref="Y6">
    <cfRule type="cellIs" dxfId="374" priority="50" operator="between">
      <formula>0.3751</formula>
      <formula>0.475</formula>
    </cfRule>
  </conditionalFormatting>
  <conditionalFormatting sqref="Z6">
    <cfRule type="cellIs" dxfId="373" priority="49" operator="between">
      <formula>0.4751</formula>
      <formula>0.51</formula>
    </cfRule>
  </conditionalFormatting>
  <conditionalFormatting sqref="AA6">
    <cfRule type="cellIs" dxfId="372" priority="48" operator="greaterThan">
      <formula>0.505</formula>
    </cfRule>
  </conditionalFormatting>
  <conditionalFormatting sqref="AB8">
    <cfRule type="cellIs" dxfId="371" priority="47" operator="greaterThan">
      <formula>0.505</formula>
    </cfRule>
  </conditionalFormatting>
  <conditionalFormatting sqref="W8">
    <cfRule type="cellIs" dxfId="370" priority="46" stopIfTrue="1" operator="between">
      <formula>0</formula>
      <formula>0.255</formula>
    </cfRule>
  </conditionalFormatting>
  <conditionalFormatting sqref="X8">
    <cfRule type="cellIs" dxfId="369" priority="45" operator="between">
      <formula>0.2551</formula>
      <formula>0.375</formula>
    </cfRule>
  </conditionalFormatting>
  <conditionalFormatting sqref="Y8">
    <cfRule type="cellIs" dxfId="368" priority="44" operator="between">
      <formula>0.3751</formula>
      <formula>0.475</formula>
    </cfRule>
  </conditionalFormatting>
  <conditionalFormatting sqref="Z8">
    <cfRule type="cellIs" dxfId="367" priority="43" operator="between">
      <formula>0.48</formula>
      <formula>0.51</formula>
    </cfRule>
  </conditionalFormatting>
  <conditionalFormatting sqref="D6">
    <cfRule type="cellIs" dxfId="366" priority="41" stopIfTrue="1" operator="between">
      <formula>0</formula>
      <formula>0.5</formula>
    </cfRule>
  </conditionalFormatting>
  <conditionalFormatting sqref="E6">
    <cfRule type="cellIs" dxfId="365" priority="40" operator="between">
      <formula>0.51</formula>
      <formula>0.75</formula>
    </cfRule>
  </conditionalFormatting>
  <conditionalFormatting sqref="F6">
    <cfRule type="cellIs" dxfId="364" priority="39" operator="between">
      <formula>0.76</formula>
      <formula>0.95</formula>
    </cfRule>
  </conditionalFormatting>
  <conditionalFormatting sqref="G6">
    <cfRule type="cellIs" dxfId="363" priority="38" operator="between">
      <formula>0.96</formula>
      <formula>1</formula>
    </cfRule>
  </conditionalFormatting>
  <conditionalFormatting sqref="H6">
    <cfRule type="cellIs" dxfId="362" priority="37" operator="greaterThan">
      <formula>1</formula>
    </cfRule>
  </conditionalFormatting>
  <conditionalFormatting sqref="D7">
    <cfRule type="cellIs" dxfId="361" priority="36" stopIfTrue="1" operator="between">
      <formula>0</formula>
      <formula>0.5</formula>
    </cfRule>
  </conditionalFormatting>
  <conditionalFormatting sqref="E7">
    <cfRule type="cellIs" dxfId="360" priority="35" operator="between">
      <formula>0.51</formula>
      <formula>0.75</formula>
    </cfRule>
  </conditionalFormatting>
  <conditionalFormatting sqref="F7">
    <cfRule type="cellIs" dxfId="359" priority="34" operator="between">
      <formula>0.76</formula>
      <formula>0.95</formula>
    </cfRule>
  </conditionalFormatting>
  <conditionalFormatting sqref="G7">
    <cfRule type="cellIs" dxfId="358" priority="33" operator="between">
      <formula>0.96</formula>
      <formula>1</formula>
    </cfRule>
  </conditionalFormatting>
  <conditionalFormatting sqref="H7">
    <cfRule type="cellIs" dxfId="357" priority="32" operator="greaterThan">
      <formula>1</formula>
    </cfRule>
  </conditionalFormatting>
  <conditionalFormatting sqref="D8:D14">
    <cfRule type="cellIs" dxfId="356" priority="31" stopIfTrue="1" operator="between">
      <formula>0</formula>
      <formula>0.5</formula>
    </cfRule>
  </conditionalFormatting>
  <conditionalFormatting sqref="E8:E14">
    <cfRule type="cellIs" dxfId="355" priority="30" operator="between">
      <formula>0.51</formula>
      <formula>0.75</formula>
    </cfRule>
  </conditionalFormatting>
  <conditionalFormatting sqref="F8:F14">
    <cfRule type="cellIs" dxfId="354" priority="29" operator="between">
      <formula>0.76</formula>
      <formula>0.95</formula>
    </cfRule>
  </conditionalFormatting>
  <conditionalFormatting sqref="G8:G14">
    <cfRule type="cellIs" dxfId="353" priority="28" operator="between">
      <formula>0.96</formula>
      <formula>1</formula>
    </cfRule>
  </conditionalFormatting>
  <conditionalFormatting sqref="H8:H14">
    <cfRule type="cellIs" dxfId="352" priority="27" operator="greaterThan">
      <formula>1</formula>
    </cfRule>
  </conditionalFormatting>
  <conditionalFormatting sqref="J6">
    <cfRule type="cellIs" dxfId="351" priority="26" stopIfTrue="1" operator="between">
      <formula>0</formula>
      <formula>0.125</formula>
    </cfRule>
  </conditionalFormatting>
  <conditionalFormatting sqref="K6">
    <cfRule type="cellIs" dxfId="350" priority="25" operator="between">
      <formula>0.1251</formula>
      <formula>0.1875</formula>
    </cfRule>
  </conditionalFormatting>
  <conditionalFormatting sqref="L6">
    <cfRule type="cellIs" dxfId="349" priority="24" operator="between">
      <formula>0.1876</formula>
      <formula>0.2375</formula>
    </cfRule>
  </conditionalFormatting>
  <conditionalFormatting sqref="M6">
    <cfRule type="cellIs" dxfId="348" priority="23" operator="between">
      <formula>0.2376</formula>
      <formula>0.25</formula>
    </cfRule>
  </conditionalFormatting>
  <conditionalFormatting sqref="N6">
    <cfRule type="cellIs" dxfId="347" priority="22" operator="greaterThan">
      <formula>0.25</formula>
    </cfRule>
  </conditionalFormatting>
  <conditionalFormatting sqref="J7">
    <cfRule type="cellIs" dxfId="346" priority="21" stopIfTrue="1" operator="between">
      <formula>0</formula>
      <formula>0.125</formula>
    </cfRule>
  </conditionalFormatting>
  <conditionalFormatting sqref="K7">
    <cfRule type="cellIs" dxfId="345" priority="20" operator="between">
      <formula>0.1251</formula>
      <formula>0.1875</formula>
    </cfRule>
  </conditionalFormatting>
  <conditionalFormatting sqref="L7">
    <cfRule type="cellIs" dxfId="344" priority="19" operator="between">
      <formula>0.1876</formula>
      <formula>0.2375</formula>
    </cfRule>
  </conditionalFormatting>
  <conditionalFormatting sqref="M7">
    <cfRule type="cellIs" dxfId="343" priority="18" operator="between">
      <formula>0.2376</formula>
      <formula>0.25</formula>
    </cfRule>
  </conditionalFormatting>
  <conditionalFormatting sqref="N7">
    <cfRule type="cellIs" dxfId="342" priority="17" operator="greaterThan">
      <formula>0.25</formula>
    </cfRule>
  </conditionalFormatting>
  <conditionalFormatting sqref="J8:J14">
    <cfRule type="cellIs" dxfId="341" priority="16" stopIfTrue="1" operator="between">
      <formula>0</formula>
      <formula>0.125</formula>
    </cfRule>
  </conditionalFormatting>
  <conditionalFormatting sqref="K8:K14">
    <cfRule type="cellIs" dxfId="340" priority="15" operator="between">
      <formula>0.1251</formula>
      <formula>0.1875</formula>
    </cfRule>
  </conditionalFormatting>
  <conditionalFormatting sqref="L8:L14">
    <cfRule type="cellIs" dxfId="339" priority="14" operator="between">
      <formula>0.1876</formula>
      <formula>0.2375</formula>
    </cfRule>
  </conditionalFormatting>
  <conditionalFormatting sqref="M8:M14">
    <cfRule type="cellIs" dxfId="338" priority="13" operator="between">
      <formula>0.2376</formula>
      <formula>0.25</formula>
    </cfRule>
  </conditionalFormatting>
  <conditionalFormatting sqref="N8:N14">
    <cfRule type="cellIs" dxfId="337" priority="12" operator="greaterThan">
      <formula>0.25</formula>
    </cfRule>
  </conditionalFormatting>
  <conditionalFormatting sqref="AA8">
    <cfRule type="cellIs" dxfId="336" priority="11" operator="greaterThan">
      <formula>0.505</formula>
    </cfRule>
  </conditionalFormatting>
  <conditionalFormatting sqref="AJ6">
    <cfRule type="cellIs" dxfId="335" priority="5" stopIfTrue="1" operator="between">
      <formula>0</formula>
      <formula>0.375</formula>
    </cfRule>
  </conditionalFormatting>
  <conditionalFormatting sqref="AK6">
    <cfRule type="cellIs" dxfId="334" priority="4" operator="between">
      <formula>0.3751</formula>
      <formula>0.5625</formula>
    </cfRule>
  </conditionalFormatting>
  <conditionalFormatting sqref="AL6">
    <cfRule type="cellIs" dxfId="333" priority="3" operator="between">
      <formula>0.563</formula>
      <formula>0.7125</formula>
    </cfRule>
  </conditionalFormatting>
  <conditionalFormatting sqref="AM6">
    <cfRule type="cellIs" dxfId="332" priority="2" operator="between">
      <formula>0.71251</formula>
      <formula>0.75</formula>
    </cfRule>
  </conditionalFormatting>
  <conditionalFormatting sqref="AN6">
    <cfRule type="cellIs" dxfId="331"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E1BC-4B63-41B3-9EB9-ACB3D99D7E73}">
  <dimension ref="A1:BA19"/>
  <sheetViews>
    <sheetView showGridLines="0" topLeftCell="A4" zoomScale="80" zoomScaleNormal="80" workbookViewId="0">
      <selection activeCell="AC18" sqref="AC18"/>
    </sheetView>
  </sheetViews>
  <sheetFormatPr baseColWidth="10" defaultRowHeight="15" x14ac:dyDescent="0.25"/>
  <cols>
    <col min="1" max="1" width="49" customWidth="1"/>
    <col min="2" max="2" width="2.28515625" customWidth="1"/>
    <col min="3" max="3" width="21.7109375" customWidth="1"/>
    <col min="4" max="8" width="3.28515625" customWidth="1"/>
    <col min="9" max="9" width="15.140625" customWidth="1"/>
    <col min="10" max="14" width="3.28515625" customWidth="1"/>
    <col min="15" max="15" width="2.7109375" customWidth="1"/>
    <col min="16" max="16" width="16.7109375" customWidth="1"/>
    <col min="17" max="21" width="3.28515625" customWidth="1"/>
    <col min="22" max="22" width="16.42578125" customWidth="1"/>
    <col min="23" max="27" width="3.28515625" customWidth="1"/>
    <col min="28" max="28" width="3.140625" customWidth="1"/>
    <col min="29" max="29" width="17.28515625" customWidth="1"/>
    <col min="30" max="34" width="3.28515625" customWidth="1"/>
    <col min="35" max="35" width="15.140625" customWidth="1"/>
    <col min="36" max="40" width="3.28515625" customWidth="1"/>
    <col min="41" max="41" width="2.85546875" customWidth="1"/>
    <col min="42" max="42" width="16.7109375" hidden="1" customWidth="1"/>
    <col min="43" max="47" width="3.28515625" hidden="1" customWidth="1"/>
    <col min="48" max="48" width="15.85546875" hidden="1" customWidth="1"/>
    <col min="49" max="53" width="3.28515625" hidden="1" customWidth="1"/>
  </cols>
  <sheetData>
    <row r="1" spans="1:53" ht="33"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92"/>
      <c r="AP1" s="1471"/>
      <c r="AQ1" s="1472"/>
      <c r="AR1" s="1472"/>
      <c r="AS1" s="1472"/>
      <c r="AT1" s="1472"/>
      <c r="AU1" s="1472"/>
      <c r="AV1" s="1472"/>
      <c r="AW1" s="1472"/>
      <c r="AX1" s="1472"/>
      <c r="AY1" s="1472"/>
      <c r="AZ1" s="1472"/>
      <c r="BA1" s="1473"/>
    </row>
    <row r="2" spans="1:53" ht="28.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93"/>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223</v>
      </c>
      <c r="P3" s="1484"/>
      <c r="Q3" s="1484"/>
      <c r="R3" s="1484"/>
      <c r="S3" s="1484"/>
      <c r="T3" s="1484"/>
      <c r="U3" s="1484"/>
      <c r="V3" s="1484"/>
      <c r="W3" s="1484"/>
      <c r="X3" s="1484"/>
      <c r="Y3" s="1484"/>
      <c r="Z3" s="1484"/>
      <c r="AA3" s="1484"/>
      <c r="AB3" s="1484"/>
      <c r="AC3" s="1484"/>
      <c r="AD3" s="1484"/>
      <c r="AE3" s="1484"/>
      <c r="AF3" s="1484"/>
      <c r="AG3" s="1484"/>
      <c r="AH3" s="1485"/>
      <c r="AI3" s="356" t="s">
        <v>249</v>
      </c>
      <c r="AJ3" s="1388">
        <v>1</v>
      </c>
      <c r="AK3" s="1391"/>
      <c r="AL3" s="1391"/>
      <c r="AM3" s="1391"/>
      <c r="AN3" s="1391"/>
      <c r="AO3" s="1494"/>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232</v>
      </c>
      <c r="B5" s="426"/>
      <c r="C5" s="1462" t="s">
        <v>1191</v>
      </c>
      <c r="D5" s="1486"/>
      <c r="E5" s="1486"/>
      <c r="F5" s="1486"/>
      <c r="G5" s="1486"/>
      <c r="H5" s="1487"/>
      <c r="I5" s="1462" t="s">
        <v>1192</v>
      </c>
      <c r="J5" s="1463"/>
      <c r="K5" s="1463"/>
      <c r="L5" s="1463"/>
      <c r="M5" s="1463"/>
      <c r="N5" s="1464"/>
      <c r="O5" s="17"/>
      <c r="P5" s="1462" t="s">
        <v>1194</v>
      </c>
      <c r="Q5" s="1463"/>
      <c r="R5" s="1463"/>
      <c r="S5" s="1463"/>
      <c r="T5" s="1463"/>
      <c r="U5" s="1464"/>
      <c r="V5" s="1461" t="s">
        <v>1195</v>
      </c>
      <c r="W5" s="1461"/>
      <c r="X5" s="1461"/>
      <c r="Y5" s="1461"/>
      <c r="Z5" s="1461"/>
      <c r="AA5" s="1461"/>
      <c r="AB5" s="427"/>
      <c r="AC5" s="1465" t="s">
        <v>1196</v>
      </c>
      <c r="AD5" s="1461"/>
      <c r="AE5" s="1461"/>
      <c r="AF5" s="1461"/>
      <c r="AG5" s="1461"/>
      <c r="AH5" s="1491"/>
      <c r="AI5" s="1460" t="s">
        <v>1197</v>
      </c>
      <c r="AJ5" s="1461"/>
      <c r="AK5" s="1461"/>
      <c r="AL5" s="1461"/>
      <c r="AM5" s="1461"/>
      <c r="AN5" s="1461"/>
      <c r="AO5" s="427"/>
      <c r="AP5" s="1465" t="s">
        <v>1198</v>
      </c>
      <c r="AQ5" s="1461"/>
      <c r="AR5" s="1461"/>
      <c r="AS5" s="1461"/>
      <c r="AT5" s="1461"/>
      <c r="AU5" s="1491"/>
      <c r="AV5" s="1460" t="s">
        <v>1199</v>
      </c>
      <c r="AW5" s="1461"/>
      <c r="AX5" s="1461"/>
      <c r="AY5" s="1461"/>
      <c r="AZ5" s="1461"/>
      <c r="BA5" s="1461"/>
    </row>
    <row r="6" spans="1:53" ht="18" x14ac:dyDescent="0.25">
      <c r="A6" s="422" t="s">
        <v>330</v>
      </c>
      <c r="B6" s="428"/>
      <c r="C6" s="429">
        <f>AVERAGE('Cuadro Mando Integral Detallado'!L133,'Cuadro Mando Integral Detallado'!L138:L171,'Cuadro Mando Integral Detallado'!L182,'Cuadro Mando Integral Detallado'!L184:L185,'Cuadro Mando Integral Detallado'!L196:L197,'Cuadro Mando Integral Detallado'!L209:L241,'Cuadro Mando Integral Detallado'!L245:L248,'Cuadro Mando Integral Detallado'!L250:L253,'Cuadro Mando Integral Detallado'!L260:L261,'Cuadro Mando Integral Detallado'!L288:L291,'Cuadro Mando Integral Detallado'!L296:L297,'Cuadro Mando Integral Detallado'!L306,'Cuadro Mando Integral Detallado'!L362)</f>
        <v>0.7888443798842244</v>
      </c>
      <c r="D6" s="514">
        <f>+C6</f>
        <v>0.7888443798842244</v>
      </c>
      <c r="E6" s="506">
        <f>+C6</f>
        <v>0.7888443798842244</v>
      </c>
      <c r="F6" s="506">
        <f>+C6</f>
        <v>0.7888443798842244</v>
      </c>
      <c r="G6" s="506">
        <f>+C6</f>
        <v>0.7888443798842244</v>
      </c>
      <c r="H6" s="515">
        <f>+C6</f>
        <v>0.7888443798842244</v>
      </c>
      <c r="I6" s="429">
        <f>AVERAGE('Cuadro Mando Integral Detallado'!O133,'Cuadro Mando Integral Detallado'!O138:O171,'Cuadro Mando Integral Detallado'!O182,'Cuadro Mando Integral Detallado'!O184:O185,'Cuadro Mando Integral Detallado'!O196:O197,'Cuadro Mando Integral Detallado'!O209:O241,'Cuadro Mando Integral Detallado'!O245:O248,'Cuadro Mando Integral Detallado'!O250:O253,'Cuadro Mando Integral Detallado'!O260:O261,'Cuadro Mando Integral Detallado'!O288:O291,'Cuadro Mando Integral Detallado'!O296:O297,'Cuadro Mando Integral Detallado'!O306,'Cuadro Mando Integral Detallado'!O362)</f>
        <v>0.27069723745784308</v>
      </c>
      <c r="J6" s="503">
        <f>+I6</f>
        <v>0.27069723745784308</v>
      </c>
      <c r="K6" s="504">
        <f>+I6</f>
        <v>0.27069723745784308</v>
      </c>
      <c r="L6" s="504">
        <f>+I6</f>
        <v>0.27069723745784308</v>
      </c>
      <c r="M6" s="504">
        <f>+I6</f>
        <v>0.27069723745784308</v>
      </c>
      <c r="N6" s="505">
        <f>+I6</f>
        <v>0.27069723745784308</v>
      </c>
      <c r="O6" s="17"/>
      <c r="P6" s="429">
        <f>AVERAGE('Cuadro Mando Integral Detallado'!S133:S173,'Cuadro Mando Integral Detallado'!S182,'Cuadro Mando Integral Detallado'!S184:S186,'Cuadro Mando Integral Detallado'!S195:S197,'Cuadro Mando Integral Detallado'!S209:S223,S220:S238,'Cuadro Mando Integral Detallado'!S245,'Cuadro Mando Integral Detallado'!S247:S248,'Cuadro Mando Integral Detallado'!S250:S253,'Cuadro Mando Integral Detallado'!S260:S261,'Cuadro Mando Integral Detallado'!S285,'Cuadro Mando Integral Detallado'!S288:S291,'Cuadro Mando Integral Detallado'!S296:S297,'Cuadro Mando Integral Detallado'!S306,'Cuadro Mando Integral Detallado'!S362)</f>
        <v>0.96741833895594076</v>
      </c>
      <c r="Q6" s="509">
        <f t="shared" ref="Q6:Q18" si="0">+P6</f>
        <v>0.96741833895594076</v>
      </c>
      <c r="R6" s="507">
        <f t="shared" ref="R6:R18" si="1">+P6</f>
        <v>0.96741833895594076</v>
      </c>
      <c r="S6" s="507">
        <f t="shared" ref="S6:S18" si="2">+P6</f>
        <v>0.96741833895594076</v>
      </c>
      <c r="T6" s="507">
        <f t="shared" ref="T6:T18" si="3">+P6</f>
        <v>0.96741833895594076</v>
      </c>
      <c r="U6" s="508">
        <f t="shared" ref="U6:U18" si="4">+P6</f>
        <v>0.96741833895594076</v>
      </c>
      <c r="V6" s="429">
        <f>AVERAGE('Cuadro Mando Integral Detallado'!V133:V173,'Cuadro Mando Integral Detallado'!V182,'Cuadro Mando Integral Detallado'!V184:V186,'Cuadro Mando Integral Detallado'!V195:V197,'Cuadro Mando Integral Detallado'!V209:V243,'Cuadro Mando Integral Detallado'!V245,'Cuadro Mando Integral Detallado'!V247:V248,'Cuadro Mando Integral Detallado'!V250:V253,'Cuadro Mando Integral Detallado'!V260:V261,'Cuadro Mando Integral Detallado'!V285,'Cuadro Mando Integral Detallado'!V288:V291,'Cuadro Mando Integral Detallado'!V296:V297,'Cuadro Mando Integral Detallado'!V306,'Cuadro Mando Integral Detallado'!V362)</f>
        <v>0.45814905704145481</v>
      </c>
      <c r="W6" s="368">
        <f t="shared" ref="W6:W18" si="5">+V6</f>
        <v>0.45814905704145481</v>
      </c>
      <c r="X6" s="369">
        <f t="shared" ref="X6:X18" si="6">+V6</f>
        <v>0.45814905704145481</v>
      </c>
      <c r="Y6" s="369">
        <f t="shared" ref="Y6:Y18" si="7">+V6</f>
        <v>0.45814905704145481</v>
      </c>
      <c r="Z6" s="369">
        <f t="shared" ref="Z6:Z18" si="8">+V6</f>
        <v>0.45814905704145481</v>
      </c>
      <c r="AA6" s="370">
        <f t="shared" ref="AA6:AA9" si="9">+V6</f>
        <v>0.45814905704145481</v>
      </c>
      <c r="AB6" s="416"/>
      <c r="AC6" s="429">
        <f>AVERAGE('Cuadro Mando Integral Detallado'!Z133:Z171,'Cuadro Mando Integral Detallado'!Z182,'Cuadro Mando Integral Detallado'!Z184:Z185,'Cuadro Mando Integral Detallado'!Z196,'Cuadro Mando Integral Detallado'!Z209:Z241,'Cuadro Mando Integral Detallado'!Z245:Z248,'Cuadro Mando Integral Detallado'!Z250:Z253,'Cuadro Mando Integral Detallado'!Z260:Z261,'Cuadro Mando Integral Detallado'!Z288:Z291,'Cuadro Mando Integral Detallado'!Z296:Z297,'Cuadro Mando Integral Detallado'!Z306,'Cuadro Mando Integral Detallado'!Z362)</f>
        <v>0.97678443512280655</v>
      </c>
      <c r="AD6" s="389">
        <f t="shared" ref="AD6" si="10">+AC6</f>
        <v>0.97678443512280655</v>
      </c>
      <c r="AE6" s="380">
        <f t="shared" ref="AE6" si="11">+AC6</f>
        <v>0.97678443512280655</v>
      </c>
      <c r="AF6" s="380">
        <f t="shared" ref="AF6" si="12">+AC6</f>
        <v>0.97678443512280655</v>
      </c>
      <c r="AG6" s="380">
        <f t="shared" ref="AG6" si="13">+AC6</f>
        <v>0.97678443512280655</v>
      </c>
      <c r="AH6" s="381">
        <f t="shared" ref="AH6" si="14">+AC6</f>
        <v>0.97678443512280655</v>
      </c>
      <c r="AI6" s="429">
        <f>AVERAGE('Cuadro Mando Integral Detallado'!AC133:AC171,'Cuadro Mando Integral Detallado'!AC182,'Cuadro Mando Integral Detallado'!AC184:AC185,'Cuadro Mando Integral Detallado'!AC196,'Cuadro Mando Integral Detallado'!AC209:AC241,'Cuadro Mando Integral Detallado'!AC245:AC248,'Cuadro Mando Integral Detallado'!AC250:AC253,'Cuadro Mando Integral Detallado'!AC260:AC261,'Cuadro Mando Integral Detallado'!AC288:AC291,'Cuadro Mando Integral Detallado'!AC296:AC297,'Cuadro Mando Integral Detallado'!AC306,'Cuadro Mando Integral Detallado'!AC362)</f>
        <v>0.64096240298451113</v>
      </c>
      <c r="AJ6" s="389">
        <f t="shared" ref="AJ6" si="15">+AI6</f>
        <v>0.64096240298451113</v>
      </c>
      <c r="AK6" s="384">
        <f t="shared" ref="AK6" si="16">+AI6</f>
        <v>0.64096240298451113</v>
      </c>
      <c r="AL6" s="384">
        <f t="shared" ref="AL6" si="17">+AI6</f>
        <v>0.64096240298451113</v>
      </c>
      <c r="AM6" s="384">
        <f t="shared" ref="AM6" si="18">+AI6</f>
        <v>0.64096240298451113</v>
      </c>
      <c r="AN6" s="385">
        <f t="shared" ref="AN6" si="19">+AI6</f>
        <v>0.64096240298451113</v>
      </c>
      <c r="AO6" s="416"/>
      <c r="AP6" s="429">
        <f>AVERAGE('Cuadro Mando Integral Detallado'!AG133:AG171,'Cuadro Mando Integral Detallado'!AG182,'Cuadro Mando Integral Detallado'!AG184:AG185,'Cuadro Mando Integral Detallado'!AG196,'Cuadro Mando Integral Detallado'!AG209:AG241,'Cuadro Mando Integral Detallado'!AG245:AG248,'Cuadro Mando Integral Detallado'!AG250:AG253,'Cuadro Mando Integral Detallado'!AG260:AG261,'Cuadro Mando Integral Detallado'!AG288:AG291,'Cuadro Mando Integral Detallado'!AG296:AG297,'Cuadro Mando Integral Detallado'!AG306,'Cuadro Mando Integral Detallado'!AG362)</f>
        <v>0</v>
      </c>
      <c r="AQ6" s="375">
        <f t="shared" ref="AQ6:AQ18" si="20">+AP6</f>
        <v>0</v>
      </c>
      <c r="AR6" s="365">
        <f t="shared" ref="AR6:AR18" si="21">+AP6</f>
        <v>0</v>
      </c>
      <c r="AS6" s="365">
        <f t="shared" ref="AS6:AS18" si="22">+AP6</f>
        <v>0</v>
      </c>
      <c r="AT6" s="365">
        <f t="shared" ref="AT6:AT18" si="23">+AP6</f>
        <v>0</v>
      </c>
      <c r="AU6" s="366">
        <f t="shared" ref="AU6:AU18" si="24">+AP6</f>
        <v>0</v>
      </c>
      <c r="AV6" s="429" t="e">
        <f>AVERAGE('Cuadro Mando Integral Detallado'!AI133:AI171,'Cuadro Mando Integral Detallado'!AI182,'Cuadro Mando Integral Detallado'!AI184:AI185,'Cuadro Mando Integral Detallado'!AI196,'Cuadro Mando Integral Detallado'!AI209:AI241,'Cuadro Mando Integral Detallado'!AI245:AI248,'Cuadro Mando Integral Detallado'!AI250:AI253,'Cuadro Mando Integral Detallado'!AI260:AI261,'Cuadro Mando Integral Detallado'!AI288:AI291,'Cuadro Mando Integral Detallado'!AI296:AI297,'Cuadro Mando Integral Detallado'!AI306,'Cuadro Mando Integral Detallado'!AI362)</f>
        <v>#VALUE!</v>
      </c>
      <c r="AW6" s="375" t="e">
        <f>+AV6</f>
        <v>#VALUE!</v>
      </c>
      <c r="AX6" s="369" t="e">
        <f t="shared" ref="AX6:AX17" si="25">+AV6</f>
        <v>#VALUE!</v>
      </c>
      <c r="AY6" s="369" t="e">
        <f t="shared" ref="AY6:AY18" si="26">+AV6</f>
        <v>#VALUE!</v>
      </c>
      <c r="AZ6" s="369" t="e">
        <f t="shared" ref="AZ6:AZ18" si="27">+AV6</f>
        <v>#VALUE!</v>
      </c>
      <c r="BA6" s="370" t="e">
        <f t="shared" ref="BA6:BA18" si="28">+AV6</f>
        <v>#VALUE!</v>
      </c>
    </row>
    <row r="7" spans="1:53" ht="36" x14ac:dyDescent="0.25">
      <c r="A7" s="377" t="s">
        <v>336</v>
      </c>
      <c r="B7" s="428"/>
      <c r="C7" s="430">
        <f>AVERAGE('Cuadro Mando Integral Detallado'!L174:L181,'Cuadro Mando Integral Detallado'!L187:L194,'Cuadro Mando Integral Detallado'!L198:L206,'Cuadro Mando Integral Detallado'!L244,'Cuadro Mando Integral Detallado'!L249,'Cuadro Mando Integral Detallado'!L254:L255,'Cuadro Mando Integral Detallado'!L280:L281,'Cuadro Mando Integral Detallado'!L299:L303,'Cuadro Mando Integral Detallado'!L307:L308,'Cuadro Mando Integral Detallado'!L357:L358,'Cuadro Mando Integral Detallado'!L361,'Cuadro Mando Integral Detallado'!L363:L364)</f>
        <v>0.89945652173913049</v>
      </c>
      <c r="D7" s="389">
        <f>+C7</f>
        <v>0.89945652173913049</v>
      </c>
      <c r="E7" s="380">
        <f>+C7</f>
        <v>0.89945652173913049</v>
      </c>
      <c r="F7" s="380">
        <f>+C7</f>
        <v>0.89945652173913049</v>
      </c>
      <c r="G7" s="380">
        <f>+C7</f>
        <v>0.89945652173913049</v>
      </c>
      <c r="H7" s="381">
        <f>+C7</f>
        <v>0.89945652173913049</v>
      </c>
      <c r="I7" s="430">
        <f>AVERAGE('Cuadro Mando Integral Detallado'!O174:O181,'Cuadro Mando Integral Detallado'!O187:O194,'Cuadro Mando Integral Detallado'!O198:O206,'Cuadro Mando Integral Detallado'!O244,'Cuadro Mando Integral Detallado'!O249,'Cuadro Mando Integral Detallado'!O254:O255,'Cuadro Mando Integral Detallado'!O280:O281,'Cuadro Mando Integral Detallado'!O299:O303,'Cuadro Mando Integral Detallado'!O307:O308,'Cuadro Mando Integral Detallado'!O357:O358,'Cuadro Mando Integral Detallado'!O361,'Cuadro Mando Integral Detallado'!O363:O364)</f>
        <v>0.48007246376811591</v>
      </c>
      <c r="J7" s="383">
        <f>+I7</f>
        <v>0.48007246376811591</v>
      </c>
      <c r="K7" s="384">
        <f>+I7</f>
        <v>0.48007246376811591</v>
      </c>
      <c r="L7" s="384">
        <f>+I7</f>
        <v>0.48007246376811591</v>
      </c>
      <c r="M7" s="384">
        <f>+I7</f>
        <v>0.48007246376811591</v>
      </c>
      <c r="N7" s="385">
        <f>+I7</f>
        <v>0.48007246376811591</v>
      </c>
      <c r="O7" s="11"/>
      <c r="P7" s="430">
        <f>AVERAGE('Cuadro Mando Integral Detallado'!S174:S181,'Cuadro Mando Integral Detallado'!S187:S194,'Cuadro Mando Integral Detallado'!S198:S207,'Cuadro Mando Integral Detallado'!S244,'Cuadro Mando Integral Detallado'!S246,'Cuadro Mando Integral Detallado'!S249,'Cuadro Mando Integral Detallado'!S254:S255,'Cuadro Mando Integral Detallado'!S280:S281,'Cuadro Mando Integral Detallado'!S299:S305,'Cuadro Mando Integral Detallado'!S307:S308,'Cuadro Mando Integral Detallado'!S357:S358,'Cuadro Mando Integral Detallado'!S361,'Cuadro Mando Integral Detallado'!S363:S364)</f>
        <v>0.86381074168797956</v>
      </c>
      <c r="Q7" s="389">
        <f t="shared" si="0"/>
        <v>0.86381074168797956</v>
      </c>
      <c r="R7" s="380">
        <f t="shared" si="1"/>
        <v>0.86381074168797956</v>
      </c>
      <c r="S7" s="380">
        <f t="shared" si="2"/>
        <v>0.86381074168797956</v>
      </c>
      <c r="T7" s="380">
        <f t="shared" si="3"/>
        <v>0.86381074168797956</v>
      </c>
      <c r="U7" s="381">
        <f t="shared" si="4"/>
        <v>0.86381074168797956</v>
      </c>
      <c r="V7" s="430">
        <f>AVERAGE('Cuadro Mando Integral Detallado'!V174:V181,'Cuadro Mando Integral Detallado'!V187:V194,'Cuadro Mando Integral Detallado'!V198:V207,'Cuadro Mando Integral Detallado'!V244,'Cuadro Mando Integral Detallado'!V246,'Cuadro Mando Integral Detallado'!V249,'Cuadro Mando Integral Detallado'!V254:V255,'Cuadro Mando Integral Detallado'!V280:V281,'Cuadro Mando Integral Detallado'!V299:V305,'Cuadro Mando Integral Detallado'!V307:V308,'Cuadro Mando Integral Detallado'!V357:V358,'Cuadro Mando Integral Detallado'!V361,'Cuadro Mando Integral Detallado'!V363:V364)</f>
        <v>0.51585175865577659</v>
      </c>
      <c r="W7" s="383">
        <f t="shared" si="5"/>
        <v>0.51585175865577659</v>
      </c>
      <c r="X7" s="384">
        <f t="shared" si="6"/>
        <v>0.51585175865577659</v>
      </c>
      <c r="Y7" s="384">
        <f t="shared" si="7"/>
        <v>0.51585175865577659</v>
      </c>
      <c r="Z7" s="384">
        <f t="shared" si="8"/>
        <v>0.51585175865577659</v>
      </c>
      <c r="AA7" s="385">
        <f t="shared" si="9"/>
        <v>0.51585175865577659</v>
      </c>
      <c r="AB7" s="416"/>
      <c r="AC7" s="430">
        <f>AVERAGE('Cuadro Mando Integral Detallado'!Z174:Z181,'Cuadro Mando Integral Detallado'!Z187:Z194,'Cuadro Mando Integral Detallado'!Z198:Z206,'Cuadro Mando Integral Detallado'!Z244,'Cuadro Mando Integral Detallado'!Z249,'Cuadro Mando Integral Detallado'!Z254:Z255,'Cuadro Mando Integral Detallado'!Z280:Z281,'Cuadro Mando Integral Detallado'!Z299,'Cuadro Mando Integral Detallado'!Z300:Z305,'Cuadro Mando Integral Detallado'!Z307:Z308,'Cuadro Mando Integral Detallado'!Z357:Z358,'Cuadro Mando Integral Detallado'!Z363:Z364)</f>
        <v>0.87968182756039381</v>
      </c>
      <c r="AD7" s="389">
        <f t="shared" ref="AD7" si="29">+AC7</f>
        <v>0.87968182756039381</v>
      </c>
      <c r="AE7" s="380">
        <f t="shared" ref="AE7" si="30">+AC7</f>
        <v>0.87968182756039381</v>
      </c>
      <c r="AF7" s="380">
        <f t="shared" ref="AF7" si="31">+AC7</f>
        <v>0.87968182756039381</v>
      </c>
      <c r="AG7" s="380">
        <f t="shared" ref="AG7" si="32">+AC7</f>
        <v>0.87968182756039381</v>
      </c>
      <c r="AH7" s="381">
        <f t="shared" ref="AH7" si="33">+AC7</f>
        <v>0.87968182756039381</v>
      </c>
      <c r="AI7" s="430">
        <f>AVERAGE('Cuadro Mando Integral Detallado'!AC174:AC181,'Cuadro Mando Integral Detallado'!AC187:AC194,'Cuadro Mando Integral Detallado'!AC198:AC206,'Cuadro Mando Integral Detallado'!AC244,'Cuadro Mando Integral Detallado'!AC249,'Cuadro Mando Integral Detallado'!AC254:AR255,'Cuadro Mando Integral Detallado'!AC280:AC281,'Cuadro Mando Integral Detallado'!AC299,'Cuadro Mando Integral Detallado'!AC300:AC305,'Cuadro Mando Integral Detallado'!AC307:AC308,'Cuadro Mando Integral Detallado'!AC357:AC358,'Cuadro Mando Integral Detallado'!AC363:AC364)</f>
        <v>0.68916707145896583</v>
      </c>
      <c r="AJ7" s="389">
        <f t="shared" ref="AJ7" si="34">+AI7</f>
        <v>0.68916707145896583</v>
      </c>
      <c r="AK7" s="384">
        <f t="shared" ref="AK7" si="35">+AI7</f>
        <v>0.68916707145896583</v>
      </c>
      <c r="AL7" s="384">
        <f t="shared" ref="AL7" si="36">+AI7</f>
        <v>0.68916707145896583</v>
      </c>
      <c r="AM7" s="384">
        <f t="shared" ref="AM7" si="37">+AI7</f>
        <v>0.68916707145896583</v>
      </c>
      <c r="AN7" s="385">
        <f t="shared" ref="AN7" si="38">+AI7</f>
        <v>0.68916707145896583</v>
      </c>
      <c r="AO7" s="416"/>
      <c r="AP7" s="430">
        <f>AVERAGE('Cuadro Mando Integral Detallado'!AG174:AG181,'Cuadro Mando Integral Detallado'!AG187:AG194,'Cuadro Mando Integral Detallado'!AG198:AG206,'Cuadro Mando Integral Detallado'!AG244,'Cuadro Mando Integral Detallado'!AG249,'Cuadro Mando Integral Detallado'!AG254:AG255,'Cuadro Mando Integral Detallado'!AG280:AG281,'Cuadro Mando Integral Detallado'!AG299,'Cuadro Mando Integral Detallado'!AG300:AG305,'Cuadro Mando Integral Detallado'!AG307:AG308,'Cuadro Mando Integral Detallado'!AG357:AG358,'Cuadro Mando Integral Detallado'!AG363:AG364)</f>
        <v>0</v>
      </c>
      <c r="AQ7" s="389">
        <f t="shared" si="20"/>
        <v>0</v>
      </c>
      <c r="AR7" s="380">
        <f t="shared" si="21"/>
        <v>0</v>
      </c>
      <c r="AS7" s="380">
        <f t="shared" si="22"/>
        <v>0</v>
      </c>
      <c r="AT7" s="380">
        <f t="shared" si="23"/>
        <v>0</v>
      </c>
      <c r="AU7" s="381">
        <f t="shared" si="24"/>
        <v>0</v>
      </c>
      <c r="AV7" s="430">
        <f>AVERAGE('Cuadro Mando Integral Detallado'!AI174:AI181,'Cuadro Mando Integral Detallado'!AI187:AI194,'Cuadro Mando Integral Detallado'!AI198:AI206,'Cuadro Mando Integral Detallado'!AI244,'Cuadro Mando Integral Detallado'!AI249,'Cuadro Mando Integral Detallado'!AI254:AI255,'Cuadro Mando Integral Detallado'!AI280:AI281,'Cuadro Mando Integral Detallado'!AI299,'Cuadro Mando Integral Detallado'!AI300:AI305,'Cuadro Mando Integral Detallado'!AI307:AI308,'Cuadro Mando Integral Detallado'!AI357:AI358,'Cuadro Mando Integral Detallado'!AI363:AI364)</f>
        <v>0.65902821148381252</v>
      </c>
      <c r="AW7" s="389">
        <f t="shared" ref="AW7:AW18" si="39">+AV7</f>
        <v>0.65902821148381252</v>
      </c>
      <c r="AX7" s="384">
        <f t="shared" si="25"/>
        <v>0.65902821148381252</v>
      </c>
      <c r="AY7" s="384">
        <f t="shared" si="26"/>
        <v>0.65902821148381252</v>
      </c>
      <c r="AZ7" s="384">
        <f t="shared" si="27"/>
        <v>0.65902821148381252</v>
      </c>
      <c r="BA7" s="385">
        <f t="shared" si="28"/>
        <v>0.65902821148381252</v>
      </c>
    </row>
    <row r="8" spans="1:53" ht="18" x14ac:dyDescent="0.25">
      <c r="A8" s="377" t="s">
        <v>337</v>
      </c>
      <c r="B8" s="428"/>
      <c r="C8" s="430">
        <f>AVERAGE('Cuadro Mando Integral Detallado'!L256:L259)</f>
        <v>0.84</v>
      </c>
      <c r="D8" s="389">
        <f>+C8</f>
        <v>0.84</v>
      </c>
      <c r="E8" s="380">
        <f>+C8</f>
        <v>0.84</v>
      </c>
      <c r="F8" s="380">
        <f>+C8</f>
        <v>0.84</v>
      </c>
      <c r="G8" s="380">
        <f>+C8</f>
        <v>0.84</v>
      </c>
      <c r="H8" s="381">
        <f>+C8</f>
        <v>0.84</v>
      </c>
      <c r="I8" s="430">
        <f>AVERAGE('Cuadro Mando Integral Detallado'!O256:O259)</f>
        <v>0.10357583230579531</v>
      </c>
      <c r="J8" s="383">
        <f>+I8</f>
        <v>0.10357583230579531</v>
      </c>
      <c r="K8" s="384">
        <f>+I8</f>
        <v>0.10357583230579531</v>
      </c>
      <c r="L8" s="384">
        <f>+I8</f>
        <v>0.10357583230579531</v>
      </c>
      <c r="M8" s="384">
        <f>+I8</f>
        <v>0.10357583230579531</v>
      </c>
      <c r="N8" s="385">
        <f>+I8</f>
        <v>0.10357583230579531</v>
      </c>
      <c r="O8" s="11"/>
      <c r="P8" s="430">
        <f>AVERAGE('Cuadro Mando Integral Detallado'!S256:S259)</f>
        <v>1</v>
      </c>
      <c r="Q8" s="389">
        <f t="shared" si="0"/>
        <v>1</v>
      </c>
      <c r="R8" s="380">
        <f t="shared" si="1"/>
        <v>1</v>
      </c>
      <c r="S8" s="380">
        <f t="shared" si="2"/>
        <v>1</v>
      </c>
      <c r="T8" s="380">
        <f t="shared" si="3"/>
        <v>1</v>
      </c>
      <c r="U8" s="381">
        <f t="shared" si="4"/>
        <v>1</v>
      </c>
      <c r="V8" s="430">
        <f>AVERAGE('Cuadro Mando Integral Detallado'!V256:V259)</f>
        <v>0.73674475955610363</v>
      </c>
      <c r="W8" s="383">
        <f t="shared" si="5"/>
        <v>0.73674475955610363</v>
      </c>
      <c r="X8" s="384">
        <f t="shared" si="6"/>
        <v>0.73674475955610363</v>
      </c>
      <c r="Y8" s="384">
        <f t="shared" si="7"/>
        <v>0.73674475955610363</v>
      </c>
      <c r="Z8" s="384">
        <f t="shared" si="8"/>
        <v>0.73674475955610363</v>
      </c>
      <c r="AA8" s="385">
        <f t="shared" si="9"/>
        <v>0.73674475955610363</v>
      </c>
      <c r="AB8" s="419"/>
      <c r="AC8" s="811">
        <f>AVERAGE('Cuadro Mando Integral Detallado'!Z256:Z259)</f>
        <v>1</v>
      </c>
      <c r="AD8" s="389">
        <f t="shared" ref="AD8:AD9" si="40">+AC8</f>
        <v>1</v>
      </c>
      <c r="AE8" s="380">
        <f t="shared" ref="AE8:AE9" si="41">+AC8</f>
        <v>1</v>
      </c>
      <c r="AF8" s="380">
        <f t="shared" ref="AF8:AF9" si="42">+AC8</f>
        <v>1</v>
      </c>
      <c r="AG8" s="380">
        <f t="shared" ref="AG8:AG9" si="43">+AC8</f>
        <v>1</v>
      </c>
      <c r="AH8" s="381">
        <f t="shared" ref="AH8:AH9" si="44">+AC8</f>
        <v>1</v>
      </c>
      <c r="AI8" s="430">
        <f>AVERAGE('Cuadro Mando Integral Detallado'!AC256:AC259)</f>
        <v>0.94780106863953961</v>
      </c>
      <c r="AJ8" s="389">
        <f t="shared" ref="AJ8" si="45">+AI8</f>
        <v>0.94780106863953961</v>
      </c>
      <c r="AK8" s="384">
        <f t="shared" ref="AK8" si="46">+AI8</f>
        <v>0.94780106863953961</v>
      </c>
      <c r="AL8" s="384">
        <f t="shared" ref="AL8" si="47">+AI8</f>
        <v>0.94780106863953961</v>
      </c>
      <c r="AM8" s="384">
        <f t="shared" ref="AM8" si="48">+AI8</f>
        <v>0.94780106863953961</v>
      </c>
      <c r="AN8" s="385">
        <f t="shared" ref="AN8" si="49">+AI8</f>
        <v>0.94780106863953961</v>
      </c>
      <c r="AO8" s="416"/>
      <c r="AP8" s="430">
        <f>AVERAGE('Cuadro Mando Integral Detallado'!AG256:AG259)</f>
        <v>0</v>
      </c>
      <c r="AQ8" s="389">
        <f t="shared" si="20"/>
        <v>0</v>
      </c>
      <c r="AR8" s="380">
        <f t="shared" si="21"/>
        <v>0</v>
      </c>
      <c r="AS8" s="380">
        <f t="shared" si="22"/>
        <v>0</v>
      </c>
      <c r="AT8" s="380">
        <f t="shared" si="23"/>
        <v>0</v>
      </c>
      <c r="AU8" s="381">
        <f t="shared" si="24"/>
        <v>0</v>
      </c>
      <c r="AV8" s="430">
        <f>AVERAGE('Cuadro Mando Integral Detallado'!AI256:AI259)</f>
        <v>0.96085080147965474</v>
      </c>
      <c r="AW8" s="389">
        <f t="shared" si="39"/>
        <v>0.96085080147965474</v>
      </c>
      <c r="AX8" s="384">
        <f t="shared" si="25"/>
        <v>0.96085080147965474</v>
      </c>
      <c r="AY8" s="384">
        <f t="shared" si="26"/>
        <v>0.96085080147965474</v>
      </c>
      <c r="AZ8" s="384">
        <f t="shared" si="27"/>
        <v>0.96085080147965474</v>
      </c>
      <c r="BA8" s="385">
        <f t="shared" si="28"/>
        <v>0.96085080147965474</v>
      </c>
    </row>
    <row r="9" spans="1:53" ht="18" x14ac:dyDescent="0.25">
      <c r="A9" s="377" t="s">
        <v>502</v>
      </c>
      <c r="B9" s="428"/>
      <c r="C9" s="430">
        <f>AVERAGE('Cuadro Mando Integral Detallado'!L314:L331,'Cuadro Mando Integral Detallado'!L358:L360,'Cuadro Mando Integral Detallado'!L363:L364)</f>
        <v>1</v>
      </c>
      <c r="D9" s="389">
        <f>+C9</f>
        <v>1</v>
      </c>
      <c r="E9" s="380">
        <f>+C9</f>
        <v>1</v>
      </c>
      <c r="F9" s="380">
        <f>+C9</f>
        <v>1</v>
      </c>
      <c r="G9" s="380">
        <f>+C9</f>
        <v>1</v>
      </c>
      <c r="H9" s="381">
        <f>+C9</f>
        <v>1</v>
      </c>
      <c r="I9" s="430">
        <f>AVERAGE('Cuadro Mando Integral Detallado'!O314:O331,'Cuadro Mando Integral Detallado'!O358,'Cuadro Mando Integral Detallado'!O359:O360,'Cuadro Mando Integral Detallado'!O363:O364)</f>
        <v>0.25</v>
      </c>
      <c r="J9" s="383">
        <f>+I9</f>
        <v>0.25</v>
      </c>
      <c r="K9" s="384">
        <f>+I9</f>
        <v>0.25</v>
      </c>
      <c r="L9" s="384">
        <f>+I9</f>
        <v>0.25</v>
      </c>
      <c r="M9" s="384">
        <f>+I9</f>
        <v>0.25</v>
      </c>
      <c r="N9" s="385">
        <f>+I9</f>
        <v>0.25</v>
      </c>
      <c r="O9" s="11"/>
      <c r="P9" s="430">
        <f>AVERAGE('Cuadro Mando Integral Detallado'!S314:S331,'Cuadro Mando Integral Detallado'!S356,'Cuadro Mando Integral Detallado'!S358:S360,'Cuadro Mando Integral Detallado'!S363:S364)</f>
        <v>0.75</v>
      </c>
      <c r="Q9" s="389">
        <f t="shared" si="0"/>
        <v>0.75</v>
      </c>
      <c r="R9" s="380">
        <f t="shared" si="1"/>
        <v>0.75</v>
      </c>
      <c r="S9" s="380">
        <f t="shared" si="2"/>
        <v>0.75</v>
      </c>
      <c r="T9" s="380">
        <f t="shared" si="3"/>
        <v>0.75</v>
      </c>
      <c r="U9" s="381">
        <f t="shared" si="4"/>
        <v>0.75</v>
      </c>
      <c r="V9" s="430">
        <f>AVERAGE('Cuadro Mando Integral Detallado'!V314:V331,'Cuadro Mando Integral Detallado'!V356,'Cuadro Mando Integral Detallado'!V358:V360,'Cuadro Mando Integral Detallado'!V363:V364)</f>
        <v>0.375</v>
      </c>
      <c r="W9" s="383">
        <f t="shared" si="5"/>
        <v>0.375</v>
      </c>
      <c r="X9" s="384">
        <f t="shared" si="6"/>
        <v>0.375</v>
      </c>
      <c r="Y9" s="384">
        <f t="shared" si="7"/>
        <v>0.375</v>
      </c>
      <c r="Z9" s="384">
        <f t="shared" si="8"/>
        <v>0.375</v>
      </c>
      <c r="AA9" s="385">
        <f t="shared" si="9"/>
        <v>0.375</v>
      </c>
      <c r="AB9" s="416"/>
      <c r="AC9" s="430">
        <f>AVERAGE('Cuadro Mando Integral Detallado'!Z314:Z331,'Cuadro Mando Integral Detallado'!Z358,'Cuadro Mando Integral Detallado'!Z359:Z360,'Cuadro Mando Integral Detallado'!Z363:Z364)</f>
        <v>0.46666666666666667</v>
      </c>
      <c r="AD9" s="389">
        <f t="shared" si="40"/>
        <v>0.46666666666666667</v>
      </c>
      <c r="AE9" s="380">
        <f t="shared" si="41"/>
        <v>0.46666666666666667</v>
      </c>
      <c r="AF9" s="380">
        <f t="shared" si="42"/>
        <v>0.46666666666666667</v>
      </c>
      <c r="AG9" s="380">
        <f t="shared" si="43"/>
        <v>0.46666666666666667</v>
      </c>
      <c r="AH9" s="381">
        <f t="shared" si="44"/>
        <v>0.46666666666666667</v>
      </c>
      <c r="AI9" s="430">
        <f>AVERAGE('Cuadro Mando Integral Detallado'!AC314:AC331,'Cuadro Mando Integral Detallado'!AC358,'Cuadro Mando Integral Detallado'!AC359:AC360,'Cuadro Mando Integral Detallado'!AC363:AC364)</f>
        <v>0.52380952380952384</v>
      </c>
      <c r="AJ9" s="389">
        <f t="shared" ref="AJ9" si="50">+AI9</f>
        <v>0.52380952380952384</v>
      </c>
      <c r="AK9" s="384">
        <f t="shared" ref="AK9" si="51">+AI9</f>
        <v>0.52380952380952384</v>
      </c>
      <c r="AL9" s="384">
        <f t="shared" ref="AL9" si="52">+AI9</f>
        <v>0.52380952380952384</v>
      </c>
      <c r="AM9" s="384">
        <f t="shared" ref="AM9" si="53">+AI9</f>
        <v>0.52380952380952384</v>
      </c>
      <c r="AN9" s="385">
        <f t="shared" ref="AN9" si="54">+AI9</f>
        <v>0.52380952380952384</v>
      </c>
      <c r="AO9" s="416"/>
      <c r="AP9" s="430">
        <f>AVERAGE('Cuadro Mando Integral Detallado'!AG314:AG331,'Cuadro Mando Integral Detallado'!AG358,'Cuadro Mando Integral Detallado'!AG359:AG360,'Cuadro Mando Integral Detallado'!AG363:AG364)</f>
        <v>0</v>
      </c>
      <c r="AQ9" s="389">
        <f t="shared" si="20"/>
        <v>0</v>
      </c>
      <c r="AR9" s="380">
        <f t="shared" si="21"/>
        <v>0</v>
      </c>
      <c r="AS9" s="380">
        <f t="shared" si="22"/>
        <v>0</v>
      </c>
      <c r="AT9" s="380">
        <f t="shared" si="23"/>
        <v>0</v>
      </c>
      <c r="AU9" s="381">
        <f t="shared" si="24"/>
        <v>0</v>
      </c>
      <c r="AV9" s="430">
        <f>AVERAGE('Cuadro Mando Integral Detallado'!AI314:AI331,'Cuadro Mando Integral Detallado'!AI358,'Cuadro Mando Integral Detallado'!AI359:AI360,'Cuadro Mando Integral Detallado'!AI363:AI364)</f>
        <v>0.46296296296296291</v>
      </c>
      <c r="AW9" s="389">
        <f t="shared" si="39"/>
        <v>0.46296296296296291</v>
      </c>
      <c r="AX9" s="384">
        <f t="shared" si="25"/>
        <v>0.46296296296296291</v>
      </c>
      <c r="AY9" s="384">
        <f t="shared" si="26"/>
        <v>0.46296296296296291</v>
      </c>
      <c r="AZ9" s="384">
        <f t="shared" si="27"/>
        <v>0.46296296296296291</v>
      </c>
      <c r="BA9" s="385">
        <f t="shared" si="28"/>
        <v>0.46296296296296291</v>
      </c>
    </row>
    <row r="10" spans="1:53" ht="36" x14ac:dyDescent="0.25">
      <c r="A10" s="377" t="s">
        <v>996</v>
      </c>
      <c r="B10" s="428"/>
      <c r="C10" s="430">
        <f>AVERAGE('Cuadro Mando Integral Detallado'!L183,'Cuadro Mando Integral Detallado'!L262:L276,'Cuadro Mando Integral Detallado'!L310:L313)</f>
        <v>0.8</v>
      </c>
      <c r="D10" s="389">
        <f t="shared" ref="D10:D17" si="55">+C10</f>
        <v>0.8</v>
      </c>
      <c r="E10" s="380">
        <f t="shared" ref="E10:E17" si="56">+C10</f>
        <v>0.8</v>
      </c>
      <c r="F10" s="380">
        <f t="shared" ref="F10:F17" si="57">+C10</f>
        <v>0.8</v>
      </c>
      <c r="G10" s="380">
        <f t="shared" ref="G10:G17" si="58">+C10</f>
        <v>0.8</v>
      </c>
      <c r="H10" s="381">
        <f t="shared" ref="H10:H17" si="59">+C10</f>
        <v>0.8</v>
      </c>
      <c r="I10" s="430">
        <f>AVERAGE('Cuadro Mando Integral Detallado'!O183,'Cuadro Mando Integral Detallado'!O262:O276,'Cuadro Mando Integral Detallado'!O310:O313)</f>
        <v>0.5</v>
      </c>
      <c r="J10" s="383">
        <f t="shared" ref="J10:J17" si="60">+I10</f>
        <v>0.5</v>
      </c>
      <c r="K10" s="384">
        <f t="shared" ref="K10:K17" si="61">+I10</f>
        <v>0.5</v>
      </c>
      <c r="L10" s="384">
        <f t="shared" ref="L10:L17" si="62">+I10</f>
        <v>0.5</v>
      </c>
      <c r="M10" s="384">
        <f t="shared" ref="M10:M17" si="63">+I10</f>
        <v>0.5</v>
      </c>
      <c r="N10" s="385">
        <f t="shared" ref="N10:N17" si="64">+I10</f>
        <v>0.5</v>
      </c>
      <c r="O10" s="11"/>
      <c r="P10" s="430">
        <f>AVERAGE('Cuadro Mando Integral Detallado'!S183,'Cuadro Mando Integral Detallado'!S262:S276,'Cuadro Mando Integral Detallado'!S310:S313,'Cuadro Mando Integral Detallado'!S356)</f>
        <v>1</v>
      </c>
      <c r="Q10" s="389"/>
      <c r="R10" s="380"/>
      <c r="S10" s="380"/>
      <c r="T10" s="380"/>
      <c r="U10" s="381"/>
      <c r="V10" s="430">
        <f>AVERAGE('Cuadro Mando Integral Detallado'!V183,'Cuadro Mando Integral Detallado'!V262:V276,'Cuadro Mando Integral Detallado'!V310:V313,'Cuadro Mando Integral Detallado'!V356)</f>
        <v>0.6</v>
      </c>
      <c r="W10" s="383">
        <f t="shared" ref="W10:W17" si="65">+V10</f>
        <v>0.6</v>
      </c>
      <c r="X10" s="384">
        <f t="shared" ref="X10:X17" si="66">+V10</f>
        <v>0.6</v>
      </c>
      <c r="Y10" s="384">
        <f t="shared" ref="Y10:Y17" si="67">+V10</f>
        <v>0.6</v>
      </c>
      <c r="Z10" s="384">
        <f t="shared" ref="Z10:Z17" si="68">+V10</f>
        <v>0.6</v>
      </c>
      <c r="AA10" s="385">
        <f t="shared" ref="AA10:AA17" si="69">+V10</f>
        <v>0.6</v>
      </c>
      <c r="AB10" s="416"/>
      <c r="AC10" s="430">
        <f>AVERAGE('Cuadro Mando Integral Detallado'!Z183,'Cuadro Mando Integral Detallado'!Z262:Z276,'Cuadro Mando Integral Detallado'!Z310:Z313)</f>
        <v>0.875</v>
      </c>
      <c r="AD10" s="389">
        <f t="shared" ref="AD10" si="70">+AC10</f>
        <v>0.875</v>
      </c>
      <c r="AE10" s="380">
        <f t="shared" ref="AE10" si="71">+AC10</f>
        <v>0.875</v>
      </c>
      <c r="AF10" s="380">
        <f t="shared" ref="AF10" si="72">+AC10</f>
        <v>0.875</v>
      </c>
      <c r="AG10" s="380">
        <f t="shared" ref="AG10" si="73">+AC10</f>
        <v>0.875</v>
      </c>
      <c r="AH10" s="381">
        <f t="shared" ref="AH10" si="74">+AC10</f>
        <v>0.875</v>
      </c>
      <c r="AI10" s="430">
        <f>AVERAGE('Cuadro Mando Integral Detallado'!AC183,'Cuadro Mando Integral Detallado'!AC262:AC276,'Cuadro Mando Integral Detallado'!AC310:AC313)</f>
        <v>0.75</v>
      </c>
      <c r="AJ10" s="389">
        <f t="shared" ref="AJ10" si="75">+AI10</f>
        <v>0.75</v>
      </c>
      <c r="AK10" s="384">
        <f t="shared" ref="AK10" si="76">+AI10</f>
        <v>0.75</v>
      </c>
      <c r="AL10" s="384">
        <f t="shared" ref="AL10" si="77">+AI10</f>
        <v>0.75</v>
      </c>
      <c r="AM10" s="384">
        <f t="shared" ref="AM10" si="78">+AI10</f>
        <v>0.75</v>
      </c>
      <c r="AN10" s="385">
        <f t="shared" ref="AN10" si="79">+AI10</f>
        <v>0.75</v>
      </c>
      <c r="AO10" s="416"/>
      <c r="AP10" s="430">
        <f>AVERAGE('Cuadro Mando Integral Detallado'!AG183,'Cuadro Mando Integral Detallado'!AG262:AG276,'Cuadro Mando Integral Detallado'!AG310:AG313)</f>
        <v>0.2</v>
      </c>
      <c r="AQ10" s="389"/>
      <c r="AR10" s="380"/>
      <c r="AS10" s="380"/>
      <c r="AT10" s="380"/>
      <c r="AU10" s="381"/>
      <c r="AV10" s="430">
        <f>AVERAGE('Cuadro Mando Integral Detallado'!AI183,'Cuadro Mando Integral Detallado'!AI262:AI276,'Cuadro Mando Integral Detallado'!AI310:AI313)</f>
        <v>0.6428571428571429</v>
      </c>
      <c r="AW10" s="389"/>
      <c r="AX10" s="384"/>
      <c r="AY10" s="384"/>
      <c r="AZ10" s="384"/>
      <c r="BA10" s="385"/>
    </row>
    <row r="11" spans="1:53" ht="36" x14ac:dyDescent="0.25">
      <c r="A11" s="377" t="s">
        <v>1181</v>
      </c>
      <c r="B11" s="428"/>
      <c r="C11" s="430">
        <f>AVERAGE('Cuadro Mando Integral Detallado'!L332:L355)</f>
        <v>1</v>
      </c>
      <c r="D11" s="389">
        <f t="shared" si="55"/>
        <v>1</v>
      </c>
      <c r="E11" s="380">
        <f t="shared" si="56"/>
        <v>1</v>
      </c>
      <c r="F11" s="380">
        <f t="shared" si="57"/>
        <v>1</v>
      </c>
      <c r="G11" s="380">
        <f t="shared" si="58"/>
        <v>1</v>
      </c>
      <c r="H11" s="381">
        <f t="shared" si="59"/>
        <v>1</v>
      </c>
      <c r="I11" s="430">
        <f>AVERAGE('Cuadro Mando Integral Detallado'!O332:O355)</f>
        <v>5.2631578947368418E-2</v>
      </c>
      <c r="J11" s="383">
        <f t="shared" si="60"/>
        <v>5.2631578947368418E-2</v>
      </c>
      <c r="K11" s="384">
        <f t="shared" si="61"/>
        <v>5.2631578947368418E-2</v>
      </c>
      <c r="L11" s="384">
        <f t="shared" si="62"/>
        <v>5.2631578947368418E-2</v>
      </c>
      <c r="M11" s="384">
        <f t="shared" si="63"/>
        <v>5.2631578947368418E-2</v>
      </c>
      <c r="N11" s="385">
        <f t="shared" si="64"/>
        <v>5.2631578947368418E-2</v>
      </c>
      <c r="O11" s="11"/>
      <c r="P11" s="430">
        <f>AVERAGE('Cuadro Mando Integral Detallado'!S332:S355)</f>
        <v>1</v>
      </c>
      <c r="Q11" s="389">
        <f t="shared" si="0"/>
        <v>1</v>
      </c>
      <c r="R11" s="380">
        <f t="shared" si="1"/>
        <v>1</v>
      </c>
      <c r="S11" s="380">
        <f t="shared" si="2"/>
        <v>1</v>
      </c>
      <c r="T11" s="380">
        <f t="shared" si="3"/>
        <v>1</v>
      </c>
      <c r="U11" s="381">
        <f t="shared" si="4"/>
        <v>1</v>
      </c>
      <c r="V11" s="430">
        <f>AVERAGE('Cuadro Mando Integral Detallado'!V332:V355)</f>
        <v>0.15789473684210525</v>
      </c>
      <c r="W11" s="383">
        <f t="shared" si="65"/>
        <v>0.15789473684210525</v>
      </c>
      <c r="X11" s="384">
        <f t="shared" si="66"/>
        <v>0.15789473684210525</v>
      </c>
      <c r="Y11" s="384">
        <f t="shared" si="67"/>
        <v>0.15789473684210525</v>
      </c>
      <c r="Z11" s="384">
        <f t="shared" si="68"/>
        <v>0.15789473684210525</v>
      </c>
      <c r="AA11" s="385">
        <f t="shared" si="69"/>
        <v>0.15789473684210525</v>
      </c>
      <c r="AB11" s="416"/>
      <c r="AC11" s="430">
        <f>AVERAGE('Cuadro Mando Integral Detallado'!Z332:Z355)</f>
        <v>0.25</v>
      </c>
      <c r="AD11" s="389">
        <f t="shared" ref="AD11" si="80">+AC11</f>
        <v>0.25</v>
      </c>
      <c r="AE11" s="380">
        <f t="shared" ref="AE11" si="81">+AC11</f>
        <v>0.25</v>
      </c>
      <c r="AF11" s="380">
        <f t="shared" ref="AF11" si="82">+AC11</f>
        <v>0.25</v>
      </c>
      <c r="AG11" s="380">
        <f t="shared" ref="AG11" si="83">+AC11</f>
        <v>0.25</v>
      </c>
      <c r="AH11" s="381">
        <f t="shared" ref="AH11" si="84">+AC11</f>
        <v>0.25</v>
      </c>
      <c r="AI11" s="430">
        <f>AVERAGE('Cuadro Mando Integral Detallado'!AC332:AC355)</f>
        <v>0.15789473684210525</v>
      </c>
      <c r="AJ11" s="389">
        <f t="shared" ref="AJ11" si="85">+AI11</f>
        <v>0.15789473684210525</v>
      </c>
      <c r="AK11" s="384">
        <f t="shared" ref="AK11" si="86">+AI11</f>
        <v>0.15789473684210525</v>
      </c>
      <c r="AL11" s="384">
        <f t="shared" ref="AL11" si="87">+AI11</f>
        <v>0.15789473684210525</v>
      </c>
      <c r="AM11" s="384">
        <f t="shared" ref="AM11" si="88">+AI11</f>
        <v>0.15789473684210525</v>
      </c>
      <c r="AN11" s="385">
        <f t="shared" ref="AN11" si="89">+AI11</f>
        <v>0.15789473684210525</v>
      </c>
      <c r="AO11" s="416"/>
      <c r="AP11" s="430">
        <f>AVERAGE('Cuadro Mando Integral Detallado'!AG332:AG355)</f>
        <v>0</v>
      </c>
      <c r="AQ11" s="389">
        <f t="shared" si="20"/>
        <v>0</v>
      </c>
      <c r="AR11" s="380">
        <f t="shared" si="21"/>
        <v>0</v>
      </c>
      <c r="AS11" s="380">
        <f t="shared" si="22"/>
        <v>0</v>
      </c>
      <c r="AT11" s="380">
        <f t="shared" si="23"/>
        <v>0</v>
      </c>
      <c r="AU11" s="381">
        <f t="shared" si="24"/>
        <v>0</v>
      </c>
      <c r="AV11" s="430">
        <f>AVERAGE('Cuadro Mando Integral Detallado'!AI332:AI355)</f>
        <v>0.15789473684210525</v>
      </c>
      <c r="AW11" s="389">
        <f t="shared" si="39"/>
        <v>0.15789473684210525</v>
      </c>
      <c r="AX11" s="384">
        <f t="shared" si="25"/>
        <v>0.15789473684210525</v>
      </c>
      <c r="AY11" s="384">
        <f t="shared" si="26"/>
        <v>0.15789473684210525</v>
      </c>
      <c r="AZ11" s="384">
        <f t="shared" si="27"/>
        <v>0.15789473684210525</v>
      </c>
      <c r="BA11" s="385">
        <f t="shared" si="28"/>
        <v>0.15789473684210525</v>
      </c>
    </row>
    <row r="12" spans="1:53" ht="18" x14ac:dyDescent="0.25">
      <c r="A12" s="431" t="s">
        <v>845</v>
      </c>
      <c r="B12" s="428"/>
      <c r="C12" s="430" t="e">
        <f>AVERAGE('Cuadro Mando Integral Detallado'!L277:L279)</f>
        <v>#DIV/0!</v>
      </c>
      <c r="D12" s="389" t="e">
        <f t="shared" si="55"/>
        <v>#DIV/0!</v>
      </c>
      <c r="E12" s="380" t="e">
        <f t="shared" si="56"/>
        <v>#DIV/0!</v>
      </c>
      <c r="F12" s="380" t="e">
        <f t="shared" si="57"/>
        <v>#DIV/0!</v>
      </c>
      <c r="G12" s="380" t="e">
        <f t="shared" si="58"/>
        <v>#DIV/0!</v>
      </c>
      <c r="H12" s="381" t="e">
        <f t="shared" si="59"/>
        <v>#DIV/0!</v>
      </c>
      <c r="I12" s="430" t="e">
        <f>AVERAGE('Cuadro Mando Integral Detallado'!O277:O279)</f>
        <v>#DIV/0!</v>
      </c>
      <c r="J12" s="383" t="e">
        <f t="shared" si="60"/>
        <v>#DIV/0!</v>
      </c>
      <c r="K12" s="384" t="e">
        <f t="shared" si="61"/>
        <v>#DIV/0!</v>
      </c>
      <c r="L12" s="384" t="e">
        <f t="shared" si="62"/>
        <v>#DIV/0!</v>
      </c>
      <c r="M12" s="384" t="e">
        <f t="shared" si="63"/>
        <v>#DIV/0!</v>
      </c>
      <c r="N12" s="385" t="e">
        <f t="shared" si="64"/>
        <v>#DIV/0!</v>
      </c>
      <c r="O12" s="11"/>
      <c r="P12" s="430" t="e">
        <f>AVERAGE('Cuadro Mando Integral Detallado'!S277:S279)</f>
        <v>#DIV/0!</v>
      </c>
      <c r="Q12" s="389" t="e">
        <f t="shared" si="0"/>
        <v>#DIV/0!</v>
      </c>
      <c r="R12" s="380" t="e">
        <f t="shared" si="1"/>
        <v>#DIV/0!</v>
      </c>
      <c r="S12" s="380" t="e">
        <f t="shared" si="2"/>
        <v>#DIV/0!</v>
      </c>
      <c r="T12" s="380" t="e">
        <f t="shared" si="3"/>
        <v>#DIV/0!</v>
      </c>
      <c r="U12" s="381" t="e">
        <f t="shared" si="4"/>
        <v>#DIV/0!</v>
      </c>
      <c r="V12" s="430" t="e">
        <f>AVERAGE('Cuadro Mando Integral Detallado'!V277:V279)</f>
        <v>#DIV/0!</v>
      </c>
      <c r="W12" s="383" t="e">
        <f t="shared" si="65"/>
        <v>#DIV/0!</v>
      </c>
      <c r="X12" s="384" t="e">
        <f t="shared" si="66"/>
        <v>#DIV/0!</v>
      </c>
      <c r="Y12" s="384" t="e">
        <f t="shared" si="67"/>
        <v>#DIV/0!</v>
      </c>
      <c r="Z12" s="384" t="e">
        <f t="shared" si="68"/>
        <v>#DIV/0!</v>
      </c>
      <c r="AA12" s="385" t="e">
        <f t="shared" si="69"/>
        <v>#DIV/0!</v>
      </c>
      <c r="AB12" s="416"/>
      <c r="AC12" s="430">
        <f>AVERAGE('Cuadro Mando Integral Detallado'!Z277:Z279)</f>
        <v>0.33333333333333331</v>
      </c>
      <c r="AD12" s="389">
        <f t="shared" ref="AD12" si="90">+AC12</f>
        <v>0.33333333333333331</v>
      </c>
      <c r="AE12" s="380">
        <f t="shared" ref="AE12" si="91">+AC12</f>
        <v>0.33333333333333331</v>
      </c>
      <c r="AF12" s="380">
        <f t="shared" ref="AF12" si="92">+AC12</f>
        <v>0.33333333333333331</v>
      </c>
      <c r="AG12" s="380">
        <f t="shared" ref="AG12" si="93">+AC12</f>
        <v>0.33333333333333331</v>
      </c>
      <c r="AH12" s="381">
        <f t="shared" ref="AH12" si="94">+AC12</f>
        <v>0.33333333333333331</v>
      </c>
      <c r="AI12" s="430">
        <f>AVERAGE('Cuadro Mando Integral Detallado'!AC277:AC279)</f>
        <v>0.33333333333333331</v>
      </c>
      <c r="AJ12" s="389">
        <f t="shared" ref="AJ12" si="95">+AI12</f>
        <v>0.33333333333333331</v>
      </c>
      <c r="AK12" s="384">
        <f t="shared" ref="AK12" si="96">+AI12</f>
        <v>0.33333333333333331</v>
      </c>
      <c r="AL12" s="384">
        <f t="shared" ref="AL12" si="97">+AI12</f>
        <v>0.33333333333333331</v>
      </c>
      <c r="AM12" s="384">
        <f t="shared" ref="AM12" si="98">+AI12</f>
        <v>0.33333333333333331</v>
      </c>
      <c r="AN12" s="385">
        <f t="shared" ref="AN12" si="99">+AI12</f>
        <v>0.33333333333333331</v>
      </c>
      <c r="AO12" s="416"/>
      <c r="AP12" s="430" t="e">
        <f>AVERAGE('Cuadro Mando Integral Detallado'!AG277:AG279)</f>
        <v>#DIV/0!</v>
      </c>
      <c r="AQ12" s="389" t="e">
        <f t="shared" si="20"/>
        <v>#DIV/0!</v>
      </c>
      <c r="AR12" s="380" t="e">
        <f t="shared" si="21"/>
        <v>#DIV/0!</v>
      </c>
      <c r="AS12" s="380" t="e">
        <f t="shared" si="22"/>
        <v>#DIV/0!</v>
      </c>
      <c r="AT12" s="380" t="e">
        <f t="shared" si="23"/>
        <v>#DIV/0!</v>
      </c>
      <c r="AU12" s="381" t="e">
        <f t="shared" si="24"/>
        <v>#DIV/0!</v>
      </c>
      <c r="AV12" s="430">
        <f>AVERAGE('Cuadro Mando Integral Detallado'!AI277:AI279)</f>
        <v>0.33333333333333331</v>
      </c>
      <c r="AW12" s="389">
        <f t="shared" si="39"/>
        <v>0.33333333333333331</v>
      </c>
      <c r="AX12" s="384">
        <f t="shared" si="25"/>
        <v>0.33333333333333331</v>
      </c>
      <c r="AY12" s="384">
        <f t="shared" si="26"/>
        <v>0.33333333333333331</v>
      </c>
      <c r="AZ12" s="384">
        <f t="shared" si="27"/>
        <v>0.33333333333333331</v>
      </c>
      <c r="BA12" s="385">
        <f t="shared" si="28"/>
        <v>0.33333333333333331</v>
      </c>
    </row>
    <row r="13" spans="1:53" ht="36" x14ac:dyDescent="0.25">
      <c r="A13" s="431" t="s">
        <v>993</v>
      </c>
      <c r="B13" s="428"/>
      <c r="C13" s="430">
        <f>AVERAGE('Cuadro Mando Integral Detallado'!L282:L284)</f>
        <v>0.66666666666666663</v>
      </c>
      <c r="D13" s="389">
        <f t="shared" si="55"/>
        <v>0.66666666666666663</v>
      </c>
      <c r="E13" s="380">
        <f t="shared" si="56"/>
        <v>0.66666666666666663</v>
      </c>
      <c r="F13" s="380">
        <f t="shared" si="57"/>
        <v>0.66666666666666663</v>
      </c>
      <c r="G13" s="380">
        <f t="shared" si="58"/>
        <v>0.66666666666666663</v>
      </c>
      <c r="H13" s="381">
        <f t="shared" si="59"/>
        <v>0.66666666666666663</v>
      </c>
      <c r="I13" s="430">
        <f>AVERAGE('Cuadro Mando Integral Detallado'!O282:O284)</f>
        <v>0.16666666666666666</v>
      </c>
      <c r="J13" s="383">
        <f t="shared" si="60"/>
        <v>0.16666666666666666</v>
      </c>
      <c r="K13" s="384">
        <f t="shared" si="61"/>
        <v>0.16666666666666666</v>
      </c>
      <c r="L13" s="384">
        <f t="shared" si="62"/>
        <v>0.16666666666666666</v>
      </c>
      <c r="M13" s="384">
        <f t="shared" si="63"/>
        <v>0.16666666666666666</v>
      </c>
      <c r="N13" s="385">
        <f t="shared" si="64"/>
        <v>0.16666666666666666</v>
      </c>
      <c r="O13" s="11"/>
      <c r="P13" s="430">
        <f>AVERAGE('Cuadro Mando Integral Detallado'!S282:S284)</f>
        <v>0.77777777777777768</v>
      </c>
      <c r="Q13" s="389">
        <f t="shared" si="0"/>
        <v>0.77777777777777768</v>
      </c>
      <c r="R13" s="380">
        <f t="shared" si="1"/>
        <v>0.77777777777777768</v>
      </c>
      <c r="S13" s="380">
        <f t="shared" si="2"/>
        <v>0.77777777777777768</v>
      </c>
      <c r="T13" s="380">
        <f t="shared" si="3"/>
        <v>0.77777777777777768</v>
      </c>
      <c r="U13" s="381">
        <f t="shared" si="4"/>
        <v>0.77777777777777768</v>
      </c>
      <c r="V13" s="430">
        <f>AVERAGE('Cuadro Mando Integral Detallado'!V282:V284)</f>
        <v>0.36363636363636359</v>
      </c>
      <c r="W13" s="383">
        <f t="shared" si="65"/>
        <v>0.36363636363636359</v>
      </c>
      <c r="X13" s="384">
        <f t="shared" si="66"/>
        <v>0.36363636363636359</v>
      </c>
      <c r="Y13" s="384">
        <f t="shared" si="67"/>
        <v>0.36363636363636359</v>
      </c>
      <c r="Z13" s="384">
        <f t="shared" si="68"/>
        <v>0.36363636363636359</v>
      </c>
      <c r="AA13" s="385">
        <f t="shared" si="69"/>
        <v>0.36363636363636359</v>
      </c>
      <c r="AB13" s="416"/>
      <c r="AC13" s="430">
        <f>AVERAGE('Cuadro Mando Integral Detallado'!Z282:Z284)</f>
        <v>0.77777777777777768</v>
      </c>
      <c r="AD13" s="389">
        <f t="shared" ref="AD13" si="100">+AC13</f>
        <v>0.77777777777777768</v>
      </c>
      <c r="AE13" s="380">
        <f t="shared" ref="AE13" si="101">+AC13</f>
        <v>0.77777777777777768</v>
      </c>
      <c r="AF13" s="380">
        <f t="shared" ref="AF13" si="102">+AC13</f>
        <v>0.77777777777777768</v>
      </c>
      <c r="AG13" s="380">
        <f t="shared" ref="AG13" si="103">+AC13</f>
        <v>0.77777777777777768</v>
      </c>
      <c r="AH13" s="381">
        <f t="shared" ref="AH13" si="104">+AC13</f>
        <v>0.77777777777777768</v>
      </c>
      <c r="AI13" s="430">
        <f>AVERAGE('Cuadro Mando Integral Detallado'!AC282:AC284)</f>
        <v>0.56060606060606066</v>
      </c>
      <c r="AJ13" s="389">
        <f t="shared" ref="AJ13" si="105">+AI13</f>
        <v>0.56060606060606066</v>
      </c>
      <c r="AK13" s="384">
        <f t="shared" ref="AK13" si="106">+AI13</f>
        <v>0.56060606060606066</v>
      </c>
      <c r="AL13" s="384">
        <f t="shared" ref="AL13" si="107">+AI13</f>
        <v>0.56060606060606066</v>
      </c>
      <c r="AM13" s="384">
        <f t="shared" ref="AM13" si="108">+AI13</f>
        <v>0.56060606060606066</v>
      </c>
      <c r="AN13" s="385">
        <f t="shared" ref="AN13" si="109">+AI13</f>
        <v>0.56060606060606066</v>
      </c>
      <c r="AO13" s="416"/>
      <c r="AP13" s="430">
        <f>AVERAGE('Cuadro Mando Integral Detallado'!AG282:AG284)</f>
        <v>0</v>
      </c>
      <c r="AQ13" s="389">
        <f t="shared" si="20"/>
        <v>0</v>
      </c>
      <c r="AR13" s="380">
        <f t="shared" si="21"/>
        <v>0</v>
      </c>
      <c r="AS13" s="380">
        <f t="shared" si="22"/>
        <v>0</v>
      </c>
      <c r="AT13" s="380">
        <f t="shared" si="23"/>
        <v>0</v>
      </c>
      <c r="AU13" s="381">
        <f t="shared" si="24"/>
        <v>0</v>
      </c>
      <c r="AV13" s="430">
        <f>AVERAGE('Cuadro Mando Integral Detallado'!AI282:AI284)</f>
        <v>0.56060606060606066</v>
      </c>
      <c r="AW13" s="389">
        <f>+AV13</f>
        <v>0.56060606060606066</v>
      </c>
      <c r="AX13" s="384">
        <f t="shared" si="25"/>
        <v>0.56060606060606066</v>
      </c>
      <c r="AY13" s="384">
        <f t="shared" si="26"/>
        <v>0.56060606060606066</v>
      </c>
      <c r="AZ13" s="384">
        <f t="shared" si="27"/>
        <v>0.56060606060606066</v>
      </c>
      <c r="BA13" s="385">
        <f t="shared" si="28"/>
        <v>0.56060606060606066</v>
      </c>
    </row>
    <row r="14" spans="1:53" ht="36" x14ac:dyDescent="0.25">
      <c r="A14" s="431" t="s">
        <v>1224</v>
      </c>
      <c r="B14" s="428"/>
      <c r="C14" s="430">
        <f>AVERAGE('Cuadro Mando Integral Detallado'!L314:L331,'Cuadro Mando Integral Detallado'!L358:L360,'Cuadro Mando Integral Detallado'!L363:L364,'Cuadro Mando Integral Detallado'!L183,'Cuadro Mando Integral Detallado'!L262:L276,'Cuadro Mando Integral Detallado'!L310:L313,'Cuadro Mando Integral Detallado'!L332:L355,'Cuadro Mando Integral Detallado'!L277:L279,'Cuadro Mando Integral Detallado'!L282:L284)</f>
        <v>0.81818181818181823</v>
      </c>
      <c r="D14" s="389">
        <f t="shared" si="55"/>
        <v>0.81818181818181823</v>
      </c>
      <c r="E14" s="380">
        <f t="shared" si="56"/>
        <v>0.81818181818181823</v>
      </c>
      <c r="F14" s="380">
        <f t="shared" si="57"/>
        <v>0.81818181818181823</v>
      </c>
      <c r="G14" s="380">
        <f t="shared" si="58"/>
        <v>0.81818181818181823</v>
      </c>
      <c r="H14" s="381">
        <f t="shared" si="59"/>
        <v>0.81818181818181823</v>
      </c>
      <c r="I14" s="430">
        <f>AVERAGE('Cuadro Mando Integral Detallado'!O314:O331,'Cuadro Mando Integral Detallado'!O358,'Cuadro Mando Integral Detallado'!O359:O360,'Cuadro Mando Integral Detallado'!O363:O364,'Cuadro Mando Integral Detallado'!O183,'Cuadro Mando Integral Detallado'!O262:O276,'Cuadro Mando Integral Detallado'!O310:O313,'Cuadro Mando Integral Detallado'!O332:O355,'Cuadro Mando Integral Detallado'!O277:O279,'Cuadro Mando Integral Detallado'!O282:O284)</f>
        <v>0.32296650717703351</v>
      </c>
      <c r="J14" s="383">
        <f t="shared" si="60"/>
        <v>0.32296650717703351</v>
      </c>
      <c r="K14" s="384">
        <f t="shared" si="61"/>
        <v>0.32296650717703351</v>
      </c>
      <c r="L14" s="384">
        <f t="shared" si="62"/>
        <v>0.32296650717703351</v>
      </c>
      <c r="M14" s="384">
        <f t="shared" si="63"/>
        <v>0.32296650717703351</v>
      </c>
      <c r="N14" s="385">
        <f t="shared" si="64"/>
        <v>0.32296650717703351</v>
      </c>
      <c r="O14" s="11"/>
      <c r="P14" s="430">
        <f>AVERAGE('Cuadro Mando Integral Detallado'!S314:S331,'Cuadro Mando Integral Detallado'!S356,'Cuadro Mando Integral Detallado'!S358:S360,'Cuadro Mando Integral Detallado'!S363:S364,'Cuadro Mando Integral Detallado'!S183,'Cuadro Mando Integral Detallado'!S262:S276,'Cuadro Mando Integral Detallado'!S310:S313,'Cuadro Mando Integral Detallado'!S332:S355,'Cuadro Mando Integral Detallado'!S277:S279,'Cuadro Mando Integral Detallado'!S282:S284)</f>
        <v>0.80952380952380953</v>
      </c>
      <c r="Q14" s="389">
        <f>+P14</f>
        <v>0.80952380952380953</v>
      </c>
      <c r="R14" s="380">
        <f>+P14</f>
        <v>0.80952380952380953</v>
      </c>
      <c r="S14" s="380">
        <f>+P14</f>
        <v>0.80952380952380953</v>
      </c>
      <c r="T14" s="380">
        <f>+P14</f>
        <v>0.80952380952380953</v>
      </c>
      <c r="U14" s="381">
        <f>+P14</f>
        <v>0.80952380952380953</v>
      </c>
      <c r="V14" s="430">
        <f>AVERAGE('Cuadro Mando Integral Detallado'!V314:V331,'Cuadro Mando Integral Detallado'!V356,'Cuadro Mando Integral Detallado'!V358:V360,'Cuadro Mando Integral Detallado'!V363:V364,'Cuadro Mando Integral Detallado'!V183,'Cuadro Mando Integral Detallado'!V262:V276,'Cuadro Mando Integral Detallado'!V310:V313,'Cuadro Mando Integral Detallado'!V332:V355,'Cuadro Mando Integral Detallado'!V277:V279,'Cuadro Mando Integral Detallado'!V282:V284)</f>
        <v>0.42640022516183507</v>
      </c>
      <c r="W14" s="383">
        <f t="shared" si="65"/>
        <v>0.42640022516183507</v>
      </c>
      <c r="X14" s="384">
        <f t="shared" si="66"/>
        <v>0.42640022516183507</v>
      </c>
      <c r="Y14" s="384">
        <f t="shared" si="67"/>
        <v>0.42640022516183507</v>
      </c>
      <c r="Z14" s="384">
        <f t="shared" si="68"/>
        <v>0.42640022516183507</v>
      </c>
      <c r="AA14" s="385">
        <f t="shared" si="69"/>
        <v>0.42640022516183507</v>
      </c>
      <c r="AB14" s="416"/>
      <c r="AC14" s="430">
        <f>AVERAGE('Cuadro Mando Integral Detallado'!Z314:Z331,'Cuadro Mando Integral Detallado'!Z358,'Cuadro Mando Integral Detallado'!Z359:Z360,'Cuadro Mando Integral Detallado'!Z363:Z364,'Cuadro Mando Integral Detallado'!Z183,'Cuadro Mando Integral Detallado'!Z262:Z276,'Cuadro Mando Integral Detallado'!Z310:Z313,'Cuadro Mando Integral Detallado'!Z332:Z355,'Cuadro Mando Integral Detallado'!Z277:Z279,'Cuadro Mando Integral Detallado'!Z282:Z284)</f>
        <v>0.57526881720430112</v>
      </c>
      <c r="AD14" s="389">
        <f t="shared" ref="AD14" si="110">+AC14</f>
        <v>0.57526881720430112</v>
      </c>
      <c r="AE14" s="380">
        <f t="shared" ref="AE14" si="111">+AC14</f>
        <v>0.57526881720430112</v>
      </c>
      <c r="AF14" s="380">
        <f t="shared" ref="AF14" si="112">+AC14</f>
        <v>0.57526881720430112</v>
      </c>
      <c r="AG14" s="380">
        <f t="shared" ref="AG14" si="113">+AC14</f>
        <v>0.57526881720430112</v>
      </c>
      <c r="AH14" s="381">
        <f t="shared" ref="AH14" si="114">+AC14</f>
        <v>0.57526881720430112</v>
      </c>
      <c r="AI14" s="430">
        <f>AVERAGE('Cuadro Mando Integral Detallado'!AC314:AC331,'Cuadro Mando Integral Detallado'!AC358,'Cuadro Mando Integral Detallado'!AC359:AC360,'Cuadro Mando Integral Detallado'!AC363:AC364,'Cuadro Mando Integral Detallado'!AC183,'Cuadro Mando Integral Detallado'!AC262:AC276,'Cuadro Mando Integral Detallado'!AC310:AC313,'Cuadro Mando Integral Detallado'!AC332:AC355,'Cuadro Mando Integral Detallado'!AC277:AC279,'Cuadro Mando Integral Detallado'!AC282:AC284)</f>
        <v>0.56855708790693305</v>
      </c>
      <c r="AJ14" s="389">
        <f t="shared" ref="AJ14" si="115">+AI14</f>
        <v>0.56855708790693305</v>
      </c>
      <c r="AK14" s="384">
        <f t="shared" ref="AK14" si="116">+AI14</f>
        <v>0.56855708790693305</v>
      </c>
      <c r="AL14" s="384">
        <f t="shared" ref="AL14" si="117">+AI14</f>
        <v>0.56855708790693305</v>
      </c>
      <c r="AM14" s="384">
        <f t="shared" ref="AM14" si="118">+AI14</f>
        <v>0.56855708790693305</v>
      </c>
      <c r="AN14" s="385">
        <f t="shared" ref="AN14" si="119">+AI14</f>
        <v>0.56855708790693305</v>
      </c>
      <c r="AO14" s="416"/>
      <c r="AP14" s="430">
        <f>AVERAGE('Cuadro Mando Integral Detallado'!AG314:AG331,'Cuadro Mando Integral Detallado'!AG358,'Cuadro Mando Integral Detallado'!AG359:AG360,'Cuadro Mando Integral Detallado'!AG363:AG364,'Cuadro Mando Integral Detallado'!AG183,'Cuadro Mando Integral Detallado'!AG262:AG276,'Cuadro Mando Integral Detallado'!AG310:AG313,'Cuadro Mando Integral Detallado'!AG332:AG355,'Cuadro Mando Integral Detallado'!AG277:AG279,'Cuadro Mando Integral Detallado'!AG282:AG284)</f>
        <v>4.3478260869565216E-2</v>
      </c>
      <c r="AQ14" s="389"/>
      <c r="AR14" s="380"/>
      <c r="AS14" s="380"/>
      <c r="AT14" s="380"/>
      <c r="AU14" s="381"/>
      <c r="AV14" s="430">
        <f>AVERAGE('Cuadro Mando Integral Detallado'!AI314:AI331,'Cuadro Mando Integral Detallado'!AI358,'Cuadro Mando Integral Detallado'!AI359:AI360,'Cuadro Mando Integral Detallado'!AI363:AI364,'Cuadro Mando Integral Detallado'!AI183,'Cuadro Mando Integral Detallado'!AI262:AI276,'Cuadro Mando Integral Detallado'!AI310:AI313,'Cuadro Mando Integral Detallado'!AI332:AI355,'Cuadro Mando Integral Detallado'!AI277:AI279,'Cuadro Mando Integral Detallado'!AI282:AI284)</f>
        <v>0.50827352472089316</v>
      </c>
      <c r="AW14" s="389"/>
      <c r="AX14" s="384"/>
      <c r="AY14" s="384"/>
      <c r="AZ14" s="384"/>
      <c r="BA14" s="385"/>
    </row>
    <row r="15" spans="1:53" ht="54" x14ac:dyDescent="0.25">
      <c r="A15" s="431" t="s">
        <v>1223</v>
      </c>
      <c r="B15" s="428"/>
      <c r="C15" s="430" t="e">
        <f>AVERAGE('Cuadro Mando Integral Detallado'!L298)</f>
        <v>#DIV/0!</v>
      </c>
      <c r="D15" s="389" t="e">
        <f t="shared" si="55"/>
        <v>#DIV/0!</v>
      </c>
      <c r="E15" s="380" t="e">
        <f t="shared" si="56"/>
        <v>#DIV/0!</v>
      </c>
      <c r="F15" s="380" t="e">
        <f t="shared" si="57"/>
        <v>#DIV/0!</v>
      </c>
      <c r="G15" s="380" t="e">
        <f t="shared" si="58"/>
        <v>#DIV/0!</v>
      </c>
      <c r="H15" s="381" t="e">
        <f t="shared" si="59"/>
        <v>#DIV/0!</v>
      </c>
      <c r="I15" s="430" t="e">
        <f>AVERAGE('Cuadro Mando Integral Detallado'!O298)</f>
        <v>#DIV/0!</v>
      </c>
      <c r="J15" s="383" t="e">
        <f t="shared" si="60"/>
        <v>#DIV/0!</v>
      </c>
      <c r="K15" s="384" t="e">
        <f t="shared" si="61"/>
        <v>#DIV/0!</v>
      </c>
      <c r="L15" s="384" t="e">
        <f t="shared" si="62"/>
        <v>#DIV/0!</v>
      </c>
      <c r="M15" s="384" t="e">
        <f t="shared" si="63"/>
        <v>#DIV/0!</v>
      </c>
      <c r="N15" s="385" t="e">
        <f t="shared" si="64"/>
        <v>#DIV/0!</v>
      </c>
      <c r="O15" s="11"/>
      <c r="P15" s="430" t="e">
        <f>AVERAGE('Cuadro Mando Integral Detallado'!S298)</f>
        <v>#DIV/0!</v>
      </c>
      <c r="Q15" s="389" t="e">
        <f t="shared" ref="Q15:Q17" si="120">+P15</f>
        <v>#DIV/0!</v>
      </c>
      <c r="R15" s="380" t="e">
        <f t="shared" ref="R15:R17" si="121">+P15</f>
        <v>#DIV/0!</v>
      </c>
      <c r="S15" s="380" t="e">
        <f t="shared" ref="S15:S17" si="122">+P15</f>
        <v>#DIV/0!</v>
      </c>
      <c r="T15" s="380" t="e">
        <f t="shared" ref="T15:T17" si="123">+P15</f>
        <v>#DIV/0!</v>
      </c>
      <c r="U15" s="381" t="e">
        <f t="shared" ref="U15:U17" si="124">+P15</f>
        <v>#DIV/0!</v>
      </c>
      <c r="V15" s="430" t="e">
        <f>AVERAGE('Cuadro Mando Integral Detallado'!V298)</f>
        <v>#DIV/0!</v>
      </c>
      <c r="W15" s="383" t="e">
        <f t="shared" si="65"/>
        <v>#DIV/0!</v>
      </c>
      <c r="X15" s="384" t="e">
        <f t="shared" si="66"/>
        <v>#DIV/0!</v>
      </c>
      <c r="Y15" s="384" t="e">
        <f t="shared" si="67"/>
        <v>#DIV/0!</v>
      </c>
      <c r="Z15" s="384" t="e">
        <f t="shared" si="68"/>
        <v>#DIV/0!</v>
      </c>
      <c r="AA15" s="385" t="e">
        <f t="shared" si="69"/>
        <v>#DIV/0!</v>
      </c>
      <c r="AB15" s="416"/>
      <c r="AC15" s="430" t="e">
        <f>AVERAGE('Cuadro Mando Integral Detallado'!Z298)</f>
        <v>#DIV/0!</v>
      </c>
      <c r="AD15" s="389" t="e">
        <f t="shared" ref="AD15" si="125">+AC15</f>
        <v>#DIV/0!</v>
      </c>
      <c r="AE15" s="380" t="e">
        <f t="shared" ref="AE15" si="126">+AC15</f>
        <v>#DIV/0!</v>
      </c>
      <c r="AF15" s="380" t="e">
        <f t="shared" ref="AF15" si="127">+AC15</f>
        <v>#DIV/0!</v>
      </c>
      <c r="AG15" s="380" t="e">
        <f t="shared" ref="AG15" si="128">+AC15</f>
        <v>#DIV/0!</v>
      </c>
      <c r="AH15" s="381" t="e">
        <f t="shared" ref="AH15" si="129">+AC15</f>
        <v>#DIV/0!</v>
      </c>
      <c r="AI15" s="430" t="e">
        <f>AVERAGE('Cuadro Mando Integral Detallado'!AC298)</f>
        <v>#DIV/0!</v>
      </c>
      <c r="AJ15" s="389" t="e">
        <f t="shared" ref="AJ15" si="130">+AI15</f>
        <v>#DIV/0!</v>
      </c>
      <c r="AK15" s="384" t="e">
        <f t="shared" ref="AK15" si="131">+AI15</f>
        <v>#DIV/0!</v>
      </c>
      <c r="AL15" s="384" t="e">
        <f t="shared" ref="AL15" si="132">+AI15</f>
        <v>#DIV/0!</v>
      </c>
      <c r="AM15" s="384" t="e">
        <f t="shared" ref="AM15" si="133">+AI15</f>
        <v>#DIV/0!</v>
      </c>
      <c r="AN15" s="385" t="e">
        <f t="shared" ref="AN15" si="134">+AI15</f>
        <v>#DIV/0!</v>
      </c>
      <c r="AO15" s="416"/>
      <c r="AP15" s="430">
        <f>AVERAGE('Cuadro Mando Integral Detallado'!AG298)</f>
        <v>0</v>
      </c>
      <c r="AQ15" s="389"/>
      <c r="AR15" s="380"/>
      <c r="AS15" s="380"/>
      <c r="AT15" s="380"/>
      <c r="AU15" s="381"/>
      <c r="AV15" s="430">
        <f>AVERAGE('Cuadro Mando Integral Detallado'!AI298)</f>
        <v>0</v>
      </c>
      <c r="AW15" s="389"/>
      <c r="AX15" s="384"/>
      <c r="AY15" s="384"/>
      <c r="AZ15" s="384"/>
      <c r="BA15" s="385"/>
    </row>
    <row r="16" spans="1:53" ht="36" x14ac:dyDescent="0.25">
      <c r="A16" s="431" t="s">
        <v>332</v>
      </c>
      <c r="B16" s="428"/>
      <c r="C16" s="430">
        <f>AVERAGE('Cuadro Mando Integral Detallado'!L197,'Cuadro Mando Integral Detallado'!L288:L295,'Cuadro Mando Integral Detallado'!L359:L360)</f>
        <v>1</v>
      </c>
      <c r="D16" s="389">
        <f t="shared" si="55"/>
        <v>1</v>
      </c>
      <c r="E16" s="380">
        <f t="shared" si="56"/>
        <v>1</v>
      </c>
      <c r="F16" s="380">
        <f t="shared" si="57"/>
        <v>1</v>
      </c>
      <c r="G16" s="380">
        <f t="shared" si="58"/>
        <v>1</v>
      </c>
      <c r="H16" s="381">
        <f t="shared" si="59"/>
        <v>1</v>
      </c>
      <c r="I16" s="430">
        <f>AVERAGE('Cuadro Mando Integral Detallado'!O197,'Cuadro Mando Integral Detallado'!O288:O295,'Cuadro Mando Integral Detallado'!O359:O360)</f>
        <v>0.61842105263157887</v>
      </c>
      <c r="J16" s="383">
        <f t="shared" si="60"/>
        <v>0.61842105263157887</v>
      </c>
      <c r="K16" s="384">
        <f t="shared" si="61"/>
        <v>0.61842105263157887</v>
      </c>
      <c r="L16" s="384">
        <f t="shared" si="62"/>
        <v>0.61842105263157887</v>
      </c>
      <c r="M16" s="384">
        <f t="shared" si="63"/>
        <v>0.61842105263157887</v>
      </c>
      <c r="N16" s="385">
        <f t="shared" si="64"/>
        <v>0.61842105263157887</v>
      </c>
      <c r="O16" s="11"/>
      <c r="P16" s="430">
        <f>AVERAGE('Cuadro Mando Integral Detallado'!S186,'Cuadro Mando Integral Detallado'!S195,'Cuadro Mando Integral Detallado'!S197,'Cuadro Mando Integral Detallado'!S285,'Cuadro Mando Integral Detallado'!S288:S295,'Cuadro Mando Integral Detallado'!S300:S301,'Cuadro Mando Integral Detallado'!S359:S360)</f>
        <v>0.8</v>
      </c>
      <c r="Q16" s="389">
        <f t="shared" si="120"/>
        <v>0.8</v>
      </c>
      <c r="R16" s="380">
        <f t="shared" si="121"/>
        <v>0.8</v>
      </c>
      <c r="S16" s="380">
        <f t="shared" si="122"/>
        <v>0.8</v>
      </c>
      <c r="T16" s="380">
        <f t="shared" si="123"/>
        <v>0.8</v>
      </c>
      <c r="U16" s="381">
        <f t="shared" si="124"/>
        <v>0.8</v>
      </c>
      <c r="V16" s="430">
        <f>AVERAGE('Cuadro Mando Integral Detallado'!V186,'Cuadro Mando Integral Detallado'!V195,'Cuadro Mando Integral Detallado'!V197,'Cuadro Mando Integral Detallado'!V285,'Cuadro Mando Integral Detallado'!V288:V295,'Cuadro Mando Integral Detallado'!V300:V301,'Cuadro Mando Integral Detallado'!V359:V360)</f>
        <v>0.62171052631578949</v>
      </c>
      <c r="W16" s="383">
        <f t="shared" si="65"/>
        <v>0.62171052631578949</v>
      </c>
      <c r="X16" s="384">
        <f t="shared" si="66"/>
        <v>0.62171052631578949</v>
      </c>
      <c r="Y16" s="384">
        <f t="shared" si="67"/>
        <v>0.62171052631578949</v>
      </c>
      <c r="Z16" s="384">
        <f t="shared" si="68"/>
        <v>0.62171052631578949</v>
      </c>
      <c r="AA16" s="385">
        <f t="shared" si="69"/>
        <v>0.62171052631578949</v>
      </c>
      <c r="AB16" s="416"/>
      <c r="AC16" s="430">
        <f>AVERAGE('Cuadro Mando Integral Detallado'!AZ86,'Cuadro Mando Integral Detallado'!Z195,'Cuadro Mando Integral Detallado'!Z197,'Cuadro Mando Integral Detallado'!Z285,'Cuadro Mando Integral Detallado'!Z288:Z295,'Cuadro Mando Integral Detallado'!Z300:Z301,'Cuadro Mando Integral Detallado'!Z359:Z360)</f>
        <v>1</v>
      </c>
      <c r="AD16" s="389">
        <f t="shared" ref="AD16" si="135">+AC16</f>
        <v>1</v>
      </c>
      <c r="AE16" s="380">
        <f t="shared" ref="AE16" si="136">+AC16</f>
        <v>1</v>
      </c>
      <c r="AF16" s="380">
        <f t="shared" ref="AF16" si="137">+AC16</f>
        <v>1</v>
      </c>
      <c r="AG16" s="380">
        <f t="shared" ref="AG16" si="138">+AC16</f>
        <v>1</v>
      </c>
      <c r="AH16" s="381">
        <f t="shared" ref="AH16" si="139">+AC16</f>
        <v>1</v>
      </c>
      <c r="AI16" s="430">
        <f>AVERAGE('Cuadro Mando Integral Detallado'!AC86,'Cuadro Mando Integral Detallado'!AC195,'Cuadro Mando Integral Detallado'!AC197,'Cuadro Mando Integral Detallado'!AC285,'Cuadro Mando Integral Detallado'!AC288:AC295,'Cuadro Mando Integral Detallado'!AC300:AC301,'Cuadro Mando Integral Detallado'!AC359:AC360)</f>
        <v>0.74780701754385959</v>
      </c>
      <c r="AJ16" s="389">
        <f t="shared" ref="AJ16" si="140">+AI16</f>
        <v>0.74780701754385959</v>
      </c>
      <c r="AK16" s="384">
        <f t="shared" ref="AK16" si="141">+AI16</f>
        <v>0.74780701754385959</v>
      </c>
      <c r="AL16" s="384">
        <f t="shared" ref="AL16" si="142">+AI16</f>
        <v>0.74780701754385959</v>
      </c>
      <c r="AM16" s="384">
        <f t="shared" ref="AM16" si="143">+AI16</f>
        <v>0.74780701754385959</v>
      </c>
      <c r="AN16" s="385">
        <f t="shared" ref="AN16" si="144">+AI16</f>
        <v>0.74780701754385959</v>
      </c>
      <c r="AO16" s="416"/>
      <c r="AP16" s="430">
        <f>AVERAGE('Cuadro Mando Integral Detallado'!AG288:AG295,'Cuadro Mando Integral Detallado'!AG359:AG360)</f>
        <v>0</v>
      </c>
      <c r="AQ16" s="389"/>
      <c r="AR16" s="380"/>
      <c r="AS16" s="380"/>
      <c r="AT16" s="380"/>
      <c r="AU16" s="381"/>
      <c r="AV16" s="430">
        <f>AVERAGE('Cuadro Mando Integral Detallado'!AI288:AI295,'Cuadro Mando Integral Detallado'!AI359:AI360)</f>
        <v>0.55263157894736847</v>
      </c>
      <c r="AW16" s="389"/>
      <c r="AX16" s="384"/>
      <c r="AY16" s="384"/>
      <c r="AZ16" s="384"/>
      <c r="BA16" s="385"/>
    </row>
    <row r="17" spans="1:53" ht="54" x14ac:dyDescent="0.25">
      <c r="A17" s="431" t="s">
        <v>997</v>
      </c>
      <c r="B17" s="428"/>
      <c r="C17" s="430" t="e">
        <f>AVERAGE('Cuadro Mando Integral Detallado'!L300:L301)</f>
        <v>#DIV/0!</v>
      </c>
      <c r="D17" s="389" t="e">
        <f t="shared" si="55"/>
        <v>#DIV/0!</v>
      </c>
      <c r="E17" s="380" t="e">
        <f t="shared" si="56"/>
        <v>#DIV/0!</v>
      </c>
      <c r="F17" s="380" t="e">
        <f t="shared" si="57"/>
        <v>#DIV/0!</v>
      </c>
      <c r="G17" s="380" t="e">
        <f t="shared" si="58"/>
        <v>#DIV/0!</v>
      </c>
      <c r="H17" s="381" t="e">
        <f t="shared" si="59"/>
        <v>#DIV/0!</v>
      </c>
      <c r="I17" s="430" t="e">
        <f>AVERAGE('Cuadro Mando Integral Detallado'!O300:O301)</f>
        <v>#DIV/0!</v>
      </c>
      <c r="J17" s="383" t="e">
        <f t="shared" si="60"/>
        <v>#DIV/0!</v>
      </c>
      <c r="K17" s="384" t="e">
        <f t="shared" si="61"/>
        <v>#DIV/0!</v>
      </c>
      <c r="L17" s="384" t="e">
        <f t="shared" si="62"/>
        <v>#DIV/0!</v>
      </c>
      <c r="M17" s="384" t="e">
        <f t="shared" si="63"/>
        <v>#DIV/0!</v>
      </c>
      <c r="N17" s="385" t="e">
        <f t="shared" si="64"/>
        <v>#DIV/0!</v>
      </c>
      <c r="O17" s="11"/>
      <c r="P17" s="430">
        <f>AVERAGE('Cuadro Mando Integral Detallado'!S300:S301)</f>
        <v>0</v>
      </c>
      <c r="Q17" s="389">
        <f t="shared" si="120"/>
        <v>0</v>
      </c>
      <c r="R17" s="380">
        <f t="shared" si="121"/>
        <v>0</v>
      </c>
      <c r="S17" s="380">
        <f t="shared" si="122"/>
        <v>0</v>
      </c>
      <c r="T17" s="380">
        <f t="shared" si="123"/>
        <v>0</v>
      </c>
      <c r="U17" s="381">
        <f t="shared" si="124"/>
        <v>0</v>
      </c>
      <c r="V17" s="430">
        <f>AVERAGE('Cuadro Mando Integral Detallado'!V300:V301)</f>
        <v>0</v>
      </c>
      <c r="W17" s="383">
        <f t="shared" si="65"/>
        <v>0</v>
      </c>
      <c r="X17" s="384">
        <f t="shared" si="66"/>
        <v>0</v>
      </c>
      <c r="Y17" s="384">
        <f t="shared" si="67"/>
        <v>0</v>
      </c>
      <c r="Z17" s="384">
        <f t="shared" si="68"/>
        <v>0</v>
      </c>
      <c r="AA17" s="385">
        <f t="shared" si="69"/>
        <v>0</v>
      </c>
      <c r="AB17" s="416"/>
      <c r="AC17" s="430">
        <f>AVERAGE('Cuadro Mando Integral Detallado'!Z300:Z301)</f>
        <v>1</v>
      </c>
      <c r="AD17" s="389">
        <f t="shared" ref="AD17:AD18" si="145">+AC17</f>
        <v>1</v>
      </c>
      <c r="AE17" s="380">
        <f t="shared" ref="AE17:AE18" si="146">+AC17</f>
        <v>1</v>
      </c>
      <c r="AF17" s="380">
        <f t="shared" ref="AF17:AF18" si="147">+AC17</f>
        <v>1</v>
      </c>
      <c r="AG17" s="380">
        <f t="shared" ref="AG17:AG18" si="148">+AC17</f>
        <v>1</v>
      </c>
      <c r="AH17" s="381">
        <f t="shared" ref="AH17:AH18" si="149">+AC17</f>
        <v>1</v>
      </c>
      <c r="AI17" s="430">
        <f>AVERAGE('Cuadro Mando Integral Detallado'!AC300:AC301)</f>
        <v>1</v>
      </c>
      <c r="AJ17" s="389">
        <f t="shared" ref="AJ17:AJ18" si="150">+AI17</f>
        <v>1</v>
      </c>
      <c r="AK17" s="384">
        <f t="shared" ref="AK17:AK18" si="151">+AI17</f>
        <v>1</v>
      </c>
      <c r="AL17" s="384">
        <f t="shared" ref="AL17:AL18" si="152">+AI17</f>
        <v>1</v>
      </c>
      <c r="AM17" s="384">
        <f t="shared" ref="AM17:AM18" si="153">+AI17</f>
        <v>1</v>
      </c>
      <c r="AN17" s="385">
        <f t="shared" ref="AN17:AN18" si="154">+AI17</f>
        <v>1</v>
      </c>
      <c r="AO17" s="416"/>
      <c r="AP17" s="430">
        <f>AVERAGE('Cuadro Mando Integral Detallado'!AG300:AG301)</f>
        <v>0</v>
      </c>
      <c r="AQ17" s="389">
        <f t="shared" si="20"/>
        <v>0</v>
      </c>
      <c r="AR17" s="380">
        <f t="shared" si="21"/>
        <v>0</v>
      </c>
      <c r="AS17" s="380">
        <f t="shared" si="22"/>
        <v>0</v>
      </c>
      <c r="AT17" s="380">
        <f t="shared" si="23"/>
        <v>0</v>
      </c>
      <c r="AU17" s="381">
        <f t="shared" si="24"/>
        <v>0</v>
      </c>
      <c r="AV17" s="430">
        <f>AVERAGE('Cuadro Mando Integral Detallado'!AI300:AI301)</f>
        <v>0.5</v>
      </c>
      <c r="AW17" s="389">
        <f t="shared" si="39"/>
        <v>0.5</v>
      </c>
      <c r="AX17" s="384">
        <f t="shared" si="25"/>
        <v>0.5</v>
      </c>
      <c r="AY17" s="384">
        <f t="shared" si="26"/>
        <v>0.5</v>
      </c>
      <c r="AZ17" s="384">
        <f t="shared" si="27"/>
        <v>0.5</v>
      </c>
      <c r="BA17" s="385">
        <f t="shared" si="28"/>
        <v>0.5</v>
      </c>
    </row>
    <row r="18" spans="1:53" ht="18.75" thickBot="1" x14ac:dyDescent="0.3">
      <c r="A18" s="390" t="s">
        <v>992</v>
      </c>
      <c r="B18" s="432"/>
      <c r="C18" s="433">
        <f>AVERAGE('Cuadro Mando Integral Detallado'!L287)</f>
        <v>0.59493670886075944</v>
      </c>
      <c r="D18" s="402">
        <f>+C18</f>
        <v>0.59493670886075944</v>
      </c>
      <c r="E18" s="393">
        <f>+C18</f>
        <v>0.59493670886075944</v>
      </c>
      <c r="F18" s="393">
        <f>+C18</f>
        <v>0.59493670886075944</v>
      </c>
      <c r="G18" s="393">
        <f>+C18</f>
        <v>0.59493670886075944</v>
      </c>
      <c r="H18" s="394">
        <f>+C18</f>
        <v>0.59493670886075944</v>
      </c>
      <c r="I18" s="433">
        <f>AVERAGE('Cuadro Mando Integral Detallado'!O287)</f>
        <v>0.59493670886075944</v>
      </c>
      <c r="J18" s="396">
        <f>+I18</f>
        <v>0.59493670886075944</v>
      </c>
      <c r="K18" s="397">
        <f>+I18</f>
        <v>0.59493670886075944</v>
      </c>
      <c r="L18" s="397">
        <f>+I18</f>
        <v>0.59493670886075944</v>
      </c>
      <c r="M18" s="397">
        <f>+I18</f>
        <v>0.59493670886075944</v>
      </c>
      <c r="N18" s="398">
        <f>+I18</f>
        <v>0.59493670886075944</v>
      </c>
      <c r="O18" s="11"/>
      <c r="P18" s="433">
        <f>AVERAGE('Cuadro Mando Integral Detallado'!S286:S287)</f>
        <v>0.70186335403726707</v>
      </c>
      <c r="Q18" s="402">
        <f t="shared" si="0"/>
        <v>0.70186335403726707</v>
      </c>
      <c r="R18" s="393">
        <f t="shared" si="1"/>
        <v>0.70186335403726707</v>
      </c>
      <c r="S18" s="393">
        <f t="shared" si="2"/>
        <v>0.70186335403726707</v>
      </c>
      <c r="T18" s="393">
        <f t="shared" si="3"/>
        <v>0.70186335403726707</v>
      </c>
      <c r="U18" s="394">
        <f t="shared" si="4"/>
        <v>0.70186335403726707</v>
      </c>
      <c r="V18" s="433">
        <f>AVERAGE('Cuadro Mando Integral Detallado'!V286:V287)</f>
        <v>0.41197722567287781</v>
      </c>
      <c r="W18" s="396">
        <f t="shared" si="5"/>
        <v>0.41197722567287781</v>
      </c>
      <c r="X18" s="397">
        <f t="shared" si="6"/>
        <v>0.41197722567287781</v>
      </c>
      <c r="Y18" s="397">
        <f t="shared" si="7"/>
        <v>0.41197722567287781</v>
      </c>
      <c r="Z18" s="397">
        <f t="shared" si="8"/>
        <v>0.41197722567287781</v>
      </c>
      <c r="AA18" s="398">
        <f>+W18</f>
        <v>0.41197722567287781</v>
      </c>
      <c r="AB18" s="416"/>
      <c r="AC18" s="433">
        <f>AVERAGE('Cuadro Mando Integral Detallado'!Z286:Z287)</f>
        <v>0.83529411764705885</v>
      </c>
      <c r="AD18" s="402">
        <f t="shared" si="145"/>
        <v>0.83529411764705885</v>
      </c>
      <c r="AE18" s="393">
        <f t="shared" si="146"/>
        <v>0.83529411764705885</v>
      </c>
      <c r="AF18" s="393">
        <f t="shared" si="147"/>
        <v>0.83529411764705885</v>
      </c>
      <c r="AG18" s="393">
        <f t="shared" si="148"/>
        <v>0.83529411764705885</v>
      </c>
      <c r="AH18" s="394">
        <f t="shared" si="149"/>
        <v>0.83529411764705885</v>
      </c>
      <c r="AI18" s="433">
        <f>AVERAGE('Cuadro Mando Integral Detallado'!AC286:AC287)</f>
        <v>0.51238582389477527</v>
      </c>
      <c r="AJ18" s="402">
        <f t="shared" si="150"/>
        <v>0.51238582389477527</v>
      </c>
      <c r="AK18" s="397">
        <f t="shared" si="151"/>
        <v>0.51238582389477527</v>
      </c>
      <c r="AL18" s="397">
        <f t="shared" si="152"/>
        <v>0.51238582389477527</v>
      </c>
      <c r="AM18" s="397">
        <f t="shared" si="153"/>
        <v>0.51238582389477527</v>
      </c>
      <c r="AN18" s="398">
        <f t="shared" si="154"/>
        <v>0.51238582389477527</v>
      </c>
      <c r="AO18" s="416"/>
      <c r="AP18" s="433" t="e">
        <f>AVERAGE('Cuadro Mando Integral Detallado'!AG287)</f>
        <v>#DIV/0!</v>
      </c>
      <c r="AQ18" s="402" t="e">
        <f t="shared" si="20"/>
        <v>#DIV/0!</v>
      </c>
      <c r="AR18" s="393" t="e">
        <f t="shared" si="21"/>
        <v>#DIV/0!</v>
      </c>
      <c r="AS18" s="393" t="e">
        <f t="shared" si="22"/>
        <v>#DIV/0!</v>
      </c>
      <c r="AT18" s="393" t="e">
        <f t="shared" si="23"/>
        <v>#DIV/0!</v>
      </c>
      <c r="AU18" s="394" t="e">
        <f t="shared" si="24"/>
        <v>#DIV/0!</v>
      </c>
      <c r="AV18" s="433" t="e">
        <f>AVERAGE('Cuadro Mando Integral Detallado'!AI287)</f>
        <v>#DIV/0!</v>
      </c>
      <c r="AW18" s="402" t="e">
        <f t="shared" si="39"/>
        <v>#DIV/0!</v>
      </c>
      <c r="AX18" s="397" t="e">
        <f>+AV18</f>
        <v>#DIV/0!</v>
      </c>
      <c r="AY18" s="397" t="e">
        <f t="shared" si="26"/>
        <v>#DIV/0!</v>
      </c>
      <c r="AZ18" s="397" t="e">
        <f t="shared" si="27"/>
        <v>#DIV/0!</v>
      </c>
      <c r="BA18" s="398" t="e">
        <f t="shared" si="28"/>
        <v>#DIV/0!</v>
      </c>
    </row>
    <row r="19" spans="1:53" x14ac:dyDescent="0.25">
      <c r="A19" s="13"/>
    </row>
  </sheetData>
  <sheetProtection algorithmName="SHA-512" hashValue="Sfe6kijo+D55Q68tsE0vIBHwd66Y2xQ3SrNImsBZ/4nbJymu1O0jedePS3Z5VpvuZzlbmOout9wjPF3/8GDA3w==" saltValue="s8DAf7QS34wwGf8LhZCdhw==" spinCount="100000" sheet="1" objects="1" scenarios="1"/>
  <mergeCells count="18">
    <mergeCell ref="AP5:AU5"/>
    <mergeCell ref="AV5:BA5"/>
    <mergeCell ref="C5:H5"/>
    <mergeCell ref="I5:N5"/>
    <mergeCell ref="P5:U5"/>
    <mergeCell ref="V5:AA5"/>
    <mergeCell ref="AC5:AH5"/>
    <mergeCell ref="AI5:AN5"/>
    <mergeCell ref="A1:A3"/>
    <mergeCell ref="B1:H1"/>
    <mergeCell ref="I1:AO1"/>
    <mergeCell ref="AP1:BA3"/>
    <mergeCell ref="B2:H2"/>
    <mergeCell ref="I2:AO2"/>
    <mergeCell ref="B3:H3"/>
    <mergeCell ref="I3:N3"/>
    <mergeCell ref="O3:AH3"/>
    <mergeCell ref="AJ3:AO3"/>
  </mergeCells>
  <conditionalFormatting sqref="Q6">
    <cfRule type="cellIs" dxfId="330" priority="507" stopIfTrue="1" operator="between">
      <formula>0</formula>
      <formula>0.5</formula>
    </cfRule>
  </conditionalFormatting>
  <conditionalFormatting sqref="R6">
    <cfRule type="cellIs" dxfId="329" priority="506" operator="between">
      <formula>0.51</formula>
      <formula>0.75</formula>
    </cfRule>
  </conditionalFormatting>
  <conditionalFormatting sqref="S6">
    <cfRule type="cellIs" dxfId="328" priority="505" operator="between">
      <formula>0.76</formula>
      <formula>0.95</formula>
    </cfRule>
  </conditionalFormatting>
  <conditionalFormatting sqref="T6">
    <cfRule type="cellIs" dxfId="327" priority="504" operator="between">
      <formula>0.95</formula>
      <formula>1</formula>
    </cfRule>
  </conditionalFormatting>
  <conditionalFormatting sqref="U6">
    <cfRule type="cellIs" dxfId="326" priority="503" operator="greaterThan">
      <formula>1</formula>
    </cfRule>
  </conditionalFormatting>
  <conditionalFormatting sqref="Q7">
    <cfRule type="cellIs" dxfId="325" priority="502" stopIfTrue="1" operator="between">
      <formula>0</formula>
      <formula>0.5</formula>
    </cfRule>
  </conditionalFormatting>
  <conditionalFormatting sqref="R7">
    <cfRule type="cellIs" dxfId="324" priority="501" operator="between">
      <formula>0.51</formula>
      <formula>0.75</formula>
    </cfRule>
  </conditionalFormatting>
  <conditionalFormatting sqref="S7">
    <cfRule type="cellIs" dxfId="323" priority="500" operator="between">
      <formula>0.76</formula>
      <formula>0.95</formula>
    </cfRule>
  </conditionalFormatting>
  <conditionalFormatting sqref="T7">
    <cfRule type="cellIs" dxfId="322" priority="499" operator="between">
      <formula>0.95</formula>
      <formula>1</formula>
    </cfRule>
  </conditionalFormatting>
  <conditionalFormatting sqref="U7">
    <cfRule type="cellIs" dxfId="321" priority="498" operator="greaterThan">
      <formula>1</formula>
    </cfRule>
  </conditionalFormatting>
  <conditionalFormatting sqref="Q8">
    <cfRule type="cellIs" dxfId="320" priority="497" stopIfTrue="1" operator="between">
      <formula>0</formula>
      <formula>0.5</formula>
    </cfRule>
  </conditionalFormatting>
  <conditionalFormatting sqref="R8">
    <cfRule type="cellIs" dxfId="319" priority="496" operator="between">
      <formula>0.51</formula>
      <formula>0.75</formula>
    </cfRule>
  </conditionalFormatting>
  <conditionalFormatting sqref="S8">
    <cfRule type="cellIs" dxfId="318" priority="495" operator="between">
      <formula>0.76</formula>
      <formula>0.95</formula>
    </cfRule>
  </conditionalFormatting>
  <conditionalFormatting sqref="T8">
    <cfRule type="cellIs" dxfId="317" priority="494" operator="between">
      <formula>0.95</formula>
      <formula>1</formula>
    </cfRule>
  </conditionalFormatting>
  <conditionalFormatting sqref="U8">
    <cfRule type="cellIs" dxfId="316" priority="493" operator="greaterThan">
      <formula>1</formula>
    </cfRule>
  </conditionalFormatting>
  <conditionalFormatting sqref="Q9:Q10">
    <cfRule type="cellIs" dxfId="315" priority="492" stopIfTrue="1" operator="between">
      <formula>0</formula>
      <formula>0.5</formula>
    </cfRule>
  </conditionalFormatting>
  <conditionalFormatting sqref="R9:R10">
    <cfRule type="cellIs" dxfId="314" priority="491" operator="between">
      <formula>0.51</formula>
      <formula>0.75</formula>
    </cfRule>
  </conditionalFormatting>
  <conditionalFormatting sqref="S9:S10">
    <cfRule type="cellIs" dxfId="313" priority="490" operator="between">
      <formula>0.76</formula>
      <formula>0.95</formula>
    </cfRule>
  </conditionalFormatting>
  <conditionalFormatting sqref="T9:T10">
    <cfRule type="cellIs" dxfId="312" priority="489" operator="between">
      <formula>0.95</formula>
      <formula>1</formula>
    </cfRule>
  </conditionalFormatting>
  <conditionalFormatting sqref="U9:U10">
    <cfRule type="cellIs" dxfId="311" priority="488" operator="greaterThan">
      <formula>1</formula>
    </cfRule>
  </conditionalFormatting>
  <conditionalFormatting sqref="Q11">
    <cfRule type="cellIs" dxfId="310" priority="487" stopIfTrue="1" operator="between">
      <formula>0</formula>
      <formula>0.5</formula>
    </cfRule>
  </conditionalFormatting>
  <conditionalFormatting sqref="R11">
    <cfRule type="cellIs" dxfId="309" priority="486" operator="between">
      <formula>0.51</formula>
      <formula>0.75</formula>
    </cfRule>
  </conditionalFormatting>
  <conditionalFormatting sqref="S11">
    <cfRule type="cellIs" dxfId="308" priority="485" operator="between">
      <formula>0.76</formula>
      <formula>0.95</formula>
    </cfRule>
  </conditionalFormatting>
  <conditionalFormatting sqref="T11">
    <cfRule type="cellIs" dxfId="307" priority="484" operator="between">
      <formula>0.95</formula>
      <formula>1</formula>
    </cfRule>
  </conditionalFormatting>
  <conditionalFormatting sqref="U11">
    <cfRule type="cellIs" dxfId="306" priority="483" operator="greaterThan">
      <formula>1</formula>
    </cfRule>
  </conditionalFormatting>
  <conditionalFormatting sqref="Q12">
    <cfRule type="cellIs" dxfId="305" priority="482" stopIfTrue="1" operator="between">
      <formula>0</formula>
      <formula>0.5</formula>
    </cfRule>
  </conditionalFormatting>
  <conditionalFormatting sqref="R12">
    <cfRule type="cellIs" dxfId="304" priority="481" operator="between">
      <formula>0.51</formula>
      <formula>0.75</formula>
    </cfRule>
  </conditionalFormatting>
  <conditionalFormatting sqref="S12">
    <cfRule type="cellIs" dxfId="303" priority="480" operator="between">
      <formula>0.76</formula>
      <formula>0.95</formula>
    </cfRule>
  </conditionalFormatting>
  <conditionalFormatting sqref="T12">
    <cfRule type="cellIs" dxfId="302" priority="479" operator="between">
      <formula>0.95</formula>
      <formula>1</formula>
    </cfRule>
  </conditionalFormatting>
  <conditionalFormatting sqref="U12">
    <cfRule type="cellIs" dxfId="301" priority="478" operator="greaterThan">
      <formula>1</formula>
    </cfRule>
  </conditionalFormatting>
  <conditionalFormatting sqref="Q13">
    <cfRule type="cellIs" dxfId="300" priority="477" stopIfTrue="1" operator="between">
      <formula>0</formula>
      <formula>0.5</formula>
    </cfRule>
  </conditionalFormatting>
  <conditionalFormatting sqref="R13">
    <cfRule type="cellIs" dxfId="299" priority="476" operator="between">
      <formula>0.51</formula>
      <formula>0.75</formula>
    </cfRule>
  </conditionalFormatting>
  <conditionalFormatting sqref="S13">
    <cfRule type="cellIs" dxfId="298" priority="475" operator="between">
      <formula>0.76</formula>
      <formula>0.95</formula>
    </cfRule>
  </conditionalFormatting>
  <conditionalFormatting sqref="T13">
    <cfRule type="cellIs" dxfId="297" priority="474" operator="between">
      <formula>0.95</formula>
      <formula>1</formula>
    </cfRule>
  </conditionalFormatting>
  <conditionalFormatting sqref="U13">
    <cfRule type="cellIs" dxfId="296" priority="473" operator="greaterThan">
      <formula>1</formula>
    </cfRule>
  </conditionalFormatting>
  <conditionalFormatting sqref="Q18">
    <cfRule type="cellIs" dxfId="295" priority="467" stopIfTrue="1" operator="between">
      <formula>0</formula>
      <formula>0.5</formula>
    </cfRule>
  </conditionalFormatting>
  <conditionalFormatting sqref="R18">
    <cfRule type="cellIs" dxfId="294" priority="466" operator="between">
      <formula>0.51</formula>
      <formula>0.75</formula>
    </cfRule>
  </conditionalFormatting>
  <conditionalFormatting sqref="S18">
    <cfRule type="cellIs" dxfId="293" priority="465" operator="between">
      <formula>0.76</formula>
      <formula>0.95</formula>
    </cfRule>
  </conditionalFormatting>
  <conditionalFormatting sqref="T18">
    <cfRule type="cellIs" dxfId="292" priority="464" operator="between">
      <formula>0.95</formula>
      <formula>1</formula>
    </cfRule>
  </conditionalFormatting>
  <conditionalFormatting sqref="U18">
    <cfRule type="cellIs" dxfId="291" priority="463" operator="greaterThan">
      <formula>1</formula>
    </cfRule>
  </conditionalFormatting>
  <conditionalFormatting sqref="W7">
    <cfRule type="cellIs" dxfId="290" priority="462" stopIfTrue="1" operator="between">
      <formula>0</formula>
      <formula>0.255</formula>
    </cfRule>
  </conditionalFormatting>
  <conditionalFormatting sqref="X7">
    <cfRule type="cellIs" dxfId="289" priority="461" operator="between">
      <formula>0.2551</formula>
      <formula>0.375</formula>
    </cfRule>
  </conditionalFormatting>
  <conditionalFormatting sqref="Y7">
    <cfRule type="cellIs" dxfId="288" priority="460" operator="between">
      <formula>0.3751</formula>
      <formula>0.475</formula>
    </cfRule>
  </conditionalFormatting>
  <conditionalFormatting sqref="Z7">
    <cfRule type="cellIs" dxfId="287" priority="459" operator="between">
      <formula>0.48</formula>
      <formula>0.51</formula>
    </cfRule>
  </conditionalFormatting>
  <conditionalFormatting sqref="AA7">
    <cfRule type="cellIs" dxfId="286" priority="458" operator="greaterThan">
      <formula>0.505</formula>
    </cfRule>
  </conditionalFormatting>
  <conditionalFormatting sqref="W9">
    <cfRule type="cellIs" dxfId="285" priority="457" stopIfTrue="1" operator="between">
      <formula>0</formula>
      <formula>0.255</formula>
    </cfRule>
  </conditionalFormatting>
  <conditionalFormatting sqref="X9">
    <cfRule type="cellIs" dxfId="284" priority="456" operator="between">
      <formula>0.2551</formula>
      <formula>0.375</formula>
    </cfRule>
  </conditionalFormatting>
  <conditionalFormatting sqref="Y9">
    <cfRule type="cellIs" dxfId="283" priority="455" operator="between">
      <formula>0.38</formula>
      <formula>0.475</formula>
    </cfRule>
  </conditionalFormatting>
  <conditionalFormatting sqref="Z9">
    <cfRule type="cellIs" dxfId="282" priority="454" operator="between">
      <formula>0.48</formula>
      <formula>0.51</formula>
    </cfRule>
  </conditionalFormatting>
  <conditionalFormatting sqref="AA9">
    <cfRule type="cellIs" dxfId="281" priority="453" operator="greaterThan">
      <formula>0.505</formula>
    </cfRule>
  </conditionalFormatting>
  <conditionalFormatting sqref="W18">
    <cfRule type="cellIs" dxfId="280" priority="432" stopIfTrue="1" operator="between">
      <formula>0</formula>
      <formula>0.255</formula>
    </cfRule>
  </conditionalFormatting>
  <conditionalFormatting sqref="X18">
    <cfRule type="cellIs" dxfId="279" priority="431" operator="between">
      <formula>0.2551</formula>
      <formula>0.375</formula>
    </cfRule>
  </conditionalFormatting>
  <conditionalFormatting sqref="Y18">
    <cfRule type="cellIs" dxfId="278" priority="430" operator="between">
      <formula>0.38</formula>
      <formula>0.475</formula>
    </cfRule>
  </conditionalFormatting>
  <conditionalFormatting sqref="Z18">
    <cfRule type="cellIs" dxfId="277" priority="429" operator="between">
      <formula>0.48</formula>
      <formula>0.51</formula>
    </cfRule>
  </conditionalFormatting>
  <conditionalFormatting sqref="AA18">
    <cfRule type="cellIs" dxfId="276" priority="428" operator="greaterThan">
      <formula>0.505</formula>
    </cfRule>
  </conditionalFormatting>
  <conditionalFormatting sqref="AD17">
    <cfRule type="cellIs" dxfId="275" priority="392" stopIfTrue="1" operator="between">
      <formula>0</formula>
      <formula>0.5</formula>
    </cfRule>
  </conditionalFormatting>
  <conditionalFormatting sqref="AE17">
    <cfRule type="cellIs" dxfId="274" priority="391" operator="between">
      <formula>0.51</formula>
      <formula>0.75</formula>
    </cfRule>
  </conditionalFormatting>
  <conditionalFormatting sqref="AF17">
    <cfRule type="cellIs" dxfId="273" priority="390" operator="between">
      <formula>0.76</formula>
      <formula>0.95</formula>
    </cfRule>
  </conditionalFormatting>
  <conditionalFormatting sqref="AG17">
    <cfRule type="cellIs" dxfId="272" priority="389" operator="between">
      <formula>0.95</formula>
      <formula>1</formula>
    </cfRule>
  </conditionalFormatting>
  <conditionalFormatting sqref="AH17">
    <cfRule type="cellIs" dxfId="271" priority="388" operator="greaterThan">
      <formula>1</formula>
    </cfRule>
  </conditionalFormatting>
  <conditionalFormatting sqref="AD18">
    <cfRule type="cellIs" dxfId="270" priority="387" stopIfTrue="1" operator="between">
      <formula>0</formula>
      <formula>0.5</formula>
    </cfRule>
  </conditionalFormatting>
  <conditionalFormatting sqref="AE18">
    <cfRule type="cellIs" dxfId="269" priority="386" operator="between">
      <formula>0.51</formula>
      <formula>0.75</formula>
    </cfRule>
  </conditionalFormatting>
  <conditionalFormatting sqref="AF18">
    <cfRule type="cellIs" dxfId="268" priority="385" operator="between">
      <formula>0.76</formula>
      <formula>0.95</formula>
    </cfRule>
  </conditionalFormatting>
  <conditionalFormatting sqref="AG18">
    <cfRule type="cellIs" dxfId="267" priority="384" operator="between">
      <formula>0.95</formula>
      <formula>1</formula>
    </cfRule>
  </conditionalFormatting>
  <conditionalFormatting sqref="AH18">
    <cfRule type="cellIs" dxfId="266" priority="383" operator="greaterThan">
      <formula>1</formula>
    </cfRule>
  </conditionalFormatting>
  <conditionalFormatting sqref="AJ17">
    <cfRule type="cellIs" dxfId="265" priority="347" stopIfTrue="1" operator="between">
      <formula>0</formula>
      <formula>0.375</formula>
    </cfRule>
  </conditionalFormatting>
  <conditionalFormatting sqref="AK17">
    <cfRule type="cellIs" dxfId="264" priority="346" operator="between">
      <formula>0.3751</formula>
      <formula>0.5625</formula>
    </cfRule>
  </conditionalFormatting>
  <conditionalFormatting sqref="AL17">
    <cfRule type="cellIs" dxfId="263" priority="345" operator="between">
      <formula>0.563</formula>
      <formula>0.7125</formula>
    </cfRule>
  </conditionalFormatting>
  <conditionalFormatting sqref="AM17">
    <cfRule type="cellIs" dxfId="262" priority="344" operator="between">
      <formula>0.713</formula>
      <formula>0.75</formula>
    </cfRule>
  </conditionalFormatting>
  <conditionalFormatting sqref="AN17">
    <cfRule type="cellIs" dxfId="261" priority="343" operator="greaterThan">
      <formula>0.755</formula>
    </cfRule>
  </conditionalFormatting>
  <conditionalFormatting sqref="AJ18">
    <cfRule type="cellIs" dxfId="260" priority="342" stopIfTrue="1" operator="between">
      <formula>0</formula>
      <formula>0.375</formula>
    </cfRule>
  </conditionalFormatting>
  <conditionalFormatting sqref="AK18">
    <cfRule type="cellIs" dxfId="259" priority="341" operator="between">
      <formula>0.3751</formula>
      <formula>0.5625</formula>
    </cfRule>
  </conditionalFormatting>
  <conditionalFormatting sqref="AL18">
    <cfRule type="cellIs" dxfId="258" priority="340" operator="between">
      <formula>0.563</formula>
      <formula>0.7125</formula>
    </cfRule>
  </conditionalFormatting>
  <conditionalFormatting sqref="AM18">
    <cfRule type="cellIs" dxfId="257" priority="339" operator="between">
      <formula>0.713</formula>
      <formula>0.75</formula>
    </cfRule>
  </conditionalFormatting>
  <conditionalFormatting sqref="AN18">
    <cfRule type="cellIs" dxfId="256" priority="338" operator="greaterThan">
      <formula>0.755</formula>
    </cfRule>
  </conditionalFormatting>
  <conditionalFormatting sqref="AQ6">
    <cfRule type="cellIs" dxfId="255" priority="337" stopIfTrue="1" operator="between">
      <formula>0</formula>
      <formula>0.5</formula>
    </cfRule>
  </conditionalFormatting>
  <conditionalFormatting sqref="AR6">
    <cfRule type="cellIs" dxfId="254" priority="336" operator="between">
      <formula>0.51</formula>
      <formula>0.75</formula>
    </cfRule>
  </conditionalFormatting>
  <conditionalFormatting sqref="AS6">
    <cfRule type="cellIs" dxfId="253" priority="335" operator="between">
      <formula>0.76</formula>
      <formula>0.95</formula>
    </cfRule>
  </conditionalFormatting>
  <conditionalFormatting sqref="AT6">
    <cfRule type="cellIs" dxfId="252" priority="334" operator="between">
      <formula>0.95</formula>
      <formula>1</formula>
    </cfRule>
  </conditionalFormatting>
  <conditionalFormatting sqref="AU6">
    <cfRule type="cellIs" dxfId="251" priority="333" operator="greaterThan">
      <formula>1</formula>
    </cfRule>
  </conditionalFormatting>
  <conditionalFormatting sqref="AQ7">
    <cfRule type="cellIs" dxfId="250" priority="332" stopIfTrue="1" operator="between">
      <formula>0</formula>
      <formula>0.5</formula>
    </cfRule>
  </conditionalFormatting>
  <conditionalFormatting sqref="AR7">
    <cfRule type="cellIs" dxfId="249" priority="331" operator="between">
      <formula>0.51</formula>
      <formula>0.75</formula>
    </cfRule>
  </conditionalFormatting>
  <conditionalFormatting sqref="AS7">
    <cfRule type="cellIs" dxfId="248" priority="330" operator="between">
      <formula>0.76</formula>
      <formula>0.95</formula>
    </cfRule>
  </conditionalFormatting>
  <conditionalFormatting sqref="AT7">
    <cfRule type="cellIs" dxfId="247" priority="329" operator="between">
      <formula>0.95</formula>
      <formula>1</formula>
    </cfRule>
  </conditionalFormatting>
  <conditionalFormatting sqref="AU7">
    <cfRule type="cellIs" dxfId="246" priority="328" operator="greaterThan">
      <formula>1</formula>
    </cfRule>
  </conditionalFormatting>
  <conditionalFormatting sqref="AQ8">
    <cfRule type="cellIs" dxfId="245" priority="327" stopIfTrue="1" operator="between">
      <formula>0</formula>
      <formula>0.5</formula>
    </cfRule>
  </conditionalFormatting>
  <conditionalFormatting sqref="AR8">
    <cfRule type="cellIs" dxfId="244" priority="326" operator="between">
      <formula>0.51</formula>
      <formula>0.75</formula>
    </cfRule>
  </conditionalFormatting>
  <conditionalFormatting sqref="AS8">
    <cfRule type="cellIs" dxfId="243" priority="325" operator="between">
      <formula>0.76</formula>
      <formula>0.95</formula>
    </cfRule>
  </conditionalFormatting>
  <conditionalFormatting sqref="AT8">
    <cfRule type="cellIs" dxfId="242" priority="324" operator="between">
      <formula>0.95</formula>
      <formula>1</formula>
    </cfRule>
  </conditionalFormatting>
  <conditionalFormatting sqref="AU8">
    <cfRule type="cellIs" dxfId="241" priority="323" operator="greaterThan">
      <formula>1</formula>
    </cfRule>
  </conditionalFormatting>
  <conditionalFormatting sqref="AQ9:AQ10">
    <cfRule type="cellIs" dxfId="240" priority="322" stopIfTrue="1" operator="between">
      <formula>0</formula>
      <formula>0.5</formula>
    </cfRule>
  </conditionalFormatting>
  <conditionalFormatting sqref="AR9:AR10">
    <cfRule type="cellIs" dxfId="239" priority="321" operator="between">
      <formula>0.51</formula>
      <formula>0.75</formula>
    </cfRule>
  </conditionalFormatting>
  <conditionalFormatting sqref="AS9:AS10">
    <cfRule type="cellIs" dxfId="238" priority="320" operator="between">
      <formula>0.76</formula>
      <formula>0.95</formula>
    </cfRule>
  </conditionalFormatting>
  <conditionalFormatting sqref="AT9:AT10">
    <cfRule type="cellIs" dxfId="237" priority="319" operator="between">
      <formula>0.95</formula>
      <formula>1</formula>
    </cfRule>
  </conditionalFormatting>
  <conditionalFormatting sqref="AU9:AU10">
    <cfRule type="cellIs" dxfId="236" priority="318" operator="greaterThan">
      <formula>1</formula>
    </cfRule>
  </conditionalFormatting>
  <conditionalFormatting sqref="AQ11">
    <cfRule type="cellIs" dxfId="235" priority="317" stopIfTrue="1" operator="between">
      <formula>0</formula>
      <formula>0.5</formula>
    </cfRule>
  </conditionalFormatting>
  <conditionalFormatting sqref="AR11">
    <cfRule type="cellIs" dxfId="234" priority="316" operator="between">
      <formula>0.51</formula>
      <formula>0.75</formula>
    </cfRule>
  </conditionalFormatting>
  <conditionalFormatting sqref="AS11">
    <cfRule type="cellIs" dxfId="233" priority="315" operator="between">
      <formula>0.76</formula>
      <formula>0.95</formula>
    </cfRule>
  </conditionalFormatting>
  <conditionalFormatting sqref="AT11">
    <cfRule type="cellIs" dxfId="232" priority="314" operator="between">
      <formula>0.95</formula>
      <formula>1</formula>
    </cfRule>
  </conditionalFormatting>
  <conditionalFormatting sqref="AU11">
    <cfRule type="cellIs" dxfId="231" priority="313" operator="greaterThan">
      <formula>1</formula>
    </cfRule>
  </conditionalFormatting>
  <conditionalFormatting sqref="AQ12">
    <cfRule type="cellIs" dxfId="230" priority="312" stopIfTrue="1" operator="between">
      <formula>0</formula>
      <formula>0.5</formula>
    </cfRule>
  </conditionalFormatting>
  <conditionalFormatting sqref="AR12">
    <cfRule type="cellIs" dxfId="229" priority="311" operator="between">
      <formula>0.51</formula>
      <formula>0.75</formula>
    </cfRule>
  </conditionalFormatting>
  <conditionalFormatting sqref="AS12">
    <cfRule type="cellIs" dxfId="228" priority="310" operator="between">
      <formula>0.76</formula>
      <formula>0.95</formula>
    </cfRule>
  </conditionalFormatting>
  <conditionalFormatting sqref="AT12">
    <cfRule type="cellIs" dxfId="227" priority="309" operator="between">
      <formula>0.95</formula>
      <formula>1</formula>
    </cfRule>
  </conditionalFormatting>
  <conditionalFormatting sqref="AU12">
    <cfRule type="cellIs" dxfId="226" priority="308" operator="greaterThan">
      <formula>1</formula>
    </cfRule>
  </conditionalFormatting>
  <conditionalFormatting sqref="AQ13:AQ16">
    <cfRule type="cellIs" dxfId="225" priority="307" stopIfTrue="1" operator="between">
      <formula>0</formula>
      <formula>0.5</formula>
    </cfRule>
  </conditionalFormatting>
  <conditionalFormatting sqref="AR13:AR16">
    <cfRule type="cellIs" dxfId="224" priority="306" operator="between">
      <formula>0.51</formula>
      <formula>0.75</formula>
    </cfRule>
  </conditionalFormatting>
  <conditionalFormatting sqref="AS13:AS16">
    <cfRule type="cellIs" dxfId="223" priority="305" operator="between">
      <formula>0.76</formula>
      <formula>0.95</formula>
    </cfRule>
  </conditionalFormatting>
  <conditionalFormatting sqref="AT13:AT16">
    <cfRule type="cellIs" dxfId="222" priority="304" operator="between">
      <formula>0.95</formula>
      <formula>1</formula>
    </cfRule>
  </conditionalFormatting>
  <conditionalFormatting sqref="AU13:AU16">
    <cfRule type="cellIs" dxfId="221" priority="303" operator="greaterThan">
      <formula>1</formula>
    </cfRule>
  </conditionalFormatting>
  <conditionalFormatting sqref="AQ17">
    <cfRule type="cellIs" dxfId="220" priority="302" stopIfTrue="1" operator="between">
      <formula>0</formula>
      <formula>0.5</formula>
    </cfRule>
  </conditionalFormatting>
  <conditionalFormatting sqref="AR17">
    <cfRule type="cellIs" dxfId="219" priority="301" operator="between">
      <formula>0.51</formula>
      <formula>0.75</formula>
    </cfRule>
  </conditionalFormatting>
  <conditionalFormatting sqref="AS17">
    <cfRule type="cellIs" dxfId="218" priority="300" operator="between">
      <formula>0.76</formula>
      <formula>0.95</formula>
    </cfRule>
  </conditionalFormatting>
  <conditionalFormatting sqref="AT17">
    <cfRule type="cellIs" dxfId="217" priority="299" operator="between">
      <formula>0.95</formula>
      <formula>1</formula>
    </cfRule>
  </conditionalFormatting>
  <conditionalFormatting sqref="AU17">
    <cfRule type="cellIs" dxfId="216" priority="298" operator="greaterThan">
      <formula>1</formula>
    </cfRule>
  </conditionalFormatting>
  <conditionalFormatting sqref="AQ18">
    <cfRule type="cellIs" dxfId="215" priority="297" stopIfTrue="1" operator="between">
      <formula>0</formula>
      <formula>0.5</formula>
    </cfRule>
  </conditionalFormatting>
  <conditionalFormatting sqref="AR18">
    <cfRule type="cellIs" dxfId="214" priority="296" operator="between">
      <formula>0.51</formula>
      <formula>0.75</formula>
    </cfRule>
  </conditionalFormatting>
  <conditionalFormatting sqref="AS18">
    <cfRule type="cellIs" dxfId="213" priority="295" operator="between">
      <formula>0.76</formula>
      <formula>0.95</formula>
    </cfRule>
  </conditionalFormatting>
  <conditionalFormatting sqref="AT18">
    <cfRule type="cellIs" dxfId="212" priority="294" operator="between">
      <formula>0.95</formula>
      <formula>1</formula>
    </cfRule>
  </conditionalFormatting>
  <conditionalFormatting sqref="AU18">
    <cfRule type="cellIs" dxfId="211" priority="293" operator="greaterThan">
      <formula>1</formula>
    </cfRule>
  </conditionalFormatting>
  <conditionalFormatting sqref="AX6">
    <cfRule type="cellIs" dxfId="210" priority="292" operator="between">
      <formula>0.501</formula>
      <formula>0.75</formula>
    </cfRule>
  </conditionalFormatting>
  <conditionalFormatting sqref="AY6">
    <cfRule type="cellIs" dxfId="209" priority="291" operator="between">
      <formula>0.76</formula>
      <formula>0.95</formula>
    </cfRule>
  </conditionalFormatting>
  <conditionalFormatting sqref="AZ6">
    <cfRule type="cellIs" dxfId="208" priority="290" operator="between">
      <formula>0.95</formula>
      <formula>1</formula>
    </cfRule>
  </conditionalFormatting>
  <conditionalFormatting sqref="BA6">
    <cfRule type="cellIs" dxfId="207" priority="289" operator="greaterThan">
      <formula>1</formula>
    </cfRule>
  </conditionalFormatting>
  <conditionalFormatting sqref="AW6">
    <cfRule type="cellIs" dxfId="206" priority="288" stopIfTrue="1" operator="between">
      <formula>0</formula>
      <formula>0.5</formula>
    </cfRule>
  </conditionalFormatting>
  <conditionalFormatting sqref="AX7">
    <cfRule type="cellIs" dxfId="205" priority="287" operator="between">
      <formula>0.501</formula>
      <formula>0.75</formula>
    </cfRule>
  </conditionalFormatting>
  <conditionalFormatting sqref="AY7">
    <cfRule type="cellIs" dxfId="204" priority="286" operator="between">
      <formula>0.76</formula>
      <formula>0.95</formula>
    </cfRule>
  </conditionalFormatting>
  <conditionalFormatting sqref="AZ7">
    <cfRule type="cellIs" dxfId="203" priority="285" operator="between">
      <formula>0.95</formula>
      <formula>1</formula>
    </cfRule>
  </conditionalFormatting>
  <conditionalFormatting sqref="BA7">
    <cfRule type="cellIs" dxfId="202" priority="284" operator="greaterThan">
      <formula>1</formula>
    </cfRule>
  </conditionalFormatting>
  <conditionalFormatting sqref="AW7">
    <cfRule type="cellIs" dxfId="201" priority="283" stopIfTrue="1" operator="between">
      <formula>0</formula>
      <formula>0.5</formula>
    </cfRule>
  </conditionalFormatting>
  <conditionalFormatting sqref="AX8">
    <cfRule type="cellIs" dxfId="200" priority="282" operator="between">
      <formula>0.501</formula>
      <formula>0.75</formula>
    </cfRule>
  </conditionalFormatting>
  <conditionalFormatting sqref="AY8">
    <cfRule type="cellIs" dxfId="199" priority="281" operator="between">
      <formula>0.76</formula>
      <formula>0.95</formula>
    </cfRule>
  </conditionalFormatting>
  <conditionalFormatting sqref="AZ8">
    <cfRule type="cellIs" dxfId="198" priority="280" operator="between">
      <formula>0.95</formula>
      <formula>1</formula>
    </cfRule>
  </conditionalFormatting>
  <conditionalFormatting sqref="BA8">
    <cfRule type="cellIs" dxfId="197" priority="279" operator="greaterThan">
      <formula>1</formula>
    </cfRule>
  </conditionalFormatting>
  <conditionalFormatting sqref="AW8">
    <cfRule type="cellIs" dxfId="196" priority="278" stopIfTrue="1" operator="between">
      <formula>0</formula>
      <formula>0.5</formula>
    </cfRule>
  </conditionalFormatting>
  <conditionalFormatting sqref="AX9:AX10">
    <cfRule type="cellIs" dxfId="195" priority="277" operator="between">
      <formula>0.501</formula>
      <formula>0.75</formula>
    </cfRule>
  </conditionalFormatting>
  <conditionalFormatting sqref="AY9:AY10">
    <cfRule type="cellIs" dxfId="194" priority="276" operator="between">
      <formula>0.76</formula>
      <formula>0.95</formula>
    </cfRule>
  </conditionalFormatting>
  <conditionalFormatting sqref="AZ9:AZ10">
    <cfRule type="cellIs" dxfId="193" priority="275" operator="between">
      <formula>0.95</formula>
      <formula>1</formula>
    </cfRule>
  </conditionalFormatting>
  <conditionalFormatting sqref="BA9:BA10">
    <cfRule type="cellIs" dxfId="192" priority="274" operator="greaterThan">
      <formula>1</formula>
    </cfRule>
  </conditionalFormatting>
  <conditionalFormatting sqref="AW9:AW10">
    <cfRule type="cellIs" dxfId="191" priority="273" stopIfTrue="1" operator="between">
      <formula>0</formula>
      <formula>0.5</formula>
    </cfRule>
  </conditionalFormatting>
  <conditionalFormatting sqref="AX11">
    <cfRule type="cellIs" dxfId="190" priority="272" operator="between">
      <formula>0.501</formula>
      <formula>0.75</formula>
    </cfRule>
  </conditionalFormatting>
  <conditionalFormatting sqref="AY11">
    <cfRule type="cellIs" dxfId="189" priority="271" operator="between">
      <formula>0.76</formula>
      <formula>0.95</formula>
    </cfRule>
  </conditionalFormatting>
  <conditionalFormatting sqref="AZ11">
    <cfRule type="cellIs" dxfId="188" priority="270" operator="between">
      <formula>0.95</formula>
      <formula>1</formula>
    </cfRule>
  </conditionalFormatting>
  <conditionalFormatting sqref="BA11">
    <cfRule type="cellIs" dxfId="187" priority="269" operator="greaterThan">
      <formula>1</formula>
    </cfRule>
  </conditionalFormatting>
  <conditionalFormatting sqref="AW11">
    <cfRule type="cellIs" dxfId="186" priority="268" stopIfTrue="1" operator="between">
      <formula>0</formula>
      <formula>0.5</formula>
    </cfRule>
  </conditionalFormatting>
  <conditionalFormatting sqref="AX12">
    <cfRule type="cellIs" dxfId="185" priority="267" operator="between">
      <formula>0.501</formula>
      <formula>0.75</formula>
    </cfRule>
  </conditionalFormatting>
  <conditionalFormatting sqref="AY12">
    <cfRule type="cellIs" dxfId="184" priority="266" operator="between">
      <formula>0.76</formula>
      <formula>0.95</formula>
    </cfRule>
  </conditionalFormatting>
  <conditionalFormatting sqref="AZ12">
    <cfRule type="cellIs" dxfId="183" priority="265" operator="between">
      <formula>0.95</formula>
      <formula>1</formula>
    </cfRule>
  </conditionalFormatting>
  <conditionalFormatting sqref="BA12">
    <cfRule type="cellIs" dxfId="182" priority="264" operator="greaterThan">
      <formula>1</formula>
    </cfRule>
  </conditionalFormatting>
  <conditionalFormatting sqref="AW12">
    <cfRule type="cellIs" dxfId="181" priority="263" stopIfTrue="1" operator="between">
      <formula>0</formula>
      <formula>0.5</formula>
    </cfRule>
  </conditionalFormatting>
  <conditionalFormatting sqref="AX13:AX16">
    <cfRule type="cellIs" dxfId="180" priority="262" operator="between">
      <formula>0.501</formula>
      <formula>0.75</formula>
    </cfRule>
  </conditionalFormatting>
  <conditionalFormatting sqref="AY13:AY16">
    <cfRule type="cellIs" dxfId="179" priority="261" operator="between">
      <formula>0.76</formula>
      <formula>0.95</formula>
    </cfRule>
  </conditionalFormatting>
  <conditionalFormatting sqref="AZ13:AZ16">
    <cfRule type="cellIs" dxfId="178" priority="260" operator="between">
      <formula>0.95</formula>
      <formula>1</formula>
    </cfRule>
  </conditionalFormatting>
  <conditionalFormatting sqref="BA13:BA16">
    <cfRule type="cellIs" dxfId="177" priority="259" operator="greaterThan">
      <formula>1</formula>
    </cfRule>
  </conditionalFormatting>
  <conditionalFormatting sqref="AW13:AW16">
    <cfRule type="cellIs" dxfId="176" priority="258" stopIfTrue="1" operator="between">
      <formula>0</formula>
      <formula>0.5</formula>
    </cfRule>
  </conditionalFormatting>
  <conditionalFormatting sqref="AX17">
    <cfRule type="cellIs" dxfId="175" priority="257" operator="between">
      <formula>0.501</formula>
      <formula>0.75</formula>
    </cfRule>
  </conditionalFormatting>
  <conditionalFormatting sqref="AY17">
    <cfRule type="cellIs" dxfId="174" priority="256" operator="between">
      <formula>0.76</formula>
      <formula>0.95</formula>
    </cfRule>
  </conditionalFormatting>
  <conditionalFormatting sqref="AZ17">
    <cfRule type="cellIs" dxfId="173" priority="255" operator="between">
      <formula>0.95</formula>
      <formula>1</formula>
    </cfRule>
  </conditionalFormatting>
  <conditionalFormatting sqref="BA17">
    <cfRule type="cellIs" dxfId="172" priority="254" operator="greaterThan">
      <formula>1</formula>
    </cfRule>
  </conditionalFormatting>
  <conditionalFormatting sqref="AW17">
    <cfRule type="cellIs" dxfId="171" priority="253" stopIfTrue="1" operator="between">
      <formula>0</formula>
      <formula>0.5</formula>
    </cfRule>
  </conditionalFormatting>
  <conditionalFormatting sqref="AX18">
    <cfRule type="cellIs" dxfId="170" priority="252" operator="between">
      <formula>0.501</formula>
      <formula>0.75</formula>
    </cfRule>
  </conditionalFormatting>
  <conditionalFormatting sqref="AY18">
    <cfRule type="cellIs" dxfId="169" priority="251" operator="between">
      <formula>0.76</formula>
      <formula>0.95</formula>
    </cfRule>
  </conditionalFormatting>
  <conditionalFormatting sqref="AZ18">
    <cfRule type="cellIs" dxfId="168" priority="250" operator="between">
      <formula>0.95</formula>
      <formula>1</formula>
    </cfRule>
  </conditionalFormatting>
  <conditionalFormatting sqref="BA18">
    <cfRule type="cellIs" dxfId="167" priority="249" operator="greaterThan">
      <formula>1</formula>
    </cfRule>
  </conditionalFormatting>
  <conditionalFormatting sqref="AW18">
    <cfRule type="cellIs" dxfId="166" priority="248" stopIfTrue="1" operator="between">
      <formula>0</formula>
      <formula>0.5</formula>
    </cfRule>
  </conditionalFormatting>
  <conditionalFormatting sqref="W6">
    <cfRule type="cellIs" dxfId="165" priority="247" stopIfTrue="1" operator="between">
      <formula>0</formula>
      <formula>0.255</formula>
    </cfRule>
  </conditionalFormatting>
  <conditionalFormatting sqref="X6">
    <cfRule type="cellIs" dxfId="164" priority="246" operator="between">
      <formula>0.2551</formula>
      <formula>0.375</formula>
    </cfRule>
  </conditionalFormatting>
  <conditionalFormatting sqref="Y6">
    <cfRule type="cellIs" dxfId="163" priority="245" operator="between">
      <formula>0.3751</formula>
      <formula>0.475</formula>
    </cfRule>
  </conditionalFormatting>
  <conditionalFormatting sqref="Z6">
    <cfRule type="cellIs" dxfId="162" priority="244" operator="between">
      <formula>0.4751</formula>
      <formula>0.51</formula>
    </cfRule>
  </conditionalFormatting>
  <conditionalFormatting sqref="AA6">
    <cfRule type="cellIs" dxfId="161" priority="243" operator="greaterThan">
      <formula>0.505</formula>
    </cfRule>
  </conditionalFormatting>
  <conditionalFormatting sqref="AB8">
    <cfRule type="cellIs" dxfId="160" priority="242" operator="greaterThan">
      <formula>0.505</formula>
    </cfRule>
  </conditionalFormatting>
  <conditionalFormatting sqref="W8">
    <cfRule type="cellIs" dxfId="159" priority="241" stopIfTrue="1" operator="between">
      <formula>0</formula>
      <formula>0.255</formula>
    </cfRule>
  </conditionalFormatting>
  <conditionalFormatting sqref="X8">
    <cfRule type="cellIs" dxfId="158" priority="240" operator="between">
      <formula>0.2551</formula>
      <formula>0.375</formula>
    </cfRule>
  </conditionalFormatting>
  <conditionalFormatting sqref="Y8">
    <cfRule type="cellIs" dxfId="157" priority="239" operator="between">
      <formula>0.3751</formula>
      <formula>0.475</formula>
    </cfRule>
  </conditionalFormatting>
  <conditionalFormatting sqref="Z8">
    <cfRule type="cellIs" dxfId="156" priority="238" operator="between">
      <formula>0.48</formula>
      <formula>0.51</formula>
    </cfRule>
  </conditionalFormatting>
  <conditionalFormatting sqref="D6">
    <cfRule type="cellIs" dxfId="155" priority="226" stopIfTrue="1" operator="between">
      <formula>0</formula>
      <formula>0.5</formula>
    </cfRule>
  </conditionalFormatting>
  <conditionalFormatting sqref="E6">
    <cfRule type="cellIs" dxfId="154" priority="225" operator="between">
      <formula>0.51</formula>
      <formula>0.75</formula>
    </cfRule>
  </conditionalFormatting>
  <conditionalFormatting sqref="F6">
    <cfRule type="cellIs" dxfId="153" priority="224" operator="between">
      <formula>0.76</formula>
      <formula>0.95</formula>
    </cfRule>
  </conditionalFormatting>
  <conditionalFormatting sqref="G6">
    <cfRule type="cellIs" dxfId="152" priority="223" operator="between">
      <formula>0.96</formula>
      <formula>1</formula>
    </cfRule>
  </conditionalFormatting>
  <conditionalFormatting sqref="H6">
    <cfRule type="cellIs" dxfId="151" priority="222" operator="greaterThan">
      <formula>1</formula>
    </cfRule>
  </conditionalFormatting>
  <conditionalFormatting sqref="D7">
    <cfRule type="cellIs" dxfId="150" priority="221" stopIfTrue="1" operator="between">
      <formula>0</formula>
      <formula>0.5</formula>
    </cfRule>
  </conditionalFormatting>
  <conditionalFormatting sqref="E7">
    <cfRule type="cellIs" dxfId="149" priority="220" operator="between">
      <formula>0.51</formula>
      <formula>0.75</formula>
    </cfRule>
  </conditionalFormatting>
  <conditionalFormatting sqref="F7">
    <cfRule type="cellIs" dxfId="148" priority="219" operator="between">
      <formula>0.76</formula>
      <formula>0.95</formula>
    </cfRule>
  </conditionalFormatting>
  <conditionalFormatting sqref="G7">
    <cfRule type="cellIs" dxfId="147" priority="218" operator="between">
      <formula>0.96</formula>
      <formula>1</formula>
    </cfRule>
  </conditionalFormatting>
  <conditionalFormatting sqref="H7">
    <cfRule type="cellIs" dxfId="146" priority="217" operator="greaterThan">
      <formula>1</formula>
    </cfRule>
  </conditionalFormatting>
  <conditionalFormatting sqref="D8:D18">
    <cfRule type="cellIs" dxfId="145" priority="216" stopIfTrue="1" operator="between">
      <formula>0</formula>
      <formula>0.5</formula>
    </cfRule>
  </conditionalFormatting>
  <conditionalFormatting sqref="E8:E18">
    <cfRule type="cellIs" dxfId="144" priority="215" operator="between">
      <formula>0.51</formula>
      <formula>0.75</formula>
    </cfRule>
  </conditionalFormatting>
  <conditionalFormatting sqref="F8:F18">
    <cfRule type="cellIs" dxfId="143" priority="214" operator="between">
      <formula>0.76</formula>
      <formula>0.95</formula>
    </cfRule>
  </conditionalFormatting>
  <conditionalFormatting sqref="G8:G18">
    <cfRule type="cellIs" dxfId="142" priority="213" operator="between">
      <formula>0.96</formula>
      <formula>1</formula>
    </cfRule>
  </conditionalFormatting>
  <conditionalFormatting sqref="H8:H18">
    <cfRule type="cellIs" dxfId="141" priority="212" operator="greaterThan">
      <formula>1</formula>
    </cfRule>
  </conditionalFormatting>
  <conditionalFormatting sqref="J6">
    <cfRule type="cellIs" dxfId="140" priority="211" stopIfTrue="1" operator="between">
      <formula>0</formula>
      <formula>0.125</formula>
    </cfRule>
  </conditionalFormatting>
  <conditionalFormatting sqref="K6">
    <cfRule type="cellIs" dxfId="139" priority="210" operator="between">
      <formula>0.1251</formula>
      <formula>0.1875</formula>
    </cfRule>
  </conditionalFormatting>
  <conditionalFormatting sqref="L6">
    <cfRule type="cellIs" dxfId="138" priority="209" operator="between">
      <formula>0.1876</formula>
      <formula>0.2375</formula>
    </cfRule>
  </conditionalFormatting>
  <conditionalFormatting sqref="M6">
    <cfRule type="cellIs" dxfId="137" priority="208" operator="between">
      <formula>0.2376</formula>
      <formula>0.25</formula>
    </cfRule>
  </conditionalFormatting>
  <conditionalFormatting sqref="N6">
    <cfRule type="cellIs" dxfId="136" priority="207" operator="greaterThan">
      <formula>0.25</formula>
    </cfRule>
  </conditionalFormatting>
  <conditionalFormatting sqref="J7">
    <cfRule type="cellIs" dxfId="135" priority="206" stopIfTrue="1" operator="between">
      <formula>0</formula>
      <formula>0.125</formula>
    </cfRule>
  </conditionalFormatting>
  <conditionalFormatting sqref="K7">
    <cfRule type="cellIs" dxfId="134" priority="205" operator="between">
      <formula>0.1251</formula>
      <formula>0.1875</formula>
    </cfRule>
  </conditionalFormatting>
  <conditionalFormatting sqref="L7">
    <cfRule type="cellIs" dxfId="133" priority="204" operator="between">
      <formula>0.1876</formula>
      <formula>0.2375</formula>
    </cfRule>
  </conditionalFormatting>
  <conditionalFormatting sqref="M7">
    <cfRule type="cellIs" dxfId="132" priority="203" operator="between">
      <formula>0.2376</formula>
      <formula>0.25</formula>
    </cfRule>
  </conditionalFormatting>
  <conditionalFormatting sqref="N7">
    <cfRule type="cellIs" dxfId="131" priority="202" operator="greaterThan">
      <formula>0.25</formula>
    </cfRule>
  </conditionalFormatting>
  <conditionalFormatting sqref="J8:J18">
    <cfRule type="cellIs" dxfId="130" priority="201" stopIfTrue="1" operator="between">
      <formula>0</formula>
      <formula>0.125</formula>
    </cfRule>
  </conditionalFormatting>
  <conditionalFormatting sqref="K8:K18">
    <cfRule type="cellIs" dxfId="129" priority="200" operator="between">
      <formula>0.1251</formula>
      <formula>0.1875</formula>
    </cfRule>
  </conditionalFormatting>
  <conditionalFormatting sqref="L8:L18">
    <cfRule type="cellIs" dxfId="128" priority="199" operator="between">
      <formula>0.1876</formula>
      <formula>0.2375</formula>
    </cfRule>
  </conditionalFormatting>
  <conditionalFormatting sqref="M8:M18">
    <cfRule type="cellIs" dxfId="127" priority="198" operator="between">
      <formula>0.2376</formula>
      <formula>0.25</formula>
    </cfRule>
  </conditionalFormatting>
  <conditionalFormatting sqref="N8:N18">
    <cfRule type="cellIs" dxfId="126" priority="197" operator="greaterThan">
      <formula>0.25</formula>
    </cfRule>
  </conditionalFormatting>
  <conditionalFormatting sqref="AA8">
    <cfRule type="cellIs" dxfId="125" priority="196" operator="greaterThan">
      <formula>0.505</formula>
    </cfRule>
  </conditionalFormatting>
  <conditionalFormatting sqref="Q14">
    <cfRule type="cellIs" dxfId="124" priority="195" stopIfTrue="1" operator="between">
      <formula>0</formula>
      <formula>0.5</formula>
    </cfRule>
  </conditionalFormatting>
  <conditionalFormatting sqref="R14">
    <cfRule type="cellIs" dxfId="123" priority="194" operator="between">
      <formula>0.51</formula>
      <formula>0.75</formula>
    </cfRule>
  </conditionalFormatting>
  <conditionalFormatting sqref="S14">
    <cfRule type="cellIs" dxfId="122" priority="193" operator="between">
      <formula>0.7501</formula>
      <formula>0.95</formula>
    </cfRule>
  </conditionalFormatting>
  <conditionalFormatting sqref="T14">
    <cfRule type="cellIs" dxfId="121" priority="192" operator="between">
      <formula>0.95</formula>
      <formula>1</formula>
    </cfRule>
  </conditionalFormatting>
  <conditionalFormatting sqref="U14">
    <cfRule type="cellIs" dxfId="120" priority="191" operator="greaterThan">
      <formula>1</formula>
    </cfRule>
  </conditionalFormatting>
  <conditionalFormatting sqref="Q15:Q17">
    <cfRule type="cellIs" dxfId="119" priority="190" stopIfTrue="1" operator="between">
      <formula>0</formula>
      <formula>0.5</formula>
    </cfRule>
  </conditionalFormatting>
  <conditionalFormatting sqref="R15:R17">
    <cfRule type="cellIs" dxfId="118" priority="189" operator="between">
      <formula>0.51</formula>
      <formula>0.75</formula>
    </cfRule>
  </conditionalFormatting>
  <conditionalFormatting sqref="S15:S17">
    <cfRule type="cellIs" dxfId="117" priority="188" operator="between">
      <formula>0.76</formula>
      <formula>0.95</formula>
    </cfRule>
  </conditionalFormatting>
  <conditionalFormatting sqref="T15:T17">
    <cfRule type="cellIs" dxfId="116" priority="187" operator="between">
      <formula>0.95</formula>
      <formula>1</formula>
    </cfRule>
  </conditionalFormatting>
  <conditionalFormatting sqref="U15:U17">
    <cfRule type="cellIs" dxfId="115" priority="186" operator="greaterThan">
      <formula>1</formula>
    </cfRule>
  </conditionalFormatting>
  <conditionalFormatting sqref="W10:W17">
    <cfRule type="cellIs" dxfId="114" priority="185" stopIfTrue="1" operator="between">
      <formula>0</formula>
      <formula>0.255</formula>
    </cfRule>
  </conditionalFormatting>
  <conditionalFormatting sqref="X10:X17">
    <cfRule type="cellIs" dxfId="113" priority="184" operator="between">
      <formula>0.2551</formula>
      <formula>0.375</formula>
    </cfRule>
  </conditionalFormatting>
  <conditionalFormatting sqref="Y10:Y17">
    <cfRule type="cellIs" dxfId="112" priority="183" operator="between">
      <formula>0.38</formula>
      <formula>0.475</formula>
    </cfRule>
  </conditionalFormatting>
  <conditionalFormatting sqref="Z10:Z17">
    <cfRule type="cellIs" dxfId="111" priority="182" operator="between">
      <formula>0.48</formula>
      <formula>0.51</formula>
    </cfRule>
  </conditionalFormatting>
  <conditionalFormatting sqref="AA10:AA17">
    <cfRule type="cellIs" dxfId="110" priority="181" operator="greaterThan">
      <formula>0.505</formula>
    </cfRule>
  </conditionalFormatting>
  <conditionalFormatting sqref="AD16">
    <cfRule type="cellIs" dxfId="109" priority="125" stopIfTrue="1" operator="between">
      <formula>0</formula>
      <formula>0.5</formula>
    </cfRule>
  </conditionalFormatting>
  <conditionalFormatting sqref="AE16">
    <cfRule type="cellIs" dxfId="108" priority="124" operator="between">
      <formula>0.51</formula>
      <formula>0.75</formula>
    </cfRule>
  </conditionalFormatting>
  <conditionalFormatting sqref="AF16">
    <cfRule type="cellIs" dxfId="107" priority="123" operator="between">
      <formula>0.76</formula>
      <formula>0.95</formula>
    </cfRule>
  </conditionalFormatting>
  <conditionalFormatting sqref="AG16">
    <cfRule type="cellIs" dxfId="106" priority="122" operator="between">
      <formula>0.95</formula>
      <formula>1</formula>
    </cfRule>
  </conditionalFormatting>
  <conditionalFormatting sqref="AH16">
    <cfRule type="cellIs" dxfId="105" priority="121" operator="greaterThan">
      <formula>1</formula>
    </cfRule>
  </conditionalFormatting>
  <conditionalFormatting sqref="AD15">
    <cfRule type="cellIs" dxfId="104" priority="120" stopIfTrue="1" operator="between">
      <formula>0</formula>
      <formula>0.5</formula>
    </cfRule>
  </conditionalFormatting>
  <conditionalFormatting sqref="AE15">
    <cfRule type="cellIs" dxfId="103" priority="119" operator="between">
      <formula>0.51</formula>
      <formula>0.75</formula>
    </cfRule>
  </conditionalFormatting>
  <conditionalFormatting sqref="AF15">
    <cfRule type="cellIs" dxfId="102" priority="118" operator="between">
      <formula>0.76</formula>
      <formula>0.95</formula>
    </cfRule>
  </conditionalFormatting>
  <conditionalFormatting sqref="AG15">
    <cfRule type="cellIs" dxfId="101" priority="117" operator="between">
      <formula>0.95</formula>
      <formula>1</formula>
    </cfRule>
  </conditionalFormatting>
  <conditionalFormatting sqref="AH15">
    <cfRule type="cellIs" dxfId="100" priority="116" operator="greaterThan">
      <formula>1</formula>
    </cfRule>
  </conditionalFormatting>
  <conditionalFormatting sqref="AD14">
    <cfRule type="cellIs" dxfId="99" priority="115" stopIfTrue="1" operator="between">
      <formula>0</formula>
      <formula>0.5</formula>
    </cfRule>
  </conditionalFormatting>
  <conditionalFormatting sqref="AE14">
    <cfRule type="cellIs" dxfId="98" priority="114" operator="between">
      <formula>0.51</formula>
      <formula>0.75</formula>
    </cfRule>
  </conditionalFormatting>
  <conditionalFormatting sqref="AF14">
    <cfRule type="cellIs" dxfId="97" priority="113" operator="between">
      <formula>0.76</formula>
      <formula>0.95</formula>
    </cfRule>
  </conditionalFormatting>
  <conditionalFormatting sqref="AG14">
    <cfRule type="cellIs" dxfId="96" priority="112" operator="between">
      <formula>0.95</formula>
      <formula>1</formula>
    </cfRule>
  </conditionalFormatting>
  <conditionalFormatting sqref="AH14">
    <cfRule type="cellIs" dxfId="95" priority="111" operator="greaterThan">
      <formula>1</formula>
    </cfRule>
  </conditionalFormatting>
  <conditionalFormatting sqref="AD13">
    <cfRule type="cellIs" dxfId="94" priority="110" stopIfTrue="1" operator="between">
      <formula>0</formula>
      <formula>0.5</formula>
    </cfRule>
  </conditionalFormatting>
  <conditionalFormatting sqref="AE13">
    <cfRule type="cellIs" dxfId="93" priority="109" operator="between">
      <formula>0.51</formula>
      <formula>0.75</formula>
    </cfRule>
  </conditionalFormatting>
  <conditionalFormatting sqref="AF13">
    <cfRule type="cellIs" dxfId="92" priority="108" operator="between">
      <formula>0.76</formula>
      <formula>0.95</formula>
    </cfRule>
  </conditionalFormatting>
  <conditionalFormatting sqref="AG13">
    <cfRule type="cellIs" dxfId="91" priority="107" operator="between">
      <formula>0.95</formula>
      <formula>1</formula>
    </cfRule>
  </conditionalFormatting>
  <conditionalFormatting sqref="AH13">
    <cfRule type="cellIs" dxfId="90" priority="106" operator="greaterThan">
      <formula>1</formula>
    </cfRule>
  </conditionalFormatting>
  <conditionalFormatting sqref="AD12">
    <cfRule type="cellIs" dxfId="89" priority="105" stopIfTrue="1" operator="between">
      <formula>0</formula>
      <formula>0.5</formula>
    </cfRule>
  </conditionalFormatting>
  <conditionalFormatting sqref="AE12">
    <cfRule type="cellIs" dxfId="88" priority="104" operator="between">
      <formula>0.51</formula>
      <formula>0.75</formula>
    </cfRule>
  </conditionalFormatting>
  <conditionalFormatting sqref="AF12">
    <cfRule type="cellIs" dxfId="87" priority="103" operator="between">
      <formula>0.76</formula>
      <formula>0.95</formula>
    </cfRule>
  </conditionalFormatting>
  <conditionalFormatting sqref="AG12">
    <cfRule type="cellIs" dxfId="86" priority="102" operator="between">
      <formula>0.95</formula>
      <formula>1</formula>
    </cfRule>
  </conditionalFormatting>
  <conditionalFormatting sqref="AH12">
    <cfRule type="cellIs" dxfId="85" priority="101" operator="greaterThan">
      <formula>1</formula>
    </cfRule>
  </conditionalFormatting>
  <conditionalFormatting sqref="AD11">
    <cfRule type="cellIs" dxfId="84" priority="100" stopIfTrue="1" operator="between">
      <formula>0</formula>
      <formula>0.5</formula>
    </cfRule>
  </conditionalFormatting>
  <conditionalFormatting sqref="AE11">
    <cfRule type="cellIs" dxfId="83" priority="99" operator="between">
      <formula>0.51</formula>
      <formula>0.75</formula>
    </cfRule>
  </conditionalFormatting>
  <conditionalFormatting sqref="AF11">
    <cfRule type="cellIs" dxfId="82" priority="98" operator="between">
      <formula>0.76</formula>
      <formula>0.95</formula>
    </cfRule>
  </conditionalFormatting>
  <conditionalFormatting sqref="AG11">
    <cfRule type="cellIs" dxfId="81" priority="97" operator="between">
      <formula>0.95</formula>
      <formula>1</formula>
    </cfRule>
  </conditionalFormatting>
  <conditionalFormatting sqref="AH11">
    <cfRule type="cellIs" dxfId="80" priority="96" operator="greaterThan">
      <formula>1</formula>
    </cfRule>
  </conditionalFormatting>
  <conditionalFormatting sqref="AD10">
    <cfRule type="cellIs" dxfId="79" priority="95" stopIfTrue="1" operator="between">
      <formula>0</formula>
      <formula>0.5</formula>
    </cfRule>
  </conditionalFormatting>
  <conditionalFormatting sqref="AE10">
    <cfRule type="cellIs" dxfId="78" priority="94" operator="between">
      <formula>0.51</formula>
      <formula>0.75</formula>
    </cfRule>
  </conditionalFormatting>
  <conditionalFormatting sqref="AF10">
    <cfRule type="cellIs" dxfId="77" priority="93" operator="between">
      <formula>0.76</formula>
      <formula>0.95</formula>
    </cfRule>
  </conditionalFormatting>
  <conditionalFormatting sqref="AG10">
    <cfRule type="cellIs" dxfId="76" priority="92" operator="between">
      <formula>0.95</formula>
      <formula>1</formula>
    </cfRule>
  </conditionalFormatting>
  <conditionalFormatting sqref="AH10">
    <cfRule type="cellIs" dxfId="75" priority="91" operator="greaterThan">
      <formula>1</formula>
    </cfRule>
  </conditionalFormatting>
  <conditionalFormatting sqref="AD8">
    <cfRule type="cellIs" dxfId="74" priority="80" stopIfTrue="1" operator="between">
      <formula>0</formula>
      <formula>0.5</formula>
    </cfRule>
  </conditionalFormatting>
  <conditionalFormatting sqref="AE8">
    <cfRule type="cellIs" dxfId="73" priority="79" operator="between">
      <formula>0.51</formula>
      <formula>0.75</formula>
    </cfRule>
  </conditionalFormatting>
  <conditionalFormatting sqref="AF8">
    <cfRule type="cellIs" dxfId="72" priority="78" operator="between">
      <formula>0.76</formula>
      <formula>0.95</formula>
    </cfRule>
  </conditionalFormatting>
  <conditionalFormatting sqref="AG8">
    <cfRule type="cellIs" dxfId="71" priority="77" operator="between">
      <formula>0.95</formula>
      <formula>1</formula>
    </cfRule>
  </conditionalFormatting>
  <conditionalFormatting sqref="AH8">
    <cfRule type="cellIs" dxfId="70" priority="76" operator="greaterThan">
      <formula>1</formula>
    </cfRule>
  </conditionalFormatting>
  <conditionalFormatting sqref="AD9">
    <cfRule type="cellIs" dxfId="69" priority="75" stopIfTrue="1" operator="between">
      <formula>0</formula>
      <formula>0.5</formula>
    </cfRule>
  </conditionalFormatting>
  <conditionalFormatting sqref="AE9">
    <cfRule type="cellIs" dxfId="68" priority="74" operator="between">
      <formula>0.51</formula>
      <formula>0.75</formula>
    </cfRule>
  </conditionalFormatting>
  <conditionalFormatting sqref="AF9">
    <cfRule type="cellIs" dxfId="67" priority="73" operator="between">
      <formula>0.76</formula>
      <formula>0.95</formula>
    </cfRule>
  </conditionalFormatting>
  <conditionalFormatting sqref="AG9">
    <cfRule type="cellIs" dxfId="66" priority="72" operator="between">
      <formula>0.95</formula>
      <formula>1</formula>
    </cfRule>
  </conditionalFormatting>
  <conditionalFormatting sqref="AH9">
    <cfRule type="cellIs" dxfId="65" priority="71" operator="greaterThan">
      <formula>1</formula>
    </cfRule>
  </conditionalFormatting>
  <conditionalFormatting sqref="AD7">
    <cfRule type="cellIs" dxfId="64" priority="70" stopIfTrue="1" operator="between">
      <formula>0</formula>
      <formula>0.5</formula>
    </cfRule>
  </conditionalFormatting>
  <conditionalFormatting sqref="AE7">
    <cfRule type="cellIs" dxfId="63" priority="69" operator="between">
      <formula>0.51</formula>
      <formula>0.75</formula>
    </cfRule>
  </conditionalFormatting>
  <conditionalFormatting sqref="AF7">
    <cfRule type="cellIs" dxfId="62" priority="68" operator="between">
      <formula>0.76</formula>
      <formula>0.95</formula>
    </cfRule>
  </conditionalFormatting>
  <conditionalFormatting sqref="AG7">
    <cfRule type="cellIs" dxfId="61" priority="67" operator="between">
      <formula>0.95</formula>
      <formula>1</formula>
    </cfRule>
  </conditionalFormatting>
  <conditionalFormatting sqref="AH7">
    <cfRule type="cellIs" dxfId="60" priority="66" operator="greaterThan">
      <formula>1</formula>
    </cfRule>
  </conditionalFormatting>
  <conditionalFormatting sqref="AD6">
    <cfRule type="cellIs" dxfId="59" priority="65" stopIfTrue="1" operator="between">
      <formula>0</formula>
      <formula>0.5</formula>
    </cfRule>
  </conditionalFormatting>
  <conditionalFormatting sqref="AE6">
    <cfRule type="cellIs" dxfId="58" priority="64" operator="between">
      <formula>0.51</formula>
      <formula>0.75</formula>
    </cfRule>
  </conditionalFormatting>
  <conditionalFormatting sqref="AF6">
    <cfRule type="cellIs" dxfId="57" priority="63" operator="between">
      <formula>0.76</formula>
      <formula>0.95</formula>
    </cfRule>
  </conditionalFormatting>
  <conditionalFormatting sqref="AG6">
    <cfRule type="cellIs" dxfId="56" priority="62" operator="between">
      <formula>0.95</formula>
      <formula>1</formula>
    </cfRule>
  </conditionalFormatting>
  <conditionalFormatting sqref="AH6">
    <cfRule type="cellIs" dxfId="55" priority="61" operator="greaterThan">
      <formula>1</formula>
    </cfRule>
  </conditionalFormatting>
  <conditionalFormatting sqref="AJ16">
    <cfRule type="cellIs" dxfId="54" priority="60" stopIfTrue="1" operator="between">
      <formula>0</formula>
      <formula>0.375</formula>
    </cfRule>
  </conditionalFormatting>
  <conditionalFormatting sqref="AK16">
    <cfRule type="cellIs" dxfId="53" priority="59" operator="between">
      <formula>0.3751</formula>
      <formula>0.5625</formula>
    </cfRule>
  </conditionalFormatting>
  <conditionalFormatting sqref="AL16">
    <cfRule type="cellIs" dxfId="52" priority="58" operator="between">
      <formula>0.563</formula>
      <formula>0.7125</formula>
    </cfRule>
  </conditionalFormatting>
  <conditionalFormatting sqref="AM16">
    <cfRule type="cellIs" dxfId="51" priority="57" operator="between">
      <formula>0.713</formula>
      <formula>0.75</formula>
    </cfRule>
  </conditionalFormatting>
  <conditionalFormatting sqref="AN16">
    <cfRule type="cellIs" dxfId="50" priority="56" operator="greaterThan">
      <formula>0.755</formula>
    </cfRule>
  </conditionalFormatting>
  <conditionalFormatting sqref="AJ15">
    <cfRule type="cellIs" dxfId="49" priority="55" stopIfTrue="1" operator="between">
      <formula>0</formula>
      <formula>0.375</formula>
    </cfRule>
  </conditionalFormatting>
  <conditionalFormatting sqref="AK15">
    <cfRule type="cellIs" dxfId="48" priority="54" operator="between">
      <formula>0.3751</formula>
      <formula>0.5625</formula>
    </cfRule>
  </conditionalFormatting>
  <conditionalFormatting sqref="AL15">
    <cfRule type="cellIs" dxfId="47" priority="53" operator="between">
      <formula>0.563</formula>
      <formula>0.7125</formula>
    </cfRule>
  </conditionalFormatting>
  <conditionalFormatting sqref="AM15">
    <cfRule type="cellIs" dxfId="46" priority="52" operator="between">
      <formula>0.713</formula>
      <formula>0.75</formula>
    </cfRule>
  </conditionalFormatting>
  <conditionalFormatting sqref="AN15">
    <cfRule type="cellIs" dxfId="45" priority="51" operator="greaterThan">
      <formula>0.755</formula>
    </cfRule>
  </conditionalFormatting>
  <conditionalFormatting sqref="AJ14">
    <cfRule type="cellIs" dxfId="44" priority="50" stopIfTrue="1" operator="between">
      <formula>0</formula>
      <formula>0.375</formula>
    </cfRule>
  </conditionalFormatting>
  <conditionalFormatting sqref="AK14">
    <cfRule type="cellIs" dxfId="43" priority="49" operator="between">
      <formula>0.3751</formula>
      <formula>0.5625</formula>
    </cfRule>
  </conditionalFormatting>
  <conditionalFormatting sqref="AL14">
    <cfRule type="cellIs" dxfId="42" priority="48" operator="between">
      <formula>0.563</formula>
      <formula>0.7125</formula>
    </cfRule>
  </conditionalFormatting>
  <conditionalFormatting sqref="AM14">
    <cfRule type="cellIs" dxfId="41" priority="47" operator="between">
      <formula>0.713</formula>
      <formula>0.75</formula>
    </cfRule>
  </conditionalFormatting>
  <conditionalFormatting sqref="AN14">
    <cfRule type="cellIs" dxfId="40" priority="46" operator="greaterThan">
      <formula>0.755</formula>
    </cfRule>
  </conditionalFormatting>
  <conditionalFormatting sqref="AJ13">
    <cfRule type="cellIs" dxfId="39" priority="45" stopIfTrue="1" operator="between">
      <formula>0</formula>
      <formula>0.375</formula>
    </cfRule>
  </conditionalFormatting>
  <conditionalFormatting sqref="AK13">
    <cfRule type="cellIs" dxfId="38" priority="44" operator="between">
      <formula>0.3751</formula>
      <formula>0.5625</formula>
    </cfRule>
  </conditionalFormatting>
  <conditionalFormatting sqref="AL13">
    <cfRule type="cellIs" dxfId="37" priority="43" operator="between">
      <formula>0.563</formula>
      <formula>0.7125</formula>
    </cfRule>
  </conditionalFormatting>
  <conditionalFormatting sqref="AM13">
    <cfRule type="cellIs" dxfId="36" priority="42" operator="between">
      <formula>0.713</formula>
      <formula>0.75</formula>
    </cfRule>
  </conditionalFormatting>
  <conditionalFormatting sqref="AN13">
    <cfRule type="cellIs" dxfId="35" priority="41" operator="greaterThan">
      <formula>0.755</formula>
    </cfRule>
  </conditionalFormatting>
  <conditionalFormatting sqref="AJ12">
    <cfRule type="cellIs" dxfId="34" priority="40" stopIfTrue="1" operator="between">
      <formula>0</formula>
      <formula>0.375</formula>
    </cfRule>
  </conditionalFormatting>
  <conditionalFormatting sqref="AK12">
    <cfRule type="cellIs" dxfId="33" priority="39" operator="between">
      <formula>0.3751</formula>
      <formula>0.5625</formula>
    </cfRule>
  </conditionalFormatting>
  <conditionalFormatting sqref="AL12">
    <cfRule type="cellIs" dxfId="32" priority="38" operator="between">
      <formula>0.563</formula>
      <formula>0.7125</formula>
    </cfRule>
  </conditionalFormatting>
  <conditionalFormatting sqref="AM12">
    <cfRule type="cellIs" dxfId="31" priority="37" operator="between">
      <formula>0.713</formula>
      <formula>0.75</formula>
    </cfRule>
  </conditionalFormatting>
  <conditionalFormatting sqref="AN12">
    <cfRule type="cellIs" dxfId="30" priority="36" operator="greaterThan">
      <formula>0.755</formula>
    </cfRule>
  </conditionalFormatting>
  <conditionalFormatting sqref="AJ11">
    <cfRule type="cellIs" dxfId="29" priority="35" stopIfTrue="1" operator="between">
      <formula>0</formula>
      <formula>0.375</formula>
    </cfRule>
  </conditionalFormatting>
  <conditionalFormatting sqref="AK11">
    <cfRule type="cellIs" dxfId="28" priority="34" operator="between">
      <formula>0.3751</formula>
      <formula>0.5625</formula>
    </cfRule>
  </conditionalFormatting>
  <conditionalFormatting sqref="AL11">
    <cfRule type="cellIs" dxfId="27" priority="33" operator="between">
      <formula>0.563</formula>
      <formula>0.7125</formula>
    </cfRule>
  </conditionalFormatting>
  <conditionalFormatting sqref="AM11">
    <cfRule type="cellIs" dxfId="26" priority="32" operator="between">
      <formula>0.713</formula>
      <formula>0.75</formula>
    </cfRule>
  </conditionalFormatting>
  <conditionalFormatting sqref="AN11">
    <cfRule type="cellIs" dxfId="25" priority="31" operator="greaterThan">
      <formula>0.755</formula>
    </cfRule>
  </conditionalFormatting>
  <conditionalFormatting sqref="AJ10">
    <cfRule type="cellIs" dxfId="24" priority="30" stopIfTrue="1" operator="between">
      <formula>0</formula>
      <formula>0.375</formula>
    </cfRule>
  </conditionalFormatting>
  <conditionalFormatting sqref="AK10">
    <cfRule type="cellIs" dxfId="23" priority="29" operator="between">
      <formula>0.3751</formula>
      <formula>0.5625</formula>
    </cfRule>
  </conditionalFormatting>
  <conditionalFormatting sqref="AL10">
    <cfRule type="cellIs" dxfId="22" priority="28" operator="between">
      <formula>0.563</formula>
      <formula>0.7125</formula>
    </cfRule>
  </conditionalFormatting>
  <conditionalFormatting sqref="AM10">
    <cfRule type="cellIs" dxfId="21" priority="27" operator="between">
      <formula>0.713</formula>
      <formula>0.75</formula>
    </cfRule>
  </conditionalFormatting>
  <conditionalFormatting sqref="AN10">
    <cfRule type="cellIs" dxfId="20" priority="26" operator="greaterThan">
      <formula>0.755</formula>
    </cfRule>
  </conditionalFormatting>
  <conditionalFormatting sqref="AJ9">
    <cfRule type="cellIs" dxfId="19" priority="25" stopIfTrue="1" operator="between">
      <formula>0</formula>
      <formula>0.375</formula>
    </cfRule>
  </conditionalFormatting>
  <conditionalFormatting sqref="AK9">
    <cfRule type="cellIs" dxfId="18" priority="24" operator="between">
      <formula>0.3751</formula>
      <formula>0.5625</formula>
    </cfRule>
  </conditionalFormatting>
  <conditionalFormatting sqref="AL9">
    <cfRule type="cellIs" dxfId="17" priority="23" operator="between">
      <formula>0.563</formula>
      <formula>0.7125</formula>
    </cfRule>
  </conditionalFormatting>
  <conditionalFormatting sqref="AM9">
    <cfRule type="cellIs" dxfId="16" priority="22" operator="between">
      <formula>0.713</formula>
      <formula>0.75</formula>
    </cfRule>
  </conditionalFormatting>
  <conditionalFormatting sqref="AN9">
    <cfRule type="cellIs" dxfId="15" priority="21" operator="greaterThan">
      <formula>0.755</formula>
    </cfRule>
  </conditionalFormatting>
  <conditionalFormatting sqref="AJ8">
    <cfRule type="cellIs" dxfId="14" priority="20" stopIfTrue="1" operator="between">
      <formula>0</formula>
      <formula>0.375</formula>
    </cfRule>
  </conditionalFormatting>
  <conditionalFormatting sqref="AK8">
    <cfRule type="cellIs" dxfId="13" priority="19" operator="between">
      <formula>0.3751</formula>
      <formula>0.5625</formula>
    </cfRule>
  </conditionalFormatting>
  <conditionalFormatting sqref="AL8">
    <cfRule type="cellIs" dxfId="12" priority="18" operator="between">
      <formula>0.563</formula>
      <formula>0.7125</formula>
    </cfRule>
  </conditionalFormatting>
  <conditionalFormatting sqref="AM8">
    <cfRule type="cellIs" dxfId="11" priority="17" operator="between">
      <formula>0.713</formula>
      <formula>0.75</formula>
    </cfRule>
  </conditionalFormatting>
  <conditionalFormatting sqref="AN8">
    <cfRule type="cellIs" dxfId="10" priority="16" operator="greaterThan">
      <formula>0.755</formula>
    </cfRule>
  </conditionalFormatting>
  <conditionalFormatting sqref="AJ7">
    <cfRule type="cellIs" dxfId="9" priority="15" stopIfTrue="1" operator="between">
      <formula>0</formula>
      <formula>0.375</formula>
    </cfRule>
  </conditionalFormatting>
  <conditionalFormatting sqref="AK7">
    <cfRule type="cellIs" dxfId="8" priority="14" operator="between">
      <formula>0.3751</formula>
      <formula>0.5625</formula>
    </cfRule>
  </conditionalFormatting>
  <conditionalFormatting sqref="AL7">
    <cfRule type="cellIs" dxfId="7" priority="13" operator="between">
      <formula>0.563</formula>
      <formula>0.7125</formula>
    </cfRule>
  </conditionalFormatting>
  <conditionalFormatting sqref="AM7">
    <cfRule type="cellIs" dxfId="6" priority="12" operator="between">
      <formula>0.713</formula>
      <formula>0.75</formula>
    </cfRule>
  </conditionalFormatting>
  <conditionalFormatting sqref="AN7">
    <cfRule type="cellIs" dxfId="5" priority="11" operator="greaterThan">
      <formula>0.755</formula>
    </cfRule>
  </conditionalFormatting>
  <conditionalFormatting sqref="AJ6">
    <cfRule type="cellIs" dxfId="4" priority="5" stopIfTrue="1" operator="between">
      <formula>0</formula>
      <formula>0.375</formula>
    </cfRule>
  </conditionalFormatting>
  <conditionalFormatting sqref="AK6">
    <cfRule type="cellIs" dxfId="3" priority="4" operator="between">
      <formula>0.3751</formula>
      <formula>0.5625</formula>
    </cfRule>
  </conditionalFormatting>
  <conditionalFormatting sqref="AL6">
    <cfRule type="cellIs" dxfId="2" priority="3" operator="between">
      <formula>0.563</formula>
      <formula>0.7125</formula>
    </cfRule>
  </conditionalFormatting>
  <conditionalFormatting sqref="AM6">
    <cfRule type="cellIs" dxfId="1" priority="2" operator="between">
      <formula>0.713</formula>
      <formula>0.75</formula>
    </cfRule>
  </conditionalFormatting>
  <conditionalFormatting sqref="AN6">
    <cfRule type="cellIs" dxfId="0" priority="1" operator="greaterThan">
      <formula>0.755</formula>
    </cfRule>
  </conditionalFormatting>
  <pageMargins left="0.70866141732283472" right="0.70866141732283472" top="0.74803149606299213" bottom="0.74803149606299213" header="0.31496062992125984" footer="0.31496062992125984"/>
  <pageSetup scale="110" orientation="landscape"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906D4-B557-4318-B06D-31AE8906A26C}">
  <dimension ref="A1:L11"/>
  <sheetViews>
    <sheetView showGridLines="0" topLeftCell="A10" zoomScale="110" zoomScaleNormal="110" workbookViewId="0">
      <selection activeCell="B10" sqref="B10:L10"/>
    </sheetView>
  </sheetViews>
  <sheetFormatPr baseColWidth="10" defaultRowHeight="15" x14ac:dyDescent="0.25"/>
  <sheetData>
    <row r="1" spans="1:12" x14ac:dyDescent="0.25">
      <c r="A1" s="1258"/>
      <c r="B1" s="1259"/>
      <c r="C1" s="1264" t="s">
        <v>246</v>
      </c>
      <c r="D1" s="1265"/>
      <c r="E1" s="1282" t="s">
        <v>247</v>
      </c>
      <c r="F1" s="1283"/>
      <c r="G1" s="1283"/>
      <c r="H1" s="1284"/>
      <c r="I1" s="1270"/>
      <c r="J1" s="1271"/>
      <c r="K1" s="1271"/>
      <c r="L1" s="1272"/>
    </row>
    <row r="2" spans="1:12" x14ac:dyDescent="0.25">
      <c r="A2" s="1260"/>
      <c r="B2" s="1261"/>
      <c r="C2" s="1266" t="s">
        <v>248</v>
      </c>
      <c r="D2" s="1267"/>
      <c r="E2" s="1279" t="s">
        <v>250</v>
      </c>
      <c r="F2" s="1280"/>
      <c r="G2" s="1280"/>
      <c r="H2" s="1281"/>
      <c r="I2" s="1273"/>
      <c r="J2" s="1274"/>
      <c r="K2" s="1274"/>
      <c r="L2" s="1275"/>
    </row>
    <row r="3" spans="1:12" ht="15.75" thickBot="1" x14ac:dyDescent="0.3">
      <c r="A3" s="1262"/>
      <c r="B3" s="1263"/>
      <c r="C3" s="1268" t="s">
        <v>242</v>
      </c>
      <c r="D3" s="1269"/>
      <c r="E3" s="1285" t="s">
        <v>254</v>
      </c>
      <c r="F3" s="1286"/>
      <c r="G3" s="21" t="s">
        <v>249</v>
      </c>
      <c r="H3" s="20">
        <v>2</v>
      </c>
      <c r="I3" s="1276"/>
      <c r="J3" s="1277"/>
      <c r="K3" s="1277"/>
      <c r="L3" s="1278"/>
    </row>
    <row r="5" spans="1:12" x14ac:dyDescent="0.25">
      <c r="A5" s="146" t="s">
        <v>1412</v>
      </c>
    </row>
    <row r="6" spans="1:12" x14ac:dyDescent="0.25">
      <c r="A6" s="22"/>
    </row>
    <row r="7" spans="1:12" x14ac:dyDescent="0.25">
      <c r="A7" s="451" t="s">
        <v>1413</v>
      </c>
      <c r="B7" s="1496" t="s">
        <v>1414</v>
      </c>
      <c r="C7" s="1496"/>
      <c r="D7" s="1496"/>
      <c r="E7" s="1496"/>
      <c r="F7" s="1496"/>
      <c r="G7" s="1496"/>
      <c r="H7" s="1496"/>
      <c r="I7" s="1496"/>
      <c r="J7" s="1496"/>
      <c r="K7" s="1496"/>
      <c r="L7" s="1496"/>
    </row>
    <row r="8" spans="1:12" ht="409.5" customHeight="1" x14ac:dyDescent="0.25">
      <c r="A8" s="540" t="s">
        <v>267</v>
      </c>
      <c r="B8" s="1495" t="s">
        <v>1419</v>
      </c>
      <c r="C8" s="1495"/>
      <c r="D8" s="1495"/>
      <c r="E8" s="1495"/>
      <c r="F8" s="1495"/>
      <c r="G8" s="1495"/>
      <c r="H8" s="1495"/>
      <c r="I8" s="1495"/>
      <c r="J8" s="1495"/>
      <c r="K8" s="1495"/>
      <c r="L8" s="1495"/>
    </row>
    <row r="9" spans="1:12" ht="409.5" customHeight="1" x14ac:dyDescent="0.25">
      <c r="A9" s="812" t="s">
        <v>1415</v>
      </c>
      <c r="B9" s="1497" t="s">
        <v>1758</v>
      </c>
      <c r="C9" s="1498"/>
      <c r="D9" s="1498"/>
      <c r="E9" s="1498"/>
      <c r="F9" s="1498"/>
      <c r="G9" s="1498"/>
      <c r="H9" s="1498"/>
      <c r="I9" s="1498"/>
      <c r="J9" s="1498"/>
      <c r="K9" s="1498"/>
      <c r="L9" s="1499"/>
    </row>
    <row r="10" spans="1:12" ht="409.6" customHeight="1" x14ac:dyDescent="0.25">
      <c r="A10" s="1046" t="s">
        <v>1416</v>
      </c>
      <c r="B10" s="1497" t="s">
        <v>1953</v>
      </c>
      <c r="C10" s="1498"/>
      <c r="D10" s="1498"/>
      <c r="E10" s="1498"/>
      <c r="F10" s="1498"/>
      <c r="G10" s="1498"/>
      <c r="H10" s="1498"/>
      <c r="I10" s="1498"/>
      <c r="J10" s="1498"/>
      <c r="K10" s="1498"/>
      <c r="L10" s="1499"/>
    </row>
    <row r="11" spans="1:12" x14ac:dyDescent="0.25">
      <c r="A11" s="542" t="s">
        <v>1417</v>
      </c>
      <c r="B11" s="1500"/>
      <c r="C11" s="1501"/>
      <c r="D11" s="1501"/>
      <c r="E11" s="1501"/>
      <c r="F11" s="1501"/>
      <c r="G11" s="1501"/>
      <c r="H11" s="1501"/>
      <c r="I11" s="1501"/>
      <c r="J11" s="1501"/>
      <c r="K11" s="1501"/>
      <c r="L11" s="1502"/>
    </row>
  </sheetData>
  <sheetProtection algorithmName="SHA-512" hashValue="023J3WfCE5Qg6Gzn71y6Bl2Ns6+meLWdV8W7U23xvbaSy0T+0djBNs87m8QN4JQKE75QJ46MH5mdrLNwak/EhQ==" saltValue="Fh03xl3OoxW9+/3u8OHtXw==" spinCount="100000" sheet="1" objects="1" scenarios="1"/>
  <mergeCells count="13">
    <mergeCell ref="B8:L8"/>
    <mergeCell ref="B7:L7"/>
    <mergeCell ref="B9:L9"/>
    <mergeCell ref="B10:L10"/>
    <mergeCell ref="B11:L11"/>
    <mergeCell ref="A1:B3"/>
    <mergeCell ref="C1:D1"/>
    <mergeCell ref="E1:H1"/>
    <mergeCell ref="I1:L3"/>
    <mergeCell ref="C2:D2"/>
    <mergeCell ref="E2:H2"/>
    <mergeCell ref="C3:D3"/>
    <mergeCell ref="E3:F3"/>
  </mergeCell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0B7C4-377E-44CB-A11B-87B9039A55C6}">
  <dimension ref="B1:BZ30"/>
  <sheetViews>
    <sheetView showGridLines="0" zoomScale="55" zoomScaleNormal="55" workbookViewId="0">
      <selection activeCell="H43" sqref="H43"/>
    </sheetView>
  </sheetViews>
  <sheetFormatPr baseColWidth="10" defaultColWidth="11" defaultRowHeight="14.25" x14ac:dyDescent="0.2"/>
  <cols>
    <col min="1" max="1" width="1.5703125" style="173" customWidth="1"/>
    <col min="2" max="2" width="22.28515625" style="173" customWidth="1"/>
    <col min="3" max="3" width="42.5703125" style="173" customWidth="1"/>
    <col min="4" max="4" width="38.7109375" style="173" customWidth="1"/>
    <col min="5" max="5" width="32.140625" style="173" customWidth="1"/>
    <col min="6" max="6" width="33.85546875" style="173" customWidth="1"/>
    <col min="7" max="7" width="5.7109375" style="177" customWidth="1"/>
    <col min="8" max="8" width="24.28515625" style="177" customWidth="1"/>
    <col min="9" max="9" width="35.28515625" style="173" customWidth="1"/>
    <col min="10" max="10" width="31" style="173" customWidth="1"/>
    <col min="11" max="11" width="2.5703125" style="176" customWidth="1"/>
    <col min="12" max="12" width="30" style="173" customWidth="1"/>
    <col min="13" max="13" width="30.7109375" style="173" customWidth="1"/>
    <col min="14" max="14" width="33.42578125" style="173" customWidth="1"/>
    <col min="15" max="15" width="2.5703125" style="176" customWidth="1"/>
    <col min="16" max="16" width="11.140625" style="173" customWidth="1"/>
    <col min="17" max="18" width="15.5703125" style="173" customWidth="1"/>
    <col min="19" max="19" width="2.5703125" style="176" customWidth="1"/>
    <col min="20" max="20" width="12.5703125" style="173" customWidth="1"/>
    <col min="21" max="21" width="16.28515625" style="173" customWidth="1"/>
    <col min="22" max="22" width="18.140625" style="173" customWidth="1"/>
    <col min="23" max="23" width="12" style="173" hidden="1" customWidth="1"/>
    <col min="24" max="24" width="5.7109375" style="173" customWidth="1"/>
    <col min="25" max="26" width="0" style="173" hidden="1" customWidth="1"/>
    <col min="27" max="27" width="2.7109375" style="173" hidden="1" customWidth="1"/>
    <col min="28" max="29" width="0" style="173" hidden="1" customWidth="1"/>
    <col min="30" max="30" width="2.7109375" style="173" hidden="1" customWidth="1"/>
    <col min="31" max="32" width="0" style="173" hidden="1" customWidth="1"/>
    <col min="33" max="33" width="2.7109375" style="173" hidden="1" customWidth="1"/>
    <col min="34" max="35" width="0" style="173" hidden="1" customWidth="1"/>
    <col min="36" max="36" width="2.7109375" style="173" hidden="1" customWidth="1"/>
    <col min="37" max="37" width="0" style="173" hidden="1" customWidth="1"/>
    <col min="38" max="38" width="5.7109375" style="173" hidden="1" customWidth="1"/>
    <col min="39" max="40" width="0" style="173" hidden="1" customWidth="1"/>
    <col min="41" max="41" width="2.7109375" style="173" hidden="1" customWidth="1"/>
    <col min="42" max="43" width="0" style="173" hidden="1" customWidth="1"/>
    <col min="44" max="44" width="2.7109375" style="173" hidden="1" customWidth="1"/>
    <col min="45" max="46" width="0" style="173" hidden="1" customWidth="1"/>
    <col min="47" max="47" width="2.7109375" style="173" hidden="1" customWidth="1"/>
    <col min="48" max="49" width="0" style="173" hidden="1" customWidth="1"/>
    <col min="50" max="50" width="2.7109375" style="173" hidden="1" customWidth="1"/>
    <col min="51" max="51" width="0" style="173" hidden="1" customWidth="1"/>
    <col min="52" max="52" width="5.7109375" style="173" hidden="1" customWidth="1"/>
    <col min="53" max="54" width="0" style="173" hidden="1" customWidth="1"/>
    <col min="55" max="55" width="2.7109375" style="173" hidden="1" customWidth="1"/>
    <col min="56" max="57" width="0" style="173" hidden="1" customWidth="1"/>
    <col min="58" max="58" width="2.7109375" style="173" hidden="1" customWidth="1"/>
    <col min="59" max="60" width="0" style="173" hidden="1" customWidth="1"/>
    <col min="61" max="61" width="2.7109375" style="173" hidden="1" customWidth="1"/>
    <col min="62" max="63" width="0" style="173" hidden="1" customWidth="1"/>
    <col min="64" max="64" width="2.7109375" style="173" hidden="1" customWidth="1"/>
    <col min="65" max="65" width="0" style="173" hidden="1" customWidth="1"/>
    <col min="66" max="66" width="5.7109375" style="173" hidden="1" customWidth="1"/>
    <col min="67" max="68" width="0" style="173" hidden="1" customWidth="1"/>
    <col min="69" max="69" width="2.7109375" style="173" hidden="1" customWidth="1"/>
    <col min="70" max="71" width="0" style="173" hidden="1" customWidth="1"/>
    <col min="72" max="72" width="2.7109375" style="173" hidden="1" customWidth="1"/>
    <col min="73" max="74" width="0" style="173" hidden="1" customWidth="1"/>
    <col min="75" max="75" width="2.7109375" style="173" hidden="1" customWidth="1"/>
    <col min="76" max="77" width="0" style="173" hidden="1" customWidth="1"/>
    <col min="78" max="78" width="2.7109375" style="173" hidden="1" customWidth="1"/>
    <col min="79" max="79" width="0" style="173" hidden="1" customWidth="1"/>
    <col min="80" max="255" width="11" style="173"/>
    <col min="256" max="256" width="1.5703125" style="173" customWidth="1"/>
    <col min="257" max="257" width="8.5703125" style="173" customWidth="1"/>
    <col min="258" max="258" width="28.7109375" style="173" customWidth="1"/>
    <col min="259" max="259" width="26.5703125" style="173" customWidth="1"/>
    <col min="260" max="260" width="7.7109375" style="173" customWidth="1"/>
    <col min="261" max="261" width="19.42578125" style="173" customWidth="1"/>
    <col min="262" max="262" width="44.28515625" style="173" customWidth="1"/>
    <col min="263" max="263" width="17" style="173" customWidth="1"/>
    <col min="264" max="264" width="15.5703125" style="173" customWidth="1"/>
    <col min="265" max="265" width="14.140625" style="173" customWidth="1"/>
    <col min="266" max="266" width="1.7109375" style="173" customWidth="1"/>
    <col min="267" max="267" width="13.7109375" style="173" customWidth="1"/>
    <col min="268" max="268" width="13.85546875" style="173" bestFit="1" customWidth="1"/>
    <col min="269" max="269" width="2.5703125" style="173" customWidth="1"/>
    <col min="270" max="270" width="12.42578125" style="173" customWidth="1"/>
    <col min="271" max="271" width="13.5703125" style="173" customWidth="1"/>
    <col min="272" max="272" width="2.5703125" style="173" customWidth="1"/>
    <col min="273" max="273" width="12.42578125" style="173" customWidth="1"/>
    <col min="274" max="274" width="13.5703125" style="173" customWidth="1"/>
    <col min="275" max="275" width="2.5703125" style="173" customWidth="1"/>
    <col min="276" max="276" width="11.5703125" style="173" customWidth="1"/>
    <col min="277" max="277" width="13" style="173" customWidth="1"/>
    <col min="278" max="278" width="1.42578125" style="173" customWidth="1"/>
    <col min="279" max="279" width="10.5703125" style="173" customWidth="1"/>
    <col min="280" max="511" width="11" style="173"/>
    <col min="512" max="512" width="1.5703125" style="173" customWidth="1"/>
    <col min="513" max="513" width="8.5703125" style="173" customWidth="1"/>
    <col min="514" max="514" width="28.7109375" style="173" customWidth="1"/>
    <col min="515" max="515" width="26.5703125" style="173" customWidth="1"/>
    <col min="516" max="516" width="7.7109375" style="173" customWidth="1"/>
    <col min="517" max="517" width="19.42578125" style="173" customWidth="1"/>
    <col min="518" max="518" width="44.28515625" style="173" customWidth="1"/>
    <col min="519" max="519" width="17" style="173" customWidth="1"/>
    <col min="520" max="520" width="15.5703125" style="173" customWidth="1"/>
    <col min="521" max="521" width="14.140625" style="173" customWidth="1"/>
    <col min="522" max="522" width="1.7109375" style="173" customWidth="1"/>
    <col min="523" max="523" width="13.7109375" style="173" customWidth="1"/>
    <col min="524" max="524" width="13.85546875" style="173" bestFit="1" customWidth="1"/>
    <col min="525" max="525" width="2.5703125" style="173" customWidth="1"/>
    <col min="526" max="526" width="12.42578125" style="173" customWidth="1"/>
    <col min="527" max="527" width="13.5703125" style="173" customWidth="1"/>
    <col min="528" max="528" width="2.5703125" style="173" customWidth="1"/>
    <col min="529" max="529" width="12.42578125" style="173" customWidth="1"/>
    <col min="530" max="530" width="13.5703125" style="173" customWidth="1"/>
    <col min="531" max="531" width="2.5703125" style="173" customWidth="1"/>
    <col min="532" max="532" width="11.5703125" style="173" customWidth="1"/>
    <col min="533" max="533" width="13" style="173" customWidth="1"/>
    <col min="534" max="534" width="1.42578125" style="173" customWidth="1"/>
    <col min="535" max="535" width="10.5703125" style="173" customWidth="1"/>
    <col min="536" max="767" width="11" style="173"/>
    <col min="768" max="768" width="1.5703125" style="173" customWidth="1"/>
    <col min="769" max="769" width="8.5703125" style="173" customWidth="1"/>
    <col min="770" max="770" width="28.7109375" style="173" customWidth="1"/>
    <col min="771" max="771" width="26.5703125" style="173" customWidth="1"/>
    <col min="772" max="772" width="7.7109375" style="173" customWidth="1"/>
    <col min="773" max="773" width="19.42578125" style="173" customWidth="1"/>
    <col min="774" max="774" width="44.28515625" style="173" customWidth="1"/>
    <col min="775" max="775" width="17" style="173" customWidth="1"/>
    <col min="776" max="776" width="15.5703125" style="173" customWidth="1"/>
    <col min="777" max="777" width="14.140625" style="173" customWidth="1"/>
    <col min="778" max="778" width="1.7109375" style="173" customWidth="1"/>
    <col min="779" max="779" width="13.7109375" style="173" customWidth="1"/>
    <col min="780" max="780" width="13.85546875" style="173" bestFit="1" customWidth="1"/>
    <col min="781" max="781" width="2.5703125" style="173" customWidth="1"/>
    <col min="782" max="782" width="12.42578125" style="173" customWidth="1"/>
    <col min="783" max="783" width="13.5703125" style="173" customWidth="1"/>
    <col min="784" max="784" width="2.5703125" style="173" customWidth="1"/>
    <col min="785" max="785" width="12.42578125" style="173" customWidth="1"/>
    <col min="786" max="786" width="13.5703125" style="173" customWidth="1"/>
    <col min="787" max="787" width="2.5703125" style="173" customWidth="1"/>
    <col min="788" max="788" width="11.5703125" style="173" customWidth="1"/>
    <col min="789" max="789" width="13" style="173" customWidth="1"/>
    <col min="790" max="790" width="1.42578125" style="173" customWidth="1"/>
    <col min="791" max="791" width="10.5703125" style="173" customWidth="1"/>
    <col min="792" max="1023" width="11" style="173"/>
    <col min="1024" max="1024" width="1.5703125" style="173" customWidth="1"/>
    <col min="1025" max="1025" width="8.5703125" style="173" customWidth="1"/>
    <col min="1026" max="1026" width="28.7109375" style="173" customWidth="1"/>
    <col min="1027" max="1027" width="26.5703125" style="173" customWidth="1"/>
    <col min="1028" max="1028" width="7.7109375" style="173" customWidth="1"/>
    <col min="1029" max="1029" width="19.42578125" style="173" customWidth="1"/>
    <col min="1030" max="1030" width="44.28515625" style="173" customWidth="1"/>
    <col min="1031" max="1031" width="17" style="173" customWidth="1"/>
    <col min="1032" max="1032" width="15.5703125" style="173" customWidth="1"/>
    <col min="1033" max="1033" width="14.140625" style="173" customWidth="1"/>
    <col min="1034" max="1034" width="1.7109375" style="173" customWidth="1"/>
    <col min="1035" max="1035" width="13.7109375" style="173" customWidth="1"/>
    <col min="1036" max="1036" width="13.85546875" style="173" bestFit="1" customWidth="1"/>
    <col min="1037" max="1037" width="2.5703125" style="173" customWidth="1"/>
    <col min="1038" max="1038" width="12.42578125" style="173" customWidth="1"/>
    <col min="1039" max="1039" width="13.5703125" style="173" customWidth="1"/>
    <col min="1040" max="1040" width="2.5703125" style="173" customWidth="1"/>
    <col min="1041" max="1041" width="12.42578125" style="173" customWidth="1"/>
    <col min="1042" max="1042" width="13.5703125" style="173" customWidth="1"/>
    <col min="1043" max="1043" width="2.5703125" style="173" customWidth="1"/>
    <col min="1044" max="1044" width="11.5703125" style="173" customWidth="1"/>
    <col min="1045" max="1045" width="13" style="173" customWidth="1"/>
    <col min="1046" max="1046" width="1.42578125" style="173" customWidth="1"/>
    <col min="1047" max="1047" width="10.5703125" style="173" customWidth="1"/>
    <col min="1048" max="1279" width="11" style="173"/>
    <col min="1280" max="1280" width="1.5703125" style="173" customWidth="1"/>
    <col min="1281" max="1281" width="8.5703125" style="173" customWidth="1"/>
    <col min="1282" max="1282" width="28.7109375" style="173" customWidth="1"/>
    <col min="1283" max="1283" width="26.5703125" style="173" customWidth="1"/>
    <col min="1284" max="1284" width="7.7109375" style="173" customWidth="1"/>
    <col min="1285" max="1285" width="19.42578125" style="173" customWidth="1"/>
    <col min="1286" max="1286" width="44.28515625" style="173" customWidth="1"/>
    <col min="1287" max="1287" width="17" style="173" customWidth="1"/>
    <col min="1288" max="1288" width="15.5703125" style="173" customWidth="1"/>
    <col min="1289" max="1289" width="14.140625" style="173" customWidth="1"/>
    <col min="1290" max="1290" width="1.7109375" style="173" customWidth="1"/>
    <col min="1291" max="1291" width="13.7109375" style="173" customWidth="1"/>
    <col min="1292" max="1292" width="13.85546875" style="173" bestFit="1" customWidth="1"/>
    <col min="1293" max="1293" width="2.5703125" style="173" customWidth="1"/>
    <col min="1294" max="1294" width="12.42578125" style="173" customWidth="1"/>
    <col min="1295" max="1295" width="13.5703125" style="173" customWidth="1"/>
    <col min="1296" max="1296" width="2.5703125" style="173" customWidth="1"/>
    <col min="1297" max="1297" width="12.42578125" style="173" customWidth="1"/>
    <col min="1298" max="1298" width="13.5703125" style="173" customWidth="1"/>
    <col min="1299" max="1299" width="2.5703125" style="173" customWidth="1"/>
    <col min="1300" max="1300" width="11.5703125" style="173" customWidth="1"/>
    <col min="1301" max="1301" width="13" style="173" customWidth="1"/>
    <col min="1302" max="1302" width="1.42578125" style="173" customWidth="1"/>
    <col min="1303" max="1303" width="10.5703125" style="173" customWidth="1"/>
    <col min="1304" max="1535" width="11" style="173"/>
    <col min="1536" max="1536" width="1.5703125" style="173" customWidth="1"/>
    <col min="1537" max="1537" width="8.5703125" style="173" customWidth="1"/>
    <col min="1538" max="1538" width="28.7109375" style="173" customWidth="1"/>
    <col min="1539" max="1539" width="26.5703125" style="173" customWidth="1"/>
    <col min="1540" max="1540" width="7.7109375" style="173" customWidth="1"/>
    <col min="1541" max="1541" width="19.42578125" style="173" customWidth="1"/>
    <col min="1542" max="1542" width="44.28515625" style="173" customWidth="1"/>
    <col min="1543" max="1543" width="17" style="173" customWidth="1"/>
    <col min="1544" max="1544" width="15.5703125" style="173" customWidth="1"/>
    <col min="1545" max="1545" width="14.140625" style="173" customWidth="1"/>
    <col min="1546" max="1546" width="1.7109375" style="173" customWidth="1"/>
    <col min="1547" max="1547" width="13.7109375" style="173" customWidth="1"/>
    <col min="1548" max="1548" width="13.85546875" style="173" bestFit="1" customWidth="1"/>
    <col min="1549" max="1549" width="2.5703125" style="173" customWidth="1"/>
    <col min="1550" max="1550" width="12.42578125" style="173" customWidth="1"/>
    <col min="1551" max="1551" width="13.5703125" style="173" customWidth="1"/>
    <col min="1552" max="1552" width="2.5703125" style="173" customWidth="1"/>
    <col min="1553" max="1553" width="12.42578125" style="173" customWidth="1"/>
    <col min="1554" max="1554" width="13.5703125" style="173" customWidth="1"/>
    <col min="1555" max="1555" width="2.5703125" style="173" customWidth="1"/>
    <col min="1556" max="1556" width="11.5703125" style="173" customWidth="1"/>
    <col min="1557" max="1557" width="13" style="173" customWidth="1"/>
    <col min="1558" max="1558" width="1.42578125" style="173" customWidth="1"/>
    <col min="1559" max="1559" width="10.5703125" style="173" customWidth="1"/>
    <col min="1560" max="1791" width="11" style="173"/>
    <col min="1792" max="1792" width="1.5703125" style="173" customWidth="1"/>
    <col min="1793" max="1793" width="8.5703125" style="173" customWidth="1"/>
    <col min="1794" max="1794" width="28.7109375" style="173" customWidth="1"/>
    <col min="1795" max="1795" width="26.5703125" style="173" customWidth="1"/>
    <col min="1796" max="1796" width="7.7109375" style="173" customWidth="1"/>
    <col min="1797" max="1797" width="19.42578125" style="173" customWidth="1"/>
    <col min="1798" max="1798" width="44.28515625" style="173" customWidth="1"/>
    <col min="1799" max="1799" width="17" style="173" customWidth="1"/>
    <col min="1800" max="1800" width="15.5703125" style="173" customWidth="1"/>
    <col min="1801" max="1801" width="14.140625" style="173" customWidth="1"/>
    <col min="1802" max="1802" width="1.7109375" style="173" customWidth="1"/>
    <col min="1803" max="1803" width="13.7109375" style="173" customWidth="1"/>
    <col min="1804" max="1804" width="13.85546875" style="173" bestFit="1" customWidth="1"/>
    <col min="1805" max="1805" width="2.5703125" style="173" customWidth="1"/>
    <col min="1806" max="1806" width="12.42578125" style="173" customWidth="1"/>
    <col min="1807" max="1807" width="13.5703125" style="173" customWidth="1"/>
    <col min="1808" max="1808" width="2.5703125" style="173" customWidth="1"/>
    <col min="1809" max="1809" width="12.42578125" style="173" customWidth="1"/>
    <col min="1810" max="1810" width="13.5703125" style="173" customWidth="1"/>
    <col min="1811" max="1811" width="2.5703125" style="173" customWidth="1"/>
    <col min="1812" max="1812" width="11.5703125" style="173" customWidth="1"/>
    <col min="1813" max="1813" width="13" style="173" customWidth="1"/>
    <col min="1814" max="1814" width="1.42578125" style="173" customWidth="1"/>
    <col min="1815" max="1815" width="10.5703125" style="173" customWidth="1"/>
    <col min="1816" max="2047" width="11" style="173"/>
    <col min="2048" max="2048" width="1.5703125" style="173" customWidth="1"/>
    <col min="2049" max="2049" width="8.5703125" style="173" customWidth="1"/>
    <col min="2050" max="2050" width="28.7109375" style="173" customWidth="1"/>
    <col min="2051" max="2051" width="26.5703125" style="173" customWidth="1"/>
    <col min="2052" max="2052" width="7.7109375" style="173" customWidth="1"/>
    <col min="2053" max="2053" width="19.42578125" style="173" customWidth="1"/>
    <col min="2054" max="2054" width="44.28515625" style="173" customWidth="1"/>
    <col min="2055" max="2055" width="17" style="173" customWidth="1"/>
    <col min="2056" max="2056" width="15.5703125" style="173" customWidth="1"/>
    <col min="2057" max="2057" width="14.140625" style="173" customWidth="1"/>
    <col min="2058" max="2058" width="1.7109375" style="173" customWidth="1"/>
    <col min="2059" max="2059" width="13.7109375" style="173" customWidth="1"/>
    <col min="2060" max="2060" width="13.85546875" style="173" bestFit="1" customWidth="1"/>
    <col min="2061" max="2061" width="2.5703125" style="173" customWidth="1"/>
    <col min="2062" max="2062" width="12.42578125" style="173" customWidth="1"/>
    <col min="2063" max="2063" width="13.5703125" style="173" customWidth="1"/>
    <col min="2064" max="2064" width="2.5703125" style="173" customWidth="1"/>
    <col min="2065" max="2065" width="12.42578125" style="173" customWidth="1"/>
    <col min="2066" max="2066" width="13.5703125" style="173" customWidth="1"/>
    <col min="2067" max="2067" width="2.5703125" style="173" customWidth="1"/>
    <col min="2068" max="2068" width="11.5703125" style="173" customWidth="1"/>
    <col min="2069" max="2069" width="13" style="173" customWidth="1"/>
    <col min="2070" max="2070" width="1.42578125" style="173" customWidth="1"/>
    <col min="2071" max="2071" width="10.5703125" style="173" customWidth="1"/>
    <col min="2072" max="2303" width="11" style="173"/>
    <col min="2304" max="2304" width="1.5703125" style="173" customWidth="1"/>
    <col min="2305" max="2305" width="8.5703125" style="173" customWidth="1"/>
    <col min="2306" max="2306" width="28.7109375" style="173" customWidth="1"/>
    <col min="2307" max="2307" width="26.5703125" style="173" customWidth="1"/>
    <col min="2308" max="2308" width="7.7109375" style="173" customWidth="1"/>
    <col min="2309" max="2309" width="19.42578125" style="173" customWidth="1"/>
    <col min="2310" max="2310" width="44.28515625" style="173" customWidth="1"/>
    <col min="2311" max="2311" width="17" style="173" customWidth="1"/>
    <col min="2312" max="2312" width="15.5703125" style="173" customWidth="1"/>
    <col min="2313" max="2313" width="14.140625" style="173" customWidth="1"/>
    <col min="2314" max="2314" width="1.7109375" style="173" customWidth="1"/>
    <col min="2315" max="2315" width="13.7109375" style="173" customWidth="1"/>
    <col min="2316" max="2316" width="13.85546875" style="173" bestFit="1" customWidth="1"/>
    <col min="2317" max="2317" width="2.5703125" style="173" customWidth="1"/>
    <col min="2318" max="2318" width="12.42578125" style="173" customWidth="1"/>
    <col min="2319" max="2319" width="13.5703125" style="173" customWidth="1"/>
    <col min="2320" max="2320" width="2.5703125" style="173" customWidth="1"/>
    <col min="2321" max="2321" width="12.42578125" style="173" customWidth="1"/>
    <col min="2322" max="2322" width="13.5703125" style="173" customWidth="1"/>
    <col min="2323" max="2323" width="2.5703125" style="173" customWidth="1"/>
    <col min="2324" max="2324" width="11.5703125" style="173" customWidth="1"/>
    <col min="2325" max="2325" width="13" style="173" customWidth="1"/>
    <col min="2326" max="2326" width="1.42578125" style="173" customWidth="1"/>
    <col min="2327" max="2327" width="10.5703125" style="173" customWidth="1"/>
    <col min="2328" max="2559" width="11" style="173"/>
    <col min="2560" max="2560" width="1.5703125" style="173" customWidth="1"/>
    <col min="2561" max="2561" width="8.5703125" style="173" customWidth="1"/>
    <col min="2562" max="2562" width="28.7109375" style="173" customWidth="1"/>
    <col min="2563" max="2563" width="26.5703125" style="173" customWidth="1"/>
    <col min="2564" max="2564" width="7.7109375" style="173" customWidth="1"/>
    <col min="2565" max="2565" width="19.42578125" style="173" customWidth="1"/>
    <col min="2566" max="2566" width="44.28515625" style="173" customWidth="1"/>
    <col min="2567" max="2567" width="17" style="173" customWidth="1"/>
    <col min="2568" max="2568" width="15.5703125" style="173" customWidth="1"/>
    <col min="2569" max="2569" width="14.140625" style="173" customWidth="1"/>
    <col min="2570" max="2570" width="1.7109375" style="173" customWidth="1"/>
    <col min="2571" max="2571" width="13.7109375" style="173" customWidth="1"/>
    <col min="2572" max="2572" width="13.85546875" style="173" bestFit="1" customWidth="1"/>
    <col min="2573" max="2573" width="2.5703125" style="173" customWidth="1"/>
    <col min="2574" max="2574" width="12.42578125" style="173" customWidth="1"/>
    <col min="2575" max="2575" width="13.5703125" style="173" customWidth="1"/>
    <col min="2576" max="2576" width="2.5703125" style="173" customWidth="1"/>
    <col min="2577" max="2577" width="12.42578125" style="173" customWidth="1"/>
    <col min="2578" max="2578" width="13.5703125" style="173" customWidth="1"/>
    <col min="2579" max="2579" width="2.5703125" style="173" customWidth="1"/>
    <col min="2580" max="2580" width="11.5703125" style="173" customWidth="1"/>
    <col min="2581" max="2581" width="13" style="173" customWidth="1"/>
    <col min="2582" max="2582" width="1.42578125" style="173" customWidth="1"/>
    <col min="2583" max="2583" width="10.5703125" style="173" customWidth="1"/>
    <col min="2584" max="2815" width="11" style="173"/>
    <col min="2816" max="2816" width="1.5703125" style="173" customWidth="1"/>
    <col min="2817" max="2817" width="8.5703125" style="173" customWidth="1"/>
    <col min="2818" max="2818" width="28.7109375" style="173" customWidth="1"/>
    <col min="2819" max="2819" width="26.5703125" style="173" customWidth="1"/>
    <col min="2820" max="2820" width="7.7109375" style="173" customWidth="1"/>
    <col min="2821" max="2821" width="19.42578125" style="173" customWidth="1"/>
    <col min="2822" max="2822" width="44.28515625" style="173" customWidth="1"/>
    <col min="2823" max="2823" width="17" style="173" customWidth="1"/>
    <col min="2824" max="2824" width="15.5703125" style="173" customWidth="1"/>
    <col min="2825" max="2825" width="14.140625" style="173" customWidth="1"/>
    <col min="2826" max="2826" width="1.7109375" style="173" customWidth="1"/>
    <col min="2827" max="2827" width="13.7109375" style="173" customWidth="1"/>
    <col min="2828" max="2828" width="13.85546875" style="173" bestFit="1" customWidth="1"/>
    <col min="2829" max="2829" width="2.5703125" style="173" customWidth="1"/>
    <col min="2830" max="2830" width="12.42578125" style="173" customWidth="1"/>
    <col min="2831" max="2831" width="13.5703125" style="173" customWidth="1"/>
    <col min="2832" max="2832" width="2.5703125" style="173" customWidth="1"/>
    <col min="2833" max="2833" width="12.42578125" style="173" customWidth="1"/>
    <col min="2834" max="2834" width="13.5703125" style="173" customWidth="1"/>
    <col min="2835" max="2835" width="2.5703125" style="173" customWidth="1"/>
    <col min="2836" max="2836" width="11.5703125" style="173" customWidth="1"/>
    <col min="2837" max="2837" width="13" style="173" customWidth="1"/>
    <col min="2838" max="2838" width="1.42578125" style="173" customWidth="1"/>
    <col min="2839" max="2839" width="10.5703125" style="173" customWidth="1"/>
    <col min="2840" max="3071" width="11" style="173"/>
    <col min="3072" max="3072" width="1.5703125" style="173" customWidth="1"/>
    <col min="3073" max="3073" width="8.5703125" style="173" customWidth="1"/>
    <col min="3074" max="3074" width="28.7109375" style="173" customWidth="1"/>
    <col min="3075" max="3075" width="26.5703125" style="173" customWidth="1"/>
    <col min="3076" max="3076" width="7.7109375" style="173" customWidth="1"/>
    <col min="3077" max="3077" width="19.42578125" style="173" customWidth="1"/>
    <col min="3078" max="3078" width="44.28515625" style="173" customWidth="1"/>
    <col min="3079" max="3079" width="17" style="173" customWidth="1"/>
    <col min="3080" max="3080" width="15.5703125" style="173" customWidth="1"/>
    <col min="3081" max="3081" width="14.140625" style="173" customWidth="1"/>
    <col min="3082" max="3082" width="1.7109375" style="173" customWidth="1"/>
    <col min="3083" max="3083" width="13.7109375" style="173" customWidth="1"/>
    <col min="3084" max="3084" width="13.85546875" style="173" bestFit="1" customWidth="1"/>
    <col min="3085" max="3085" width="2.5703125" style="173" customWidth="1"/>
    <col min="3086" max="3086" width="12.42578125" style="173" customWidth="1"/>
    <col min="3087" max="3087" width="13.5703125" style="173" customWidth="1"/>
    <col min="3088" max="3088" width="2.5703125" style="173" customWidth="1"/>
    <col min="3089" max="3089" width="12.42578125" style="173" customWidth="1"/>
    <col min="3090" max="3090" width="13.5703125" style="173" customWidth="1"/>
    <col min="3091" max="3091" width="2.5703125" style="173" customWidth="1"/>
    <col min="3092" max="3092" width="11.5703125" style="173" customWidth="1"/>
    <col min="3093" max="3093" width="13" style="173" customWidth="1"/>
    <col min="3094" max="3094" width="1.42578125" style="173" customWidth="1"/>
    <col min="3095" max="3095" width="10.5703125" style="173" customWidth="1"/>
    <col min="3096" max="3327" width="11" style="173"/>
    <col min="3328" max="3328" width="1.5703125" style="173" customWidth="1"/>
    <col min="3329" max="3329" width="8.5703125" style="173" customWidth="1"/>
    <col min="3330" max="3330" width="28.7109375" style="173" customWidth="1"/>
    <col min="3331" max="3331" width="26.5703125" style="173" customWidth="1"/>
    <col min="3332" max="3332" width="7.7109375" style="173" customWidth="1"/>
    <col min="3333" max="3333" width="19.42578125" style="173" customWidth="1"/>
    <col min="3334" max="3334" width="44.28515625" style="173" customWidth="1"/>
    <col min="3335" max="3335" width="17" style="173" customWidth="1"/>
    <col min="3336" max="3336" width="15.5703125" style="173" customWidth="1"/>
    <col min="3337" max="3337" width="14.140625" style="173" customWidth="1"/>
    <col min="3338" max="3338" width="1.7109375" style="173" customWidth="1"/>
    <col min="3339" max="3339" width="13.7109375" style="173" customWidth="1"/>
    <col min="3340" max="3340" width="13.85546875" style="173" bestFit="1" customWidth="1"/>
    <col min="3341" max="3341" width="2.5703125" style="173" customWidth="1"/>
    <col min="3342" max="3342" width="12.42578125" style="173" customWidth="1"/>
    <col min="3343" max="3343" width="13.5703125" style="173" customWidth="1"/>
    <col min="3344" max="3344" width="2.5703125" style="173" customWidth="1"/>
    <col min="3345" max="3345" width="12.42578125" style="173" customWidth="1"/>
    <col min="3346" max="3346" width="13.5703125" style="173" customWidth="1"/>
    <col min="3347" max="3347" width="2.5703125" style="173" customWidth="1"/>
    <col min="3348" max="3348" width="11.5703125" style="173" customWidth="1"/>
    <col min="3349" max="3349" width="13" style="173" customWidth="1"/>
    <col min="3350" max="3350" width="1.42578125" style="173" customWidth="1"/>
    <col min="3351" max="3351" width="10.5703125" style="173" customWidth="1"/>
    <col min="3352" max="3583" width="11" style="173"/>
    <col min="3584" max="3584" width="1.5703125" style="173" customWidth="1"/>
    <col min="3585" max="3585" width="8.5703125" style="173" customWidth="1"/>
    <col min="3586" max="3586" width="28.7109375" style="173" customWidth="1"/>
    <col min="3587" max="3587" width="26.5703125" style="173" customWidth="1"/>
    <col min="3588" max="3588" width="7.7109375" style="173" customWidth="1"/>
    <col min="3589" max="3589" width="19.42578125" style="173" customWidth="1"/>
    <col min="3590" max="3590" width="44.28515625" style="173" customWidth="1"/>
    <col min="3591" max="3591" width="17" style="173" customWidth="1"/>
    <col min="3592" max="3592" width="15.5703125" style="173" customWidth="1"/>
    <col min="3593" max="3593" width="14.140625" style="173" customWidth="1"/>
    <col min="3594" max="3594" width="1.7109375" style="173" customWidth="1"/>
    <col min="3595" max="3595" width="13.7109375" style="173" customWidth="1"/>
    <col min="3596" max="3596" width="13.85546875" style="173" bestFit="1" customWidth="1"/>
    <col min="3597" max="3597" width="2.5703125" style="173" customWidth="1"/>
    <col min="3598" max="3598" width="12.42578125" style="173" customWidth="1"/>
    <col min="3599" max="3599" width="13.5703125" style="173" customWidth="1"/>
    <col min="3600" max="3600" width="2.5703125" style="173" customWidth="1"/>
    <col min="3601" max="3601" width="12.42578125" style="173" customWidth="1"/>
    <col min="3602" max="3602" width="13.5703125" style="173" customWidth="1"/>
    <col min="3603" max="3603" width="2.5703125" style="173" customWidth="1"/>
    <col min="3604" max="3604" width="11.5703125" style="173" customWidth="1"/>
    <col min="3605" max="3605" width="13" style="173" customWidth="1"/>
    <col min="3606" max="3606" width="1.42578125" style="173" customWidth="1"/>
    <col min="3607" max="3607" width="10.5703125" style="173" customWidth="1"/>
    <col min="3608" max="3839" width="11" style="173"/>
    <col min="3840" max="3840" width="1.5703125" style="173" customWidth="1"/>
    <col min="3841" max="3841" width="8.5703125" style="173" customWidth="1"/>
    <col min="3842" max="3842" width="28.7109375" style="173" customWidth="1"/>
    <col min="3843" max="3843" width="26.5703125" style="173" customWidth="1"/>
    <col min="3844" max="3844" width="7.7109375" style="173" customWidth="1"/>
    <col min="3845" max="3845" width="19.42578125" style="173" customWidth="1"/>
    <col min="3846" max="3846" width="44.28515625" style="173" customWidth="1"/>
    <col min="3847" max="3847" width="17" style="173" customWidth="1"/>
    <col min="3848" max="3848" width="15.5703125" style="173" customWidth="1"/>
    <col min="3849" max="3849" width="14.140625" style="173" customWidth="1"/>
    <col min="3850" max="3850" width="1.7109375" style="173" customWidth="1"/>
    <col min="3851" max="3851" width="13.7109375" style="173" customWidth="1"/>
    <col min="3852" max="3852" width="13.85546875" style="173" bestFit="1" customWidth="1"/>
    <col min="3853" max="3853" width="2.5703125" style="173" customWidth="1"/>
    <col min="3854" max="3854" width="12.42578125" style="173" customWidth="1"/>
    <col min="3855" max="3855" width="13.5703125" style="173" customWidth="1"/>
    <col min="3856" max="3856" width="2.5703125" style="173" customWidth="1"/>
    <col min="3857" max="3857" width="12.42578125" style="173" customWidth="1"/>
    <col min="3858" max="3858" width="13.5703125" style="173" customWidth="1"/>
    <col min="3859" max="3859" width="2.5703125" style="173" customWidth="1"/>
    <col min="3860" max="3860" width="11.5703125" style="173" customWidth="1"/>
    <col min="3861" max="3861" width="13" style="173" customWidth="1"/>
    <col min="3862" max="3862" width="1.42578125" style="173" customWidth="1"/>
    <col min="3863" max="3863" width="10.5703125" style="173" customWidth="1"/>
    <col min="3864" max="4095" width="11" style="173"/>
    <col min="4096" max="4096" width="1.5703125" style="173" customWidth="1"/>
    <col min="4097" max="4097" width="8.5703125" style="173" customWidth="1"/>
    <col min="4098" max="4098" width="28.7109375" style="173" customWidth="1"/>
    <col min="4099" max="4099" width="26.5703125" style="173" customWidth="1"/>
    <col min="4100" max="4100" width="7.7109375" style="173" customWidth="1"/>
    <col min="4101" max="4101" width="19.42578125" style="173" customWidth="1"/>
    <col min="4102" max="4102" width="44.28515625" style="173" customWidth="1"/>
    <col min="4103" max="4103" width="17" style="173" customWidth="1"/>
    <col min="4104" max="4104" width="15.5703125" style="173" customWidth="1"/>
    <col min="4105" max="4105" width="14.140625" style="173" customWidth="1"/>
    <col min="4106" max="4106" width="1.7109375" style="173" customWidth="1"/>
    <col min="4107" max="4107" width="13.7109375" style="173" customWidth="1"/>
    <col min="4108" max="4108" width="13.85546875" style="173" bestFit="1" customWidth="1"/>
    <col min="4109" max="4109" width="2.5703125" style="173" customWidth="1"/>
    <col min="4110" max="4110" width="12.42578125" style="173" customWidth="1"/>
    <col min="4111" max="4111" width="13.5703125" style="173" customWidth="1"/>
    <col min="4112" max="4112" width="2.5703125" style="173" customWidth="1"/>
    <col min="4113" max="4113" width="12.42578125" style="173" customWidth="1"/>
    <col min="4114" max="4114" width="13.5703125" style="173" customWidth="1"/>
    <col min="4115" max="4115" width="2.5703125" style="173" customWidth="1"/>
    <col min="4116" max="4116" width="11.5703125" style="173" customWidth="1"/>
    <col min="4117" max="4117" width="13" style="173" customWidth="1"/>
    <col min="4118" max="4118" width="1.42578125" style="173" customWidth="1"/>
    <col min="4119" max="4119" width="10.5703125" style="173" customWidth="1"/>
    <col min="4120" max="4351" width="11" style="173"/>
    <col min="4352" max="4352" width="1.5703125" style="173" customWidth="1"/>
    <col min="4353" max="4353" width="8.5703125" style="173" customWidth="1"/>
    <col min="4354" max="4354" width="28.7109375" style="173" customWidth="1"/>
    <col min="4355" max="4355" width="26.5703125" style="173" customWidth="1"/>
    <col min="4356" max="4356" width="7.7109375" style="173" customWidth="1"/>
    <col min="4357" max="4357" width="19.42578125" style="173" customWidth="1"/>
    <col min="4358" max="4358" width="44.28515625" style="173" customWidth="1"/>
    <col min="4359" max="4359" width="17" style="173" customWidth="1"/>
    <col min="4360" max="4360" width="15.5703125" style="173" customWidth="1"/>
    <col min="4361" max="4361" width="14.140625" style="173" customWidth="1"/>
    <col min="4362" max="4362" width="1.7109375" style="173" customWidth="1"/>
    <col min="4363" max="4363" width="13.7109375" style="173" customWidth="1"/>
    <col min="4364" max="4364" width="13.85546875" style="173" bestFit="1" customWidth="1"/>
    <col min="4365" max="4365" width="2.5703125" style="173" customWidth="1"/>
    <col min="4366" max="4366" width="12.42578125" style="173" customWidth="1"/>
    <col min="4367" max="4367" width="13.5703125" style="173" customWidth="1"/>
    <col min="4368" max="4368" width="2.5703125" style="173" customWidth="1"/>
    <col min="4369" max="4369" width="12.42578125" style="173" customWidth="1"/>
    <col min="4370" max="4370" width="13.5703125" style="173" customWidth="1"/>
    <col min="4371" max="4371" width="2.5703125" style="173" customWidth="1"/>
    <col min="4372" max="4372" width="11.5703125" style="173" customWidth="1"/>
    <col min="4373" max="4373" width="13" style="173" customWidth="1"/>
    <col min="4374" max="4374" width="1.42578125" style="173" customWidth="1"/>
    <col min="4375" max="4375" width="10.5703125" style="173" customWidth="1"/>
    <col min="4376" max="4607" width="11" style="173"/>
    <col min="4608" max="4608" width="1.5703125" style="173" customWidth="1"/>
    <col min="4609" max="4609" width="8.5703125" style="173" customWidth="1"/>
    <col min="4610" max="4610" width="28.7109375" style="173" customWidth="1"/>
    <col min="4611" max="4611" width="26.5703125" style="173" customWidth="1"/>
    <col min="4612" max="4612" width="7.7109375" style="173" customWidth="1"/>
    <col min="4613" max="4613" width="19.42578125" style="173" customWidth="1"/>
    <col min="4614" max="4614" width="44.28515625" style="173" customWidth="1"/>
    <col min="4615" max="4615" width="17" style="173" customWidth="1"/>
    <col min="4616" max="4616" width="15.5703125" style="173" customWidth="1"/>
    <col min="4617" max="4617" width="14.140625" style="173" customWidth="1"/>
    <col min="4618" max="4618" width="1.7109375" style="173" customWidth="1"/>
    <col min="4619" max="4619" width="13.7109375" style="173" customWidth="1"/>
    <col min="4620" max="4620" width="13.85546875" style="173" bestFit="1" customWidth="1"/>
    <col min="4621" max="4621" width="2.5703125" style="173" customWidth="1"/>
    <col min="4622" max="4622" width="12.42578125" style="173" customWidth="1"/>
    <col min="4623" max="4623" width="13.5703125" style="173" customWidth="1"/>
    <col min="4624" max="4624" width="2.5703125" style="173" customWidth="1"/>
    <col min="4625" max="4625" width="12.42578125" style="173" customWidth="1"/>
    <col min="4626" max="4626" width="13.5703125" style="173" customWidth="1"/>
    <col min="4627" max="4627" width="2.5703125" style="173" customWidth="1"/>
    <col min="4628" max="4628" width="11.5703125" style="173" customWidth="1"/>
    <col min="4629" max="4629" width="13" style="173" customWidth="1"/>
    <col min="4630" max="4630" width="1.42578125" style="173" customWidth="1"/>
    <col min="4631" max="4631" width="10.5703125" style="173" customWidth="1"/>
    <col min="4632" max="4863" width="11" style="173"/>
    <col min="4864" max="4864" width="1.5703125" style="173" customWidth="1"/>
    <col min="4865" max="4865" width="8.5703125" style="173" customWidth="1"/>
    <col min="4866" max="4866" width="28.7109375" style="173" customWidth="1"/>
    <col min="4867" max="4867" width="26.5703125" style="173" customWidth="1"/>
    <col min="4868" max="4868" width="7.7109375" style="173" customWidth="1"/>
    <col min="4869" max="4869" width="19.42578125" style="173" customWidth="1"/>
    <col min="4870" max="4870" width="44.28515625" style="173" customWidth="1"/>
    <col min="4871" max="4871" width="17" style="173" customWidth="1"/>
    <col min="4872" max="4872" width="15.5703125" style="173" customWidth="1"/>
    <col min="4873" max="4873" width="14.140625" style="173" customWidth="1"/>
    <col min="4874" max="4874" width="1.7109375" style="173" customWidth="1"/>
    <col min="4875" max="4875" width="13.7109375" style="173" customWidth="1"/>
    <col min="4876" max="4876" width="13.85546875" style="173" bestFit="1" customWidth="1"/>
    <col min="4877" max="4877" width="2.5703125" style="173" customWidth="1"/>
    <col min="4878" max="4878" width="12.42578125" style="173" customWidth="1"/>
    <col min="4879" max="4879" width="13.5703125" style="173" customWidth="1"/>
    <col min="4880" max="4880" width="2.5703125" style="173" customWidth="1"/>
    <col min="4881" max="4881" width="12.42578125" style="173" customWidth="1"/>
    <col min="4882" max="4882" width="13.5703125" style="173" customWidth="1"/>
    <col min="4883" max="4883" width="2.5703125" style="173" customWidth="1"/>
    <col min="4884" max="4884" width="11.5703125" style="173" customWidth="1"/>
    <col min="4885" max="4885" width="13" style="173" customWidth="1"/>
    <col min="4886" max="4886" width="1.42578125" style="173" customWidth="1"/>
    <col min="4887" max="4887" width="10.5703125" style="173" customWidth="1"/>
    <col min="4888" max="5119" width="11" style="173"/>
    <col min="5120" max="5120" width="1.5703125" style="173" customWidth="1"/>
    <col min="5121" max="5121" width="8.5703125" style="173" customWidth="1"/>
    <col min="5122" max="5122" width="28.7109375" style="173" customWidth="1"/>
    <col min="5123" max="5123" width="26.5703125" style="173" customWidth="1"/>
    <col min="5124" max="5124" width="7.7109375" style="173" customWidth="1"/>
    <col min="5125" max="5125" width="19.42578125" style="173" customWidth="1"/>
    <col min="5126" max="5126" width="44.28515625" style="173" customWidth="1"/>
    <col min="5127" max="5127" width="17" style="173" customWidth="1"/>
    <col min="5128" max="5128" width="15.5703125" style="173" customWidth="1"/>
    <col min="5129" max="5129" width="14.140625" style="173" customWidth="1"/>
    <col min="5130" max="5130" width="1.7109375" style="173" customWidth="1"/>
    <col min="5131" max="5131" width="13.7109375" style="173" customWidth="1"/>
    <col min="5132" max="5132" width="13.85546875" style="173" bestFit="1" customWidth="1"/>
    <col min="5133" max="5133" width="2.5703125" style="173" customWidth="1"/>
    <col min="5134" max="5134" width="12.42578125" style="173" customWidth="1"/>
    <col min="5135" max="5135" width="13.5703125" style="173" customWidth="1"/>
    <col min="5136" max="5136" width="2.5703125" style="173" customWidth="1"/>
    <col min="5137" max="5137" width="12.42578125" style="173" customWidth="1"/>
    <col min="5138" max="5138" width="13.5703125" style="173" customWidth="1"/>
    <col min="5139" max="5139" width="2.5703125" style="173" customWidth="1"/>
    <col min="5140" max="5140" width="11.5703125" style="173" customWidth="1"/>
    <col min="5141" max="5141" width="13" style="173" customWidth="1"/>
    <col min="5142" max="5142" width="1.42578125" style="173" customWidth="1"/>
    <col min="5143" max="5143" width="10.5703125" style="173" customWidth="1"/>
    <col min="5144" max="5375" width="11" style="173"/>
    <col min="5376" max="5376" width="1.5703125" style="173" customWidth="1"/>
    <col min="5377" max="5377" width="8.5703125" style="173" customWidth="1"/>
    <col min="5378" max="5378" width="28.7109375" style="173" customWidth="1"/>
    <col min="5379" max="5379" width="26.5703125" style="173" customWidth="1"/>
    <col min="5380" max="5380" width="7.7109375" style="173" customWidth="1"/>
    <col min="5381" max="5381" width="19.42578125" style="173" customWidth="1"/>
    <col min="5382" max="5382" width="44.28515625" style="173" customWidth="1"/>
    <col min="5383" max="5383" width="17" style="173" customWidth="1"/>
    <col min="5384" max="5384" width="15.5703125" style="173" customWidth="1"/>
    <col min="5385" max="5385" width="14.140625" style="173" customWidth="1"/>
    <col min="5386" max="5386" width="1.7109375" style="173" customWidth="1"/>
    <col min="5387" max="5387" width="13.7109375" style="173" customWidth="1"/>
    <col min="5388" max="5388" width="13.85546875" style="173" bestFit="1" customWidth="1"/>
    <col min="5389" max="5389" width="2.5703125" style="173" customWidth="1"/>
    <col min="5390" max="5390" width="12.42578125" style="173" customWidth="1"/>
    <col min="5391" max="5391" width="13.5703125" style="173" customWidth="1"/>
    <col min="5392" max="5392" width="2.5703125" style="173" customWidth="1"/>
    <col min="5393" max="5393" width="12.42578125" style="173" customWidth="1"/>
    <col min="5394" max="5394" width="13.5703125" style="173" customWidth="1"/>
    <col min="5395" max="5395" width="2.5703125" style="173" customWidth="1"/>
    <col min="5396" max="5396" width="11.5703125" style="173" customWidth="1"/>
    <col min="5397" max="5397" width="13" style="173" customWidth="1"/>
    <col min="5398" max="5398" width="1.42578125" style="173" customWidth="1"/>
    <col min="5399" max="5399" width="10.5703125" style="173" customWidth="1"/>
    <col min="5400" max="5631" width="11" style="173"/>
    <col min="5632" max="5632" width="1.5703125" style="173" customWidth="1"/>
    <col min="5633" max="5633" width="8.5703125" style="173" customWidth="1"/>
    <col min="5634" max="5634" width="28.7109375" style="173" customWidth="1"/>
    <col min="5635" max="5635" width="26.5703125" style="173" customWidth="1"/>
    <col min="5636" max="5636" width="7.7109375" style="173" customWidth="1"/>
    <col min="5637" max="5637" width="19.42578125" style="173" customWidth="1"/>
    <col min="5638" max="5638" width="44.28515625" style="173" customWidth="1"/>
    <col min="5639" max="5639" width="17" style="173" customWidth="1"/>
    <col min="5640" max="5640" width="15.5703125" style="173" customWidth="1"/>
    <col min="5641" max="5641" width="14.140625" style="173" customWidth="1"/>
    <col min="5642" max="5642" width="1.7109375" style="173" customWidth="1"/>
    <col min="5643" max="5643" width="13.7109375" style="173" customWidth="1"/>
    <col min="5644" max="5644" width="13.85546875" style="173" bestFit="1" customWidth="1"/>
    <col min="5645" max="5645" width="2.5703125" style="173" customWidth="1"/>
    <col min="5646" max="5646" width="12.42578125" style="173" customWidth="1"/>
    <col min="5647" max="5647" width="13.5703125" style="173" customWidth="1"/>
    <col min="5648" max="5648" width="2.5703125" style="173" customWidth="1"/>
    <col min="5649" max="5649" width="12.42578125" style="173" customWidth="1"/>
    <col min="5650" max="5650" width="13.5703125" style="173" customWidth="1"/>
    <col min="5651" max="5651" width="2.5703125" style="173" customWidth="1"/>
    <col min="5652" max="5652" width="11.5703125" style="173" customWidth="1"/>
    <col min="5653" max="5653" width="13" style="173" customWidth="1"/>
    <col min="5654" max="5654" width="1.42578125" style="173" customWidth="1"/>
    <col min="5655" max="5655" width="10.5703125" style="173" customWidth="1"/>
    <col min="5656" max="5887" width="11" style="173"/>
    <col min="5888" max="5888" width="1.5703125" style="173" customWidth="1"/>
    <col min="5889" max="5889" width="8.5703125" style="173" customWidth="1"/>
    <col min="5890" max="5890" width="28.7109375" style="173" customWidth="1"/>
    <col min="5891" max="5891" width="26.5703125" style="173" customWidth="1"/>
    <col min="5892" max="5892" width="7.7109375" style="173" customWidth="1"/>
    <col min="5893" max="5893" width="19.42578125" style="173" customWidth="1"/>
    <col min="5894" max="5894" width="44.28515625" style="173" customWidth="1"/>
    <col min="5895" max="5895" width="17" style="173" customWidth="1"/>
    <col min="5896" max="5896" width="15.5703125" style="173" customWidth="1"/>
    <col min="5897" max="5897" width="14.140625" style="173" customWidth="1"/>
    <col min="5898" max="5898" width="1.7109375" style="173" customWidth="1"/>
    <col min="5899" max="5899" width="13.7109375" style="173" customWidth="1"/>
    <col min="5900" max="5900" width="13.85546875" style="173" bestFit="1" customWidth="1"/>
    <col min="5901" max="5901" width="2.5703125" style="173" customWidth="1"/>
    <col min="5902" max="5902" width="12.42578125" style="173" customWidth="1"/>
    <col min="5903" max="5903" width="13.5703125" style="173" customWidth="1"/>
    <col min="5904" max="5904" width="2.5703125" style="173" customWidth="1"/>
    <col min="5905" max="5905" width="12.42578125" style="173" customWidth="1"/>
    <col min="5906" max="5906" width="13.5703125" style="173" customWidth="1"/>
    <col min="5907" max="5907" width="2.5703125" style="173" customWidth="1"/>
    <col min="5908" max="5908" width="11.5703125" style="173" customWidth="1"/>
    <col min="5909" max="5909" width="13" style="173" customWidth="1"/>
    <col min="5910" max="5910" width="1.42578125" style="173" customWidth="1"/>
    <col min="5911" max="5911" width="10.5703125" style="173" customWidth="1"/>
    <col min="5912" max="6143" width="11" style="173"/>
    <col min="6144" max="6144" width="1.5703125" style="173" customWidth="1"/>
    <col min="6145" max="6145" width="8.5703125" style="173" customWidth="1"/>
    <col min="6146" max="6146" width="28.7109375" style="173" customWidth="1"/>
    <col min="6147" max="6147" width="26.5703125" style="173" customWidth="1"/>
    <col min="6148" max="6148" width="7.7109375" style="173" customWidth="1"/>
    <col min="6149" max="6149" width="19.42578125" style="173" customWidth="1"/>
    <col min="6150" max="6150" width="44.28515625" style="173" customWidth="1"/>
    <col min="6151" max="6151" width="17" style="173" customWidth="1"/>
    <col min="6152" max="6152" width="15.5703125" style="173" customWidth="1"/>
    <col min="6153" max="6153" width="14.140625" style="173" customWidth="1"/>
    <col min="6154" max="6154" width="1.7109375" style="173" customWidth="1"/>
    <col min="6155" max="6155" width="13.7109375" style="173" customWidth="1"/>
    <col min="6156" max="6156" width="13.85546875" style="173" bestFit="1" customWidth="1"/>
    <col min="6157" max="6157" width="2.5703125" style="173" customWidth="1"/>
    <col min="6158" max="6158" width="12.42578125" style="173" customWidth="1"/>
    <col min="6159" max="6159" width="13.5703125" style="173" customWidth="1"/>
    <col min="6160" max="6160" width="2.5703125" style="173" customWidth="1"/>
    <col min="6161" max="6161" width="12.42578125" style="173" customWidth="1"/>
    <col min="6162" max="6162" width="13.5703125" style="173" customWidth="1"/>
    <col min="6163" max="6163" width="2.5703125" style="173" customWidth="1"/>
    <col min="6164" max="6164" width="11.5703125" style="173" customWidth="1"/>
    <col min="6165" max="6165" width="13" style="173" customWidth="1"/>
    <col min="6166" max="6166" width="1.42578125" style="173" customWidth="1"/>
    <col min="6167" max="6167" width="10.5703125" style="173" customWidth="1"/>
    <col min="6168" max="6399" width="11" style="173"/>
    <col min="6400" max="6400" width="1.5703125" style="173" customWidth="1"/>
    <col min="6401" max="6401" width="8.5703125" style="173" customWidth="1"/>
    <col min="6402" max="6402" width="28.7109375" style="173" customWidth="1"/>
    <col min="6403" max="6403" width="26.5703125" style="173" customWidth="1"/>
    <col min="6404" max="6404" width="7.7109375" style="173" customWidth="1"/>
    <col min="6405" max="6405" width="19.42578125" style="173" customWidth="1"/>
    <col min="6406" max="6406" width="44.28515625" style="173" customWidth="1"/>
    <col min="6407" max="6407" width="17" style="173" customWidth="1"/>
    <col min="6408" max="6408" width="15.5703125" style="173" customWidth="1"/>
    <col min="6409" max="6409" width="14.140625" style="173" customWidth="1"/>
    <col min="6410" max="6410" width="1.7109375" style="173" customWidth="1"/>
    <col min="6411" max="6411" width="13.7109375" style="173" customWidth="1"/>
    <col min="6412" max="6412" width="13.85546875" style="173" bestFit="1" customWidth="1"/>
    <col min="6413" max="6413" width="2.5703125" style="173" customWidth="1"/>
    <col min="6414" max="6414" width="12.42578125" style="173" customWidth="1"/>
    <col min="6415" max="6415" width="13.5703125" style="173" customWidth="1"/>
    <col min="6416" max="6416" width="2.5703125" style="173" customWidth="1"/>
    <col min="6417" max="6417" width="12.42578125" style="173" customWidth="1"/>
    <col min="6418" max="6418" width="13.5703125" style="173" customWidth="1"/>
    <col min="6419" max="6419" width="2.5703125" style="173" customWidth="1"/>
    <col min="6420" max="6420" width="11.5703125" style="173" customWidth="1"/>
    <col min="6421" max="6421" width="13" style="173" customWidth="1"/>
    <col min="6422" max="6422" width="1.42578125" style="173" customWidth="1"/>
    <col min="6423" max="6423" width="10.5703125" style="173" customWidth="1"/>
    <col min="6424" max="6655" width="11" style="173"/>
    <col min="6656" max="6656" width="1.5703125" style="173" customWidth="1"/>
    <col min="6657" max="6657" width="8.5703125" style="173" customWidth="1"/>
    <col min="6658" max="6658" width="28.7109375" style="173" customWidth="1"/>
    <col min="6659" max="6659" width="26.5703125" style="173" customWidth="1"/>
    <col min="6660" max="6660" width="7.7109375" style="173" customWidth="1"/>
    <col min="6661" max="6661" width="19.42578125" style="173" customWidth="1"/>
    <col min="6662" max="6662" width="44.28515625" style="173" customWidth="1"/>
    <col min="6663" max="6663" width="17" style="173" customWidth="1"/>
    <col min="6664" max="6664" width="15.5703125" style="173" customWidth="1"/>
    <col min="6665" max="6665" width="14.140625" style="173" customWidth="1"/>
    <col min="6666" max="6666" width="1.7109375" style="173" customWidth="1"/>
    <col min="6667" max="6667" width="13.7109375" style="173" customWidth="1"/>
    <col min="6668" max="6668" width="13.85546875" style="173" bestFit="1" customWidth="1"/>
    <col min="6669" max="6669" width="2.5703125" style="173" customWidth="1"/>
    <col min="6670" max="6670" width="12.42578125" style="173" customWidth="1"/>
    <col min="6671" max="6671" width="13.5703125" style="173" customWidth="1"/>
    <col min="6672" max="6672" width="2.5703125" style="173" customWidth="1"/>
    <col min="6673" max="6673" width="12.42578125" style="173" customWidth="1"/>
    <col min="6674" max="6674" width="13.5703125" style="173" customWidth="1"/>
    <col min="6675" max="6675" width="2.5703125" style="173" customWidth="1"/>
    <col min="6676" max="6676" width="11.5703125" style="173" customWidth="1"/>
    <col min="6677" max="6677" width="13" style="173" customWidth="1"/>
    <col min="6678" max="6678" width="1.42578125" style="173" customWidth="1"/>
    <col min="6679" max="6679" width="10.5703125" style="173" customWidth="1"/>
    <col min="6680" max="6911" width="11" style="173"/>
    <col min="6912" max="6912" width="1.5703125" style="173" customWidth="1"/>
    <col min="6913" max="6913" width="8.5703125" style="173" customWidth="1"/>
    <col min="6914" max="6914" width="28.7109375" style="173" customWidth="1"/>
    <col min="6915" max="6915" width="26.5703125" style="173" customWidth="1"/>
    <col min="6916" max="6916" width="7.7109375" style="173" customWidth="1"/>
    <col min="6917" max="6917" width="19.42578125" style="173" customWidth="1"/>
    <col min="6918" max="6918" width="44.28515625" style="173" customWidth="1"/>
    <col min="6919" max="6919" width="17" style="173" customWidth="1"/>
    <col min="6920" max="6920" width="15.5703125" style="173" customWidth="1"/>
    <col min="6921" max="6921" width="14.140625" style="173" customWidth="1"/>
    <col min="6922" max="6922" width="1.7109375" style="173" customWidth="1"/>
    <col min="6923" max="6923" width="13.7109375" style="173" customWidth="1"/>
    <col min="6924" max="6924" width="13.85546875" style="173" bestFit="1" customWidth="1"/>
    <col min="6925" max="6925" width="2.5703125" style="173" customWidth="1"/>
    <col min="6926" max="6926" width="12.42578125" style="173" customWidth="1"/>
    <col min="6927" max="6927" width="13.5703125" style="173" customWidth="1"/>
    <col min="6928" max="6928" width="2.5703125" style="173" customWidth="1"/>
    <col min="6929" max="6929" width="12.42578125" style="173" customWidth="1"/>
    <col min="6930" max="6930" width="13.5703125" style="173" customWidth="1"/>
    <col min="6931" max="6931" width="2.5703125" style="173" customWidth="1"/>
    <col min="6932" max="6932" width="11.5703125" style="173" customWidth="1"/>
    <col min="6933" max="6933" width="13" style="173" customWidth="1"/>
    <col min="6934" max="6934" width="1.42578125" style="173" customWidth="1"/>
    <col min="6935" max="6935" width="10.5703125" style="173" customWidth="1"/>
    <col min="6936" max="7167" width="11" style="173"/>
    <col min="7168" max="7168" width="1.5703125" style="173" customWidth="1"/>
    <col min="7169" max="7169" width="8.5703125" style="173" customWidth="1"/>
    <col min="7170" max="7170" width="28.7109375" style="173" customWidth="1"/>
    <col min="7171" max="7171" width="26.5703125" style="173" customWidth="1"/>
    <col min="7172" max="7172" width="7.7109375" style="173" customWidth="1"/>
    <col min="7173" max="7173" width="19.42578125" style="173" customWidth="1"/>
    <col min="7174" max="7174" width="44.28515625" style="173" customWidth="1"/>
    <col min="7175" max="7175" width="17" style="173" customWidth="1"/>
    <col min="7176" max="7176" width="15.5703125" style="173" customWidth="1"/>
    <col min="7177" max="7177" width="14.140625" style="173" customWidth="1"/>
    <col min="7178" max="7178" width="1.7109375" style="173" customWidth="1"/>
    <col min="7179" max="7179" width="13.7109375" style="173" customWidth="1"/>
    <col min="7180" max="7180" width="13.85546875" style="173" bestFit="1" customWidth="1"/>
    <col min="7181" max="7181" width="2.5703125" style="173" customWidth="1"/>
    <col min="7182" max="7182" width="12.42578125" style="173" customWidth="1"/>
    <col min="7183" max="7183" width="13.5703125" style="173" customWidth="1"/>
    <col min="7184" max="7184" width="2.5703125" style="173" customWidth="1"/>
    <col min="7185" max="7185" width="12.42578125" style="173" customWidth="1"/>
    <col min="7186" max="7186" width="13.5703125" style="173" customWidth="1"/>
    <col min="7187" max="7187" width="2.5703125" style="173" customWidth="1"/>
    <col min="7188" max="7188" width="11.5703125" style="173" customWidth="1"/>
    <col min="7189" max="7189" width="13" style="173" customWidth="1"/>
    <col min="7190" max="7190" width="1.42578125" style="173" customWidth="1"/>
    <col min="7191" max="7191" width="10.5703125" style="173" customWidth="1"/>
    <col min="7192" max="7423" width="11" style="173"/>
    <col min="7424" max="7424" width="1.5703125" style="173" customWidth="1"/>
    <col min="7425" max="7425" width="8.5703125" style="173" customWidth="1"/>
    <col min="7426" max="7426" width="28.7109375" style="173" customWidth="1"/>
    <col min="7427" max="7427" width="26.5703125" style="173" customWidth="1"/>
    <col min="7428" max="7428" width="7.7109375" style="173" customWidth="1"/>
    <col min="7429" max="7429" width="19.42578125" style="173" customWidth="1"/>
    <col min="7430" max="7430" width="44.28515625" style="173" customWidth="1"/>
    <col min="7431" max="7431" width="17" style="173" customWidth="1"/>
    <col min="7432" max="7432" width="15.5703125" style="173" customWidth="1"/>
    <col min="7433" max="7433" width="14.140625" style="173" customWidth="1"/>
    <col min="7434" max="7434" width="1.7109375" style="173" customWidth="1"/>
    <col min="7435" max="7435" width="13.7109375" style="173" customWidth="1"/>
    <col min="7436" max="7436" width="13.85546875" style="173" bestFit="1" customWidth="1"/>
    <col min="7437" max="7437" width="2.5703125" style="173" customWidth="1"/>
    <col min="7438" max="7438" width="12.42578125" style="173" customWidth="1"/>
    <col min="7439" max="7439" width="13.5703125" style="173" customWidth="1"/>
    <col min="7440" max="7440" width="2.5703125" style="173" customWidth="1"/>
    <col min="7441" max="7441" width="12.42578125" style="173" customWidth="1"/>
    <col min="7442" max="7442" width="13.5703125" style="173" customWidth="1"/>
    <col min="7443" max="7443" width="2.5703125" style="173" customWidth="1"/>
    <col min="7444" max="7444" width="11.5703125" style="173" customWidth="1"/>
    <col min="7445" max="7445" width="13" style="173" customWidth="1"/>
    <col min="7446" max="7446" width="1.42578125" style="173" customWidth="1"/>
    <col min="7447" max="7447" width="10.5703125" style="173" customWidth="1"/>
    <col min="7448" max="7679" width="11" style="173"/>
    <col min="7680" max="7680" width="1.5703125" style="173" customWidth="1"/>
    <col min="7681" max="7681" width="8.5703125" style="173" customWidth="1"/>
    <col min="7682" max="7682" width="28.7109375" style="173" customWidth="1"/>
    <col min="7683" max="7683" width="26.5703125" style="173" customWidth="1"/>
    <col min="7684" max="7684" width="7.7109375" style="173" customWidth="1"/>
    <col min="7685" max="7685" width="19.42578125" style="173" customWidth="1"/>
    <col min="7686" max="7686" width="44.28515625" style="173" customWidth="1"/>
    <col min="7687" max="7687" width="17" style="173" customWidth="1"/>
    <col min="7688" max="7688" width="15.5703125" style="173" customWidth="1"/>
    <col min="7689" max="7689" width="14.140625" style="173" customWidth="1"/>
    <col min="7690" max="7690" width="1.7109375" style="173" customWidth="1"/>
    <col min="7691" max="7691" width="13.7109375" style="173" customWidth="1"/>
    <col min="7692" max="7692" width="13.85546875" style="173" bestFit="1" customWidth="1"/>
    <col min="7693" max="7693" width="2.5703125" style="173" customWidth="1"/>
    <col min="7694" max="7694" width="12.42578125" style="173" customWidth="1"/>
    <col min="7695" max="7695" width="13.5703125" style="173" customWidth="1"/>
    <col min="7696" max="7696" width="2.5703125" style="173" customWidth="1"/>
    <col min="7697" max="7697" width="12.42578125" style="173" customWidth="1"/>
    <col min="7698" max="7698" width="13.5703125" style="173" customWidth="1"/>
    <col min="7699" max="7699" width="2.5703125" style="173" customWidth="1"/>
    <col min="7700" max="7700" width="11.5703125" style="173" customWidth="1"/>
    <col min="7701" max="7701" width="13" style="173" customWidth="1"/>
    <col min="7702" max="7702" width="1.42578125" style="173" customWidth="1"/>
    <col min="7703" max="7703" width="10.5703125" style="173" customWidth="1"/>
    <col min="7704" max="7935" width="11" style="173"/>
    <col min="7936" max="7936" width="1.5703125" style="173" customWidth="1"/>
    <col min="7937" max="7937" width="8.5703125" style="173" customWidth="1"/>
    <col min="7938" max="7938" width="28.7109375" style="173" customWidth="1"/>
    <col min="7939" max="7939" width="26.5703125" style="173" customWidth="1"/>
    <col min="7940" max="7940" width="7.7109375" style="173" customWidth="1"/>
    <col min="7941" max="7941" width="19.42578125" style="173" customWidth="1"/>
    <col min="7942" max="7942" width="44.28515625" style="173" customWidth="1"/>
    <col min="7943" max="7943" width="17" style="173" customWidth="1"/>
    <col min="7944" max="7944" width="15.5703125" style="173" customWidth="1"/>
    <col min="7945" max="7945" width="14.140625" style="173" customWidth="1"/>
    <col min="7946" max="7946" width="1.7109375" style="173" customWidth="1"/>
    <col min="7947" max="7947" width="13.7109375" style="173" customWidth="1"/>
    <col min="7948" max="7948" width="13.85546875" style="173" bestFit="1" customWidth="1"/>
    <col min="7949" max="7949" width="2.5703125" style="173" customWidth="1"/>
    <col min="7950" max="7950" width="12.42578125" style="173" customWidth="1"/>
    <col min="7951" max="7951" width="13.5703125" style="173" customWidth="1"/>
    <col min="7952" max="7952" width="2.5703125" style="173" customWidth="1"/>
    <col min="7953" max="7953" width="12.42578125" style="173" customWidth="1"/>
    <col min="7954" max="7954" width="13.5703125" style="173" customWidth="1"/>
    <col min="7955" max="7955" width="2.5703125" style="173" customWidth="1"/>
    <col min="7956" max="7956" width="11.5703125" style="173" customWidth="1"/>
    <col min="7957" max="7957" width="13" style="173" customWidth="1"/>
    <col min="7958" max="7958" width="1.42578125" style="173" customWidth="1"/>
    <col min="7959" max="7959" width="10.5703125" style="173" customWidth="1"/>
    <col min="7960" max="8191" width="11" style="173"/>
    <col min="8192" max="8192" width="1.5703125" style="173" customWidth="1"/>
    <col min="8193" max="8193" width="8.5703125" style="173" customWidth="1"/>
    <col min="8194" max="8194" width="28.7109375" style="173" customWidth="1"/>
    <col min="8195" max="8195" width="26.5703125" style="173" customWidth="1"/>
    <col min="8196" max="8196" width="7.7109375" style="173" customWidth="1"/>
    <col min="8197" max="8197" width="19.42578125" style="173" customWidth="1"/>
    <col min="8198" max="8198" width="44.28515625" style="173" customWidth="1"/>
    <col min="8199" max="8199" width="17" style="173" customWidth="1"/>
    <col min="8200" max="8200" width="15.5703125" style="173" customWidth="1"/>
    <col min="8201" max="8201" width="14.140625" style="173" customWidth="1"/>
    <col min="8202" max="8202" width="1.7109375" style="173" customWidth="1"/>
    <col min="8203" max="8203" width="13.7109375" style="173" customWidth="1"/>
    <col min="8204" max="8204" width="13.85546875" style="173" bestFit="1" customWidth="1"/>
    <col min="8205" max="8205" width="2.5703125" style="173" customWidth="1"/>
    <col min="8206" max="8206" width="12.42578125" style="173" customWidth="1"/>
    <col min="8207" max="8207" width="13.5703125" style="173" customWidth="1"/>
    <col min="8208" max="8208" width="2.5703125" style="173" customWidth="1"/>
    <col min="8209" max="8209" width="12.42578125" style="173" customWidth="1"/>
    <col min="8210" max="8210" width="13.5703125" style="173" customWidth="1"/>
    <col min="8211" max="8211" width="2.5703125" style="173" customWidth="1"/>
    <col min="8212" max="8212" width="11.5703125" style="173" customWidth="1"/>
    <col min="8213" max="8213" width="13" style="173" customWidth="1"/>
    <col min="8214" max="8214" width="1.42578125" style="173" customWidth="1"/>
    <col min="8215" max="8215" width="10.5703125" style="173" customWidth="1"/>
    <col min="8216" max="8447" width="11" style="173"/>
    <col min="8448" max="8448" width="1.5703125" style="173" customWidth="1"/>
    <col min="8449" max="8449" width="8.5703125" style="173" customWidth="1"/>
    <col min="8450" max="8450" width="28.7109375" style="173" customWidth="1"/>
    <col min="8451" max="8451" width="26.5703125" style="173" customWidth="1"/>
    <col min="8452" max="8452" width="7.7109375" style="173" customWidth="1"/>
    <col min="8453" max="8453" width="19.42578125" style="173" customWidth="1"/>
    <col min="8454" max="8454" width="44.28515625" style="173" customWidth="1"/>
    <col min="8455" max="8455" width="17" style="173" customWidth="1"/>
    <col min="8456" max="8456" width="15.5703125" style="173" customWidth="1"/>
    <col min="8457" max="8457" width="14.140625" style="173" customWidth="1"/>
    <col min="8458" max="8458" width="1.7109375" style="173" customWidth="1"/>
    <col min="8459" max="8459" width="13.7109375" style="173" customWidth="1"/>
    <col min="8460" max="8460" width="13.85546875" style="173" bestFit="1" customWidth="1"/>
    <col min="8461" max="8461" width="2.5703125" style="173" customWidth="1"/>
    <col min="8462" max="8462" width="12.42578125" style="173" customWidth="1"/>
    <col min="8463" max="8463" width="13.5703125" style="173" customWidth="1"/>
    <col min="8464" max="8464" width="2.5703125" style="173" customWidth="1"/>
    <col min="8465" max="8465" width="12.42578125" style="173" customWidth="1"/>
    <col min="8466" max="8466" width="13.5703125" style="173" customWidth="1"/>
    <col min="8467" max="8467" width="2.5703125" style="173" customWidth="1"/>
    <col min="8468" max="8468" width="11.5703125" style="173" customWidth="1"/>
    <col min="8469" max="8469" width="13" style="173" customWidth="1"/>
    <col min="8470" max="8470" width="1.42578125" style="173" customWidth="1"/>
    <col min="8471" max="8471" width="10.5703125" style="173" customWidth="1"/>
    <col min="8472" max="8703" width="11" style="173"/>
    <col min="8704" max="8704" width="1.5703125" style="173" customWidth="1"/>
    <col min="8705" max="8705" width="8.5703125" style="173" customWidth="1"/>
    <col min="8706" max="8706" width="28.7109375" style="173" customWidth="1"/>
    <col min="8707" max="8707" width="26.5703125" style="173" customWidth="1"/>
    <col min="8708" max="8708" width="7.7109375" style="173" customWidth="1"/>
    <col min="8709" max="8709" width="19.42578125" style="173" customWidth="1"/>
    <col min="8710" max="8710" width="44.28515625" style="173" customWidth="1"/>
    <col min="8711" max="8711" width="17" style="173" customWidth="1"/>
    <col min="8712" max="8712" width="15.5703125" style="173" customWidth="1"/>
    <col min="8713" max="8713" width="14.140625" style="173" customWidth="1"/>
    <col min="8714" max="8714" width="1.7109375" style="173" customWidth="1"/>
    <col min="8715" max="8715" width="13.7109375" style="173" customWidth="1"/>
    <col min="8716" max="8716" width="13.85546875" style="173" bestFit="1" customWidth="1"/>
    <col min="8717" max="8717" width="2.5703125" style="173" customWidth="1"/>
    <col min="8718" max="8718" width="12.42578125" style="173" customWidth="1"/>
    <col min="8719" max="8719" width="13.5703125" style="173" customWidth="1"/>
    <col min="8720" max="8720" width="2.5703125" style="173" customWidth="1"/>
    <col min="8721" max="8721" width="12.42578125" style="173" customWidth="1"/>
    <col min="8722" max="8722" width="13.5703125" style="173" customWidth="1"/>
    <col min="8723" max="8723" width="2.5703125" style="173" customWidth="1"/>
    <col min="8724" max="8724" width="11.5703125" style="173" customWidth="1"/>
    <col min="8725" max="8725" width="13" style="173" customWidth="1"/>
    <col min="8726" max="8726" width="1.42578125" style="173" customWidth="1"/>
    <col min="8727" max="8727" width="10.5703125" style="173" customWidth="1"/>
    <col min="8728" max="8959" width="11" style="173"/>
    <col min="8960" max="8960" width="1.5703125" style="173" customWidth="1"/>
    <col min="8961" max="8961" width="8.5703125" style="173" customWidth="1"/>
    <col min="8962" max="8962" width="28.7109375" style="173" customWidth="1"/>
    <col min="8963" max="8963" width="26.5703125" style="173" customWidth="1"/>
    <col min="8964" max="8964" width="7.7109375" style="173" customWidth="1"/>
    <col min="8965" max="8965" width="19.42578125" style="173" customWidth="1"/>
    <col min="8966" max="8966" width="44.28515625" style="173" customWidth="1"/>
    <col min="8967" max="8967" width="17" style="173" customWidth="1"/>
    <col min="8968" max="8968" width="15.5703125" style="173" customWidth="1"/>
    <col min="8969" max="8969" width="14.140625" style="173" customWidth="1"/>
    <col min="8970" max="8970" width="1.7109375" style="173" customWidth="1"/>
    <col min="8971" max="8971" width="13.7109375" style="173" customWidth="1"/>
    <col min="8972" max="8972" width="13.85546875" style="173" bestFit="1" customWidth="1"/>
    <col min="8973" max="8973" width="2.5703125" style="173" customWidth="1"/>
    <col min="8974" max="8974" width="12.42578125" style="173" customWidth="1"/>
    <col min="8975" max="8975" width="13.5703125" style="173" customWidth="1"/>
    <col min="8976" max="8976" width="2.5703125" style="173" customWidth="1"/>
    <col min="8977" max="8977" width="12.42578125" style="173" customWidth="1"/>
    <col min="8978" max="8978" width="13.5703125" style="173" customWidth="1"/>
    <col min="8979" max="8979" width="2.5703125" style="173" customWidth="1"/>
    <col min="8980" max="8980" width="11.5703125" style="173" customWidth="1"/>
    <col min="8981" max="8981" width="13" style="173" customWidth="1"/>
    <col min="8982" max="8982" width="1.42578125" style="173" customWidth="1"/>
    <col min="8983" max="8983" width="10.5703125" style="173" customWidth="1"/>
    <col min="8984" max="9215" width="11" style="173"/>
    <col min="9216" max="9216" width="1.5703125" style="173" customWidth="1"/>
    <col min="9217" max="9217" width="8.5703125" style="173" customWidth="1"/>
    <col min="9218" max="9218" width="28.7109375" style="173" customWidth="1"/>
    <col min="9219" max="9219" width="26.5703125" style="173" customWidth="1"/>
    <col min="9220" max="9220" width="7.7109375" style="173" customWidth="1"/>
    <col min="9221" max="9221" width="19.42578125" style="173" customWidth="1"/>
    <col min="9222" max="9222" width="44.28515625" style="173" customWidth="1"/>
    <col min="9223" max="9223" width="17" style="173" customWidth="1"/>
    <col min="9224" max="9224" width="15.5703125" style="173" customWidth="1"/>
    <col min="9225" max="9225" width="14.140625" style="173" customWidth="1"/>
    <col min="9226" max="9226" width="1.7109375" style="173" customWidth="1"/>
    <col min="9227" max="9227" width="13.7109375" style="173" customWidth="1"/>
    <col min="9228" max="9228" width="13.85546875" style="173" bestFit="1" customWidth="1"/>
    <col min="9229" max="9229" width="2.5703125" style="173" customWidth="1"/>
    <col min="9230" max="9230" width="12.42578125" style="173" customWidth="1"/>
    <col min="9231" max="9231" width="13.5703125" style="173" customWidth="1"/>
    <col min="9232" max="9232" width="2.5703125" style="173" customWidth="1"/>
    <col min="9233" max="9233" width="12.42578125" style="173" customWidth="1"/>
    <col min="9234" max="9234" width="13.5703125" style="173" customWidth="1"/>
    <col min="9235" max="9235" width="2.5703125" style="173" customWidth="1"/>
    <col min="9236" max="9236" width="11.5703125" style="173" customWidth="1"/>
    <col min="9237" max="9237" width="13" style="173" customWidth="1"/>
    <col min="9238" max="9238" width="1.42578125" style="173" customWidth="1"/>
    <col min="9239" max="9239" width="10.5703125" style="173" customWidth="1"/>
    <col min="9240" max="9471" width="11" style="173"/>
    <col min="9472" max="9472" width="1.5703125" style="173" customWidth="1"/>
    <col min="9473" max="9473" width="8.5703125" style="173" customWidth="1"/>
    <col min="9474" max="9474" width="28.7109375" style="173" customWidth="1"/>
    <col min="9475" max="9475" width="26.5703125" style="173" customWidth="1"/>
    <col min="9476" max="9476" width="7.7109375" style="173" customWidth="1"/>
    <col min="9477" max="9477" width="19.42578125" style="173" customWidth="1"/>
    <col min="9478" max="9478" width="44.28515625" style="173" customWidth="1"/>
    <col min="9479" max="9479" width="17" style="173" customWidth="1"/>
    <col min="9480" max="9480" width="15.5703125" style="173" customWidth="1"/>
    <col min="9481" max="9481" width="14.140625" style="173" customWidth="1"/>
    <col min="9482" max="9482" width="1.7109375" style="173" customWidth="1"/>
    <col min="9483" max="9483" width="13.7109375" style="173" customWidth="1"/>
    <col min="9484" max="9484" width="13.85546875" style="173" bestFit="1" customWidth="1"/>
    <col min="9485" max="9485" width="2.5703125" style="173" customWidth="1"/>
    <col min="9486" max="9486" width="12.42578125" style="173" customWidth="1"/>
    <col min="9487" max="9487" width="13.5703125" style="173" customWidth="1"/>
    <col min="9488" max="9488" width="2.5703125" style="173" customWidth="1"/>
    <col min="9489" max="9489" width="12.42578125" style="173" customWidth="1"/>
    <col min="9490" max="9490" width="13.5703125" style="173" customWidth="1"/>
    <col min="9491" max="9491" width="2.5703125" style="173" customWidth="1"/>
    <col min="9492" max="9492" width="11.5703125" style="173" customWidth="1"/>
    <col min="9493" max="9493" width="13" style="173" customWidth="1"/>
    <col min="9494" max="9494" width="1.42578125" style="173" customWidth="1"/>
    <col min="9495" max="9495" width="10.5703125" style="173" customWidth="1"/>
    <col min="9496" max="9727" width="11" style="173"/>
    <col min="9728" max="9728" width="1.5703125" style="173" customWidth="1"/>
    <col min="9729" max="9729" width="8.5703125" style="173" customWidth="1"/>
    <col min="9730" max="9730" width="28.7109375" style="173" customWidth="1"/>
    <col min="9731" max="9731" width="26.5703125" style="173" customWidth="1"/>
    <col min="9732" max="9732" width="7.7109375" style="173" customWidth="1"/>
    <col min="9733" max="9733" width="19.42578125" style="173" customWidth="1"/>
    <col min="9734" max="9734" width="44.28515625" style="173" customWidth="1"/>
    <col min="9735" max="9735" width="17" style="173" customWidth="1"/>
    <col min="9736" max="9736" width="15.5703125" style="173" customWidth="1"/>
    <col min="9737" max="9737" width="14.140625" style="173" customWidth="1"/>
    <col min="9738" max="9738" width="1.7109375" style="173" customWidth="1"/>
    <col min="9739" max="9739" width="13.7109375" style="173" customWidth="1"/>
    <col min="9740" max="9740" width="13.85546875" style="173" bestFit="1" customWidth="1"/>
    <col min="9741" max="9741" width="2.5703125" style="173" customWidth="1"/>
    <col min="9742" max="9742" width="12.42578125" style="173" customWidth="1"/>
    <col min="9743" max="9743" width="13.5703125" style="173" customWidth="1"/>
    <col min="9744" max="9744" width="2.5703125" style="173" customWidth="1"/>
    <col min="9745" max="9745" width="12.42578125" style="173" customWidth="1"/>
    <col min="9746" max="9746" width="13.5703125" style="173" customWidth="1"/>
    <col min="9747" max="9747" width="2.5703125" style="173" customWidth="1"/>
    <col min="9748" max="9748" width="11.5703125" style="173" customWidth="1"/>
    <col min="9749" max="9749" width="13" style="173" customWidth="1"/>
    <col min="9750" max="9750" width="1.42578125" style="173" customWidth="1"/>
    <col min="9751" max="9751" width="10.5703125" style="173" customWidth="1"/>
    <col min="9752" max="9983" width="11" style="173"/>
    <col min="9984" max="9984" width="1.5703125" style="173" customWidth="1"/>
    <col min="9985" max="9985" width="8.5703125" style="173" customWidth="1"/>
    <col min="9986" max="9986" width="28.7109375" style="173" customWidth="1"/>
    <col min="9987" max="9987" width="26.5703125" style="173" customWidth="1"/>
    <col min="9988" max="9988" width="7.7109375" style="173" customWidth="1"/>
    <col min="9989" max="9989" width="19.42578125" style="173" customWidth="1"/>
    <col min="9990" max="9990" width="44.28515625" style="173" customWidth="1"/>
    <col min="9991" max="9991" width="17" style="173" customWidth="1"/>
    <col min="9992" max="9992" width="15.5703125" style="173" customWidth="1"/>
    <col min="9993" max="9993" width="14.140625" style="173" customWidth="1"/>
    <col min="9994" max="9994" width="1.7109375" style="173" customWidth="1"/>
    <col min="9995" max="9995" width="13.7109375" style="173" customWidth="1"/>
    <col min="9996" max="9996" width="13.85546875" style="173" bestFit="1" customWidth="1"/>
    <col min="9997" max="9997" width="2.5703125" style="173" customWidth="1"/>
    <col min="9998" max="9998" width="12.42578125" style="173" customWidth="1"/>
    <col min="9999" max="9999" width="13.5703125" style="173" customWidth="1"/>
    <col min="10000" max="10000" width="2.5703125" style="173" customWidth="1"/>
    <col min="10001" max="10001" width="12.42578125" style="173" customWidth="1"/>
    <col min="10002" max="10002" width="13.5703125" style="173" customWidth="1"/>
    <col min="10003" max="10003" width="2.5703125" style="173" customWidth="1"/>
    <col min="10004" max="10004" width="11.5703125" style="173" customWidth="1"/>
    <col min="10005" max="10005" width="13" style="173" customWidth="1"/>
    <col min="10006" max="10006" width="1.42578125" style="173" customWidth="1"/>
    <col min="10007" max="10007" width="10.5703125" style="173" customWidth="1"/>
    <col min="10008" max="10239" width="11" style="173"/>
    <col min="10240" max="10240" width="1.5703125" style="173" customWidth="1"/>
    <col min="10241" max="10241" width="8.5703125" style="173" customWidth="1"/>
    <col min="10242" max="10242" width="28.7109375" style="173" customWidth="1"/>
    <col min="10243" max="10243" width="26.5703125" style="173" customWidth="1"/>
    <col min="10244" max="10244" width="7.7109375" style="173" customWidth="1"/>
    <col min="10245" max="10245" width="19.42578125" style="173" customWidth="1"/>
    <col min="10246" max="10246" width="44.28515625" style="173" customWidth="1"/>
    <col min="10247" max="10247" width="17" style="173" customWidth="1"/>
    <col min="10248" max="10248" width="15.5703125" style="173" customWidth="1"/>
    <col min="10249" max="10249" width="14.140625" style="173" customWidth="1"/>
    <col min="10250" max="10250" width="1.7109375" style="173" customWidth="1"/>
    <col min="10251" max="10251" width="13.7109375" style="173" customWidth="1"/>
    <col min="10252" max="10252" width="13.85546875" style="173" bestFit="1" customWidth="1"/>
    <col min="10253" max="10253" width="2.5703125" style="173" customWidth="1"/>
    <col min="10254" max="10254" width="12.42578125" style="173" customWidth="1"/>
    <col min="10255" max="10255" width="13.5703125" style="173" customWidth="1"/>
    <col min="10256" max="10256" width="2.5703125" style="173" customWidth="1"/>
    <col min="10257" max="10257" width="12.42578125" style="173" customWidth="1"/>
    <col min="10258" max="10258" width="13.5703125" style="173" customWidth="1"/>
    <col min="10259" max="10259" width="2.5703125" style="173" customWidth="1"/>
    <col min="10260" max="10260" width="11.5703125" style="173" customWidth="1"/>
    <col min="10261" max="10261" width="13" style="173" customWidth="1"/>
    <col min="10262" max="10262" width="1.42578125" style="173" customWidth="1"/>
    <col min="10263" max="10263" width="10.5703125" style="173" customWidth="1"/>
    <col min="10264" max="10495" width="11" style="173"/>
    <col min="10496" max="10496" width="1.5703125" style="173" customWidth="1"/>
    <col min="10497" max="10497" width="8.5703125" style="173" customWidth="1"/>
    <col min="10498" max="10498" width="28.7109375" style="173" customWidth="1"/>
    <col min="10499" max="10499" width="26.5703125" style="173" customWidth="1"/>
    <col min="10500" max="10500" width="7.7109375" style="173" customWidth="1"/>
    <col min="10501" max="10501" width="19.42578125" style="173" customWidth="1"/>
    <col min="10502" max="10502" width="44.28515625" style="173" customWidth="1"/>
    <col min="10503" max="10503" width="17" style="173" customWidth="1"/>
    <col min="10504" max="10504" width="15.5703125" style="173" customWidth="1"/>
    <col min="10505" max="10505" width="14.140625" style="173" customWidth="1"/>
    <col min="10506" max="10506" width="1.7109375" style="173" customWidth="1"/>
    <col min="10507" max="10507" width="13.7109375" style="173" customWidth="1"/>
    <col min="10508" max="10508" width="13.85546875" style="173" bestFit="1" customWidth="1"/>
    <col min="10509" max="10509" width="2.5703125" style="173" customWidth="1"/>
    <col min="10510" max="10510" width="12.42578125" style="173" customWidth="1"/>
    <col min="10511" max="10511" width="13.5703125" style="173" customWidth="1"/>
    <col min="10512" max="10512" width="2.5703125" style="173" customWidth="1"/>
    <col min="10513" max="10513" width="12.42578125" style="173" customWidth="1"/>
    <col min="10514" max="10514" width="13.5703125" style="173" customWidth="1"/>
    <col min="10515" max="10515" width="2.5703125" style="173" customWidth="1"/>
    <col min="10516" max="10516" width="11.5703125" style="173" customWidth="1"/>
    <col min="10517" max="10517" width="13" style="173" customWidth="1"/>
    <col min="10518" max="10518" width="1.42578125" style="173" customWidth="1"/>
    <col min="10519" max="10519" width="10.5703125" style="173" customWidth="1"/>
    <col min="10520" max="10751" width="11" style="173"/>
    <col min="10752" max="10752" width="1.5703125" style="173" customWidth="1"/>
    <col min="10753" max="10753" width="8.5703125" style="173" customWidth="1"/>
    <col min="10754" max="10754" width="28.7109375" style="173" customWidth="1"/>
    <col min="10755" max="10755" width="26.5703125" style="173" customWidth="1"/>
    <col min="10756" max="10756" width="7.7109375" style="173" customWidth="1"/>
    <col min="10757" max="10757" width="19.42578125" style="173" customWidth="1"/>
    <col min="10758" max="10758" width="44.28515625" style="173" customWidth="1"/>
    <col min="10759" max="10759" width="17" style="173" customWidth="1"/>
    <col min="10760" max="10760" width="15.5703125" style="173" customWidth="1"/>
    <col min="10761" max="10761" width="14.140625" style="173" customWidth="1"/>
    <col min="10762" max="10762" width="1.7109375" style="173" customWidth="1"/>
    <col min="10763" max="10763" width="13.7109375" style="173" customWidth="1"/>
    <col min="10764" max="10764" width="13.85546875" style="173" bestFit="1" customWidth="1"/>
    <col min="10765" max="10765" width="2.5703125" style="173" customWidth="1"/>
    <col min="10766" max="10766" width="12.42578125" style="173" customWidth="1"/>
    <col min="10767" max="10767" width="13.5703125" style="173" customWidth="1"/>
    <col min="10768" max="10768" width="2.5703125" style="173" customWidth="1"/>
    <col min="10769" max="10769" width="12.42578125" style="173" customWidth="1"/>
    <col min="10770" max="10770" width="13.5703125" style="173" customWidth="1"/>
    <col min="10771" max="10771" width="2.5703125" style="173" customWidth="1"/>
    <col min="10772" max="10772" width="11.5703125" style="173" customWidth="1"/>
    <col min="10773" max="10773" width="13" style="173" customWidth="1"/>
    <col min="10774" max="10774" width="1.42578125" style="173" customWidth="1"/>
    <col min="10775" max="10775" width="10.5703125" style="173" customWidth="1"/>
    <col min="10776" max="11007" width="11" style="173"/>
    <col min="11008" max="11008" width="1.5703125" style="173" customWidth="1"/>
    <col min="11009" max="11009" width="8.5703125" style="173" customWidth="1"/>
    <col min="11010" max="11010" width="28.7109375" style="173" customWidth="1"/>
    <col min="11011" max="11011" width="26.5703125" style="173" customWidth="1"/>
    <col min="11012" max="11012" width="7.7109375" style="173" customWidth="1"/>
    <col min="11013" max="11013" width="19.42578125" style="173" customWidth="1"/>
    <col min="11014" max="11014" width="44.28515625" style="173" customWidth="1"/>
    <col min="11015" max="11015" width="17" style="173" customWidth="1"/>
    <col min="11016" max="11016" width="15.5703125" style="173" customWidth="1"/>
    <col min="11017" max="11017" width="14.140625" style="173" customWidth="1"/>
    <col min="11018" max="11018" width="1.7109375" style="173" customWidth="1"/>
    <col min="11019" max="11019" width="13.7109375" style="173" customWidth="1"/>
    <col min="11020" max="11020" width="13.85546875" style="173" bestFit="1" customWidth="1"/>
    <col min="11021" max="11021" width="2.5703125" style="173" customWidth="1"/>
    <col min="11022" max="11022" width="12.42578125" style="173" customWidth="1"/>
    <col min="11023" max="11023" width="13.5703125" style="173" customWidth="1"/>
    <col min="11024" max="11024" width="2.5703125" style="173" customWidth="1"/>
    <col min="11025" max="11025" width="12.42578125" style="173" customWidth="1"/>
    <col min="11026" max="11026" width="13.5703125" style="173" customWidth="1"/>
    <col min="11027" max="11027" width="2.5703125" style="173" customWidth="1"/>
    <col min="11028" max="11028" width="11.5703125" style="173" customWidth="1"/>
    <col min="11029" max="11029" width="13" style="173" customWidth="1"/>
    <col min="11030" max="11030" width="1.42578125" style="173" customWidth="1"/>
    <col min="11031" max="11031" width="10.5703125" style="173" customWidth="1"/>
    <col min="11032" max="11263" width="11" style="173"/>
    <col min="11264" max="11264" width="1.5703125" style="173" customWidth="1"/>
    <col min="11265" max="11265" width="8.5703125" style="173" customWidth="1"/>
    <col min="11266" max="11266" width="28.7109375" style="173" customWidth="1"/>
    <col min="11267" max="11267" width="26.5703125" style="173" customWidth="1"/>
    <col min="11268" max="11268" width="7.7109375" style="173" customWidth="1"/>
    <col min="11269" max="11269" width="19.42578125" style="173" customWidth="1"/>
    <col min="11270" max="11270" width="44.28515625" style="173" customWidth="1"/>
    <col min="11271" max="11271" width="17" style="173" customWidth="1"/>
    <col min="11272" max="11272" width="15.5703125" style="173" customWidth="1"/>
    <col min="11273" max="11273" width="14.140625" style="173" customWidth="1"/>
    <col min="11274" max="11274" width="1.7109375" style="173" customWidth="1"/>
    <col min="11275" max="11275" width="13.7109375" style="173" customWidth="1"/>
    <col min="11276" max="11276" width="13.85546875" style="173" bestFit="1" customWidth="1"/>
    <col min="11277" max="11277" width="2.5703125" style="173" customWidth="1"/>
    <col min="11278" max="11278" width="12.42578125" style="173" customWidth="1"/>
    <col min="11279" max="11279" width="13.5703125" style="173" customWidth="1"/>
    <col min="11280" max="11280" width="2.5703125" style="173" customWidth="1"/>
    <col min="11281" max="11281" width="12.42578125" style="173" customWidth="1"/>
    <col min="11282" max="11282" width="13.5703125" style="173" customWidth="1"/>
    <col min="11283" max="11283" width="2.5703125" style="173" customWidth="1"/>
    <col min="11284" max="11284" width="11.5703125" style="173" customWidth="1"/>
    <col min="11285" max="11285" width="13" style="173" customWidth="1"/>
    <col min="11286" max="11286" width="1.42578125" style="173" customWidth="1"/>
    <col min="11287" max="11287" width="10.5703125" style="173" customWidth="1"/>
    <col min="11288" max="11519" width="11" style="173"/>
    <col min="11520" max="11520" width="1.5703125" style="173" customWidth="1"/>
    <col min="11521" max="11521" width="8.5703125" style="173" customWidth="1"/>
    <col min="11522" max="11522" width="28.7109375" style="173" customWidth="1"/>
    <col min="11523" max="11523" width="26.5703125" style="173" customWidth="1"/>
    <col min="11524" max="11524" width="7.7109375" style="173" customWidth="1"/>
    <col min="11525" max="11525" width="19.42578125" style="173" customWidth="1"/>
    <col min="11526" max="11526" width="44.28515625" style="173" customWidth="1"/>
    <col min="11527" max="11527" width="17" style="173" customWidth="1"/>
    <col min="11528" max="11528" width="15.5703125" style="173" customWidth="1"/>
    <col min="11529" max="11529" width="14.140625" style="173" customWidth="1"/>
    <col min="11530" max="11530" width="1.7109375" style="173" customWidth="1"/>
    <col min="11531" max="11531" width="13.7109375" style="173" customWidth="1"/>
    <col min="11532" max="11532" width="13.85546875" style="173" bestFit="1" customWidth="1"/>
    <col min="11533" max="11533" width="2.5703125" style="173" customWidth="1"/>
    <col min="11534" max="11534" width="12.42578125" style="173" customWidth="1"/>
    <col min="11535" max="11535" width="13.5703125" style="173" customWidth="1"/>
    <col min="11536" max="11536" width="2.5703125" style="173" customWidth="1"/>
    <col min="11537" max="11537" width="12.42578125" style="173" customWidth="1"/>
    <col min="11538" max="11538" width="13.5703125" style="173" customWidth="1"/>
    <col min="11539" max="11539" width="2.5703125" style="173" customWidth="1"/>
    <col min="11540" max="11540" width="11.5703125" style="173" customWidth="1"/>
    <col min="11541" max="11541" width="13" style="173" customWidth="1"/>
    <col min="11542" max="11542" width="1.42578125" style="173" customWidth="1"/>
    <col min="11543" max="11543" width="10.5703125" style="173" customWidth="1"/>
    <col min="11544" max="11775" width="11" style="173"/>
    <col min="11776" max="11776" width="1.5703125" style="173" customWidth="1"/>
    <col min="11777" max="11777" width="8.5703125" style="173" customWidth="1"/>
    <col min="11778" max="11778" width="28.7109375" style="173" customWidth="1"/>
    <col min="11779" max="11779" width="26.5703125" style="173" customWidth="1"/>
    <col min="11780" max="11780" width="7.7109375" style="173" customWidth="1"/>
    <col min="11781" max="11781" width="19.42578125" style="173" customWidth="1"/>
    <col min="11782" max="11782" width="44.28515625" style="173" customWidth="1"/>
    <col min="11783" max="11783" width="17" style="173" customWidth="1"/>
    <col min="11784" max="11784" width="15.5703125" style="173" customWidth="1"/>
    <col min="11785" max="11785" width="14.140625" style="173" customWidth="1"/>
    <col min="11786" max="11786" width="1.7109375" style="173" customWidth="1"/>
    <col min="11787" max="11787" width="13.7109375" style="173" customWidth="1"/>
    <col min="11788" max="11788" width="13.85546875" style="173" bestFit="1" customWidth="1"/>
    <col min="11789" max="11789" width="2.5703125" style="173" customWidth="1"/>
    <col min="11790" max="11790" width="12.42578125" style="173" customWidth="1"/>
    <col min="11791" max="11791" width="13.5703125" style="173" customWidth="1"/>
    <col min="11792" max="11792" width="2.5703125" style="173" customWidth="1"/>
    <col min="11793" max="11793" width="12.42578125" style="173" customWidth="1"/>
    <col min="11794" max="11794" width="13.5703125" style="173" customWidth="1"/>
    <col min="11795" max="11795" width="2.5703125" style="173" customWidth="1"/>
    <col min="11796" max="11796" width="11.5703125" style="173" customWidth="1"/>
    <col min="11797" max="11797" width="13" style="173" customWidth="1"/>
    <col min="11798" max="11798" width="1.42578125" style="173" customWidth="1"/>
    <col min="11799" max="11799" width="10.5703125" style="173" customWidth="1"/>
    <col min="11800" max="12031" width="11" style="173"/>
    <col min="12032" max="12032" width="1.5703125" style="173" customWidth="1"/>
    <col min="12033" max="12033" width="8.5703125" style="173" customWidth="1"/>
    <col min="12034" max="12034" width="28.7109375" style="173" customWidth="1"/>
    <col min="12035" max="12035" width="26.5703125" style="173" customWidth="1"/>
    <col min="12036" max="12036" width="7.7109375" style="173" customWidth="1"/>
    <col min="12037" max="12037" width="19.42578125" style="173" customWidth="1"/>
    <col min="12038" max="12038" width="44.28515625" style="173" customWidth="1"/>
    <col min="12039" max="12039" width="17" style="173" customWidth="1"/>
    <col min="12040" max="12040" width="15.5703125" style="173" customWidth="1"/>
    <col min="12041" max="12041" width="14.140625" style="173" customWidth="1"/>
    <col min="12042" max="12042" width="1.7109375" style="173" customWidth="1"/>
    <col min="12043" max="12043" width="13.7109375" style="173" customWidth="1"/>
    <col min="12044" max="12044" width="13.85546875" style="173" bestFit="1" customWidth="1"/>
    <col min="12045" max="12045" width="2.5703125" style="173" customWidth="1"/>
    <col min="12046" max="12046" width="12.42578125" style="173" customWidth="1"/>
    <col min="12047" max="12047" width="13.5703125" style="173" customWidth="1"/>
    <col min="12048" max="12048" width="2.5703125" style="173" customWidth="1"/>
    <col min="12049" max="12049" width="12.42578125" style="173" customWidth="1"/>
    <col min="12050" max="12050" width="13.5703125" style="173" customWidth="1"/>
    <col min="12051" max="12051" width="2.5703125" style="173" customWidth="1"/>
    <col min="12052" max="12052" width="11.5703125" style="173" customWidth="1"/>
    <col min="12053" max="12053" width="13" style="173" customWidth="1"/>
    <col min="12054" max="12054" width="1.42578125" style="173" customWidth="1"/>
    <col min="12055" max="12055" width="10.5703125" style="173" customWidth="1"/>
    <col min="12056" max="12287" width="11" style="173"/>
    <col min="12288" max="12288" width="1.5703125" style="173" customWidth="1"/>
    <col min="12289" max="12289" width="8.5703125" style="173" customWidth="1"/>
    <col min="12290" max="12290" width="28.7109375" style="173" customWidth="1"/>
    <col min="12291" max="12291" width="26.5703125" style="173" customWidth="1"/>
    <col min="12292" max="12292" width="7.7109375" style="173" customWidth="1"/>
    <col min="12293" max="12293" width="19.42578125" style="173" customWidth="1"/>
    <col min="12294" max="12294" width="44.28515625" style="173" customWidth="1"/>
    <col min="12295" max="12295" width="17" style="173" customWidth="1"/>
    <col min="12296" max="12296" width="15.5703125" style="173" customWidth="1"/>
    <col min="12297" max="12297" width="14.140625" style="173" customWidth="1"/>
    <col min="12298" max="12298" width="1.7109375" style="173" customWidth="1"/>
    <col min="12299" max="12299" width="13.7109375" style="173" customWidth="1"/>
    <col min="12300" max="12300" width="13.85546875" style="173" bestFit="1" customWidth="1"/>
    <col min="12301" max="12301" width="2.5703125" style="173" customWidth="1"/>
    <col min="12302" max="12302" width="12.42578125" style="173" customWidth="1"/>
    <col min="12303" max="12303" width="13.5703125" style="173" customWidth="1"/>
    <col min="12304" max="12304" width="2.5703125" style="173" customWidth="1"/>
    <col min="12305" max="12305" width="12.42578125" style="173" customWidth="1"/>
    <col min="12306" max="12306" width="13.5703125" style="173" customWidth="1"/>
    <col min="12307" max="12307" width="2.5703125" style="173" customWidth="1"/>
    <col min="12308" max="12308" width="11.5703125" style="173" customWidth="1"/>
    <col min="12309" max="12309" width="13" style="173" customWidth="1"/>
    <col min="12310" max="12310" width="1.42578125" style="173" customWidth="1"/>
    <col min="12311" max="12311" width="10.5703125" style="173" customWidth="1"/>
    <col min="12312" max="12543" width="11" style="173"/>
    <col min="12544" max="12544" width="1.5703125" style="173" customWidth="1"/>
    <col min="12545" max="12545" width="8.5703125" style="173" customWidth="1"/>
    <col min="12546" max="12546" width="28.7109375" style="173" customWidth="1"/>
    <col min="12547" max="12547" width="26.5703125" style="173" customWidth="1"/>
    <col min="12548" max="12548" width="7.7109375" style="173" customWidth="1"/>
    <col min="12549" max="12549" width="19.42578125" style="173" customWidth="1"/>
    <col min="12550" max="12550" width="44.28515625" style="173" customWidth="1"/>
    <col min="12551" max="12551" width="17" style="173" customWidth="1"/>
    <col min="12552" max="12552" width="15.5703125" style="173" customWidth="1"/>
    <col min="12553" max="12553" width="14.140625" style="173" customWidth="1"/>
    <col min="12554" max="12554" width="1.7109375" style="173" customWidth="1"/>
    <col min="12555" max="12555" width="13.7109375" style="173" customWidth="1"/>
    <col min="12556" max="12556" width="13.85546875" style="173" bestFit="1" customWidth="1"/>
    <col min="12557" max="12557" width="2.5703125" style="173" customWidth="1"/>
    <col min="12558" max="12558" width="12.42578125" style="173" customWidth="1"/>
    <col min="12559" max="12559" width="13.5703125" style="173" customWidth="1"/>
    <col min="12560" max="12560" width="2.5703125" style="173" customWidth="1"/>
    <col min="12561" max="12561" width="12.42578125" style="173" customWidth="1"/>
    <col min="12562" max="12562" width="13.5703125" style="173" customWidth="1"/>
    <col min="12563" max="12563" width="2.5703125" style="173" customWidth="1"/>
    <col min="12564" max="12564" width="11.5703125" style="173" customWidth="1"/>
    <col min="12565" max="12565" width="13" style="173" customWidth="1"/>
    <col min="12566" max="12566" width="1.42578125" style="173" customWidth="1"/>
    <col min="12567" max="12567" width="10.5703125" style="173" customWidth="1"/>
    <col min="12568" max="12799" width="11" style="173"/>
    <col min="12800" max="12800" width="1.5703125" style="173" customWidth="1"/>
    <col min="12801" max="12801" width="8.5703125" style="173" customWidth="1"/>
    <col min="12802" max="12802" width="28.7109375" style="173" customWidth="1"/>
    <col min="12803" max="12803" width="26.5703125" style="173" customWidth="1"/>
    <col min="12804" max="12804" width="7.7109375" style="173" customWidth="1"/>
    <col min="12805" max="12805" width="19.42578125" style="173" customWidth="1"/>
    <col min="12806" max="12806" width="44.28515625" style="173" customWidth="1"/>
    <col min="12807" max="12807" width="17" style="173" customWidth="1"/>
    <col min="12808" max="12808" width="15.5703125" style="173" customWidth="1"/>
    <col min="12809" max="12809" width="14.140625" style="173" customWidth="1"/>
    <col min="12810" max="12810" width="1.7109375" style="173" customWidth="1"/>
    <col min="12811" max="12811" width="13.7109375" style="173" customWidth="1"/>
    <col min="12812" max="12812" width="13.85546875" style="173" bestFit="1" customWidth="1"/>
    <col min="12813" max="12813" width="2.5703125" style="173" customWidth="1"/>
    <col min="12814" max="12814" width="12.42578125" style="173" customWidth="1"/>
    <col min="12815" max="12815" width="13.5703125" style="173" customWidth="1"/>
    <col min="12816" max="12816" width="2.5703125" style="173" customWidth="1"/>
    <col min="12817" max="12817" width="12.42578125" style="173" customWidth="1"/>
    <col min="12818" max="12818" width="13.5703125" style="173" customWidth="1"/>
    <col min="12819" max="12819" width="2.5703125" style="173" customWidth="1"/>
    <col min="12820" max="12820" width="11.5703125" style="173" customWidth="1"/>
    <col min="12821" max="12821" width="13" style="173" customWidth="1"/>
    <col min="12822" max="12822" width="1.42578125" style="173" customWidth="1"/>
    <col min="12823" max="12823" width="10.5703125" style="173" customWidth="1"/>
    <col min="12824" max="13055" width="11" style="173"/>
    <col min="13056" max="13056" width="1.5703125" style="173" customWidth="1"/>
    <col min="13057" max="13057" width="8.5703125" style="173" customWidth="1"/>
    <col min="13058" max="13058" width="28.7109375" style="173" customWidth="1"/>
    <col min="13059" max="13059" width="26.5703125" style="173" customWidth="1"/>
    <col min="13060" max="13060" width="7.7109375" style="173" customWidth="1"/>
    <col min="13061" max="13061" width="19.42578125" style="173" customWidth="1"/>
    <col min="13062" max="13062" width="44.28515625" style="173" customWidth="1"/>
    <col min="13063" max="13063" width="17" style="173" customWidth="1"/>
    <col min="13064" max="13064" width="15.5703125" style="173" customWidth="1"/>
    <col min="13065" max="13065" width="14.140625" style="173" customWidth="1"/>
    <col min="13066" max="13066" width="1.7109375" style="173" customWidth="1"/>
    <col min="13067" max="13067" width="13.7109375" style="173" customWidth="1"/>
    <col min="13068" max="13068" width="13.85546875" style="173" bestFit="1" customWidth="1"/>
    <col min="13069" max="13069" width="2.5703125" style="173" customWidth="1"/>
    <col min="13070" max="13070" width="12.42578125" style="173" customWidth="1"/>
    <col min="13071" max="13071" width="13.5703125" style="173" customWidth="1"/>
    <col min="13072" max="13072" width="2.5703125" style="173" customWidth="1"/>
    <col min="13073" max="13073" width="12.42578125" style="173" customWidth="1"/>
    <col min="13074" max="13074" width="13.5703125" style="173" customWidth="1"/>
    <col min="13075" max="13075" width="2.5703125" style="173" customWidth="1"/>
    <col min="13076" max="13076" width="11.5703125" style="173" customWidth="1"/>
    <col min="13077" max="13077" width="13" style="173" customWidth="1"/>
    <col min="13078" max="13078" width="1.42578125" style="173" customWidth="1"/>
    <col min="13079" max="13079" width="10.5703125" style="173" customWidth="1"/>
    <col min="13080" max="13311" width="11" style="173"/>
    <col min="13312" max="13312" width="1.5703125" style="173" customWidth="1"/>
    <col min="13313" max="13313" width="8.5703125" style="173" customWidth="1"/>
    <col min="13314" max="13314" width="28.7109375" style="173" customWidth="1"/>
    <col min="13315" max="13315" width="26.5703125" style="173" customWidth="1"/>
    <col min="13316" max="13316" width="7.7109375" style="173" customWidth="1"/>
    <col min="13317" max="13317" width="19.42578125" style="173" customWidth="1"/>
    <col min="13318" max="13318" width="44.28515625" style="173" customWidth="1"/>
    <col min="13319" max="13319" width="17" style="173" customWidth="1"/>
    <col min="13320" max="13320" width="15.5703125" style="173" customWidth="1"/>
    <col min="13321" max="13321" width="14.140625" style="173" customWidth="1"/>
    <col min="13322" max="13322" width="1.7109375" style="173" customWidth="1"/>
    <col min="13323" max="13323" width="13.7109375" style="173" customWidth="1"/>
    <col min="13324" max="13324" width="13.85546875" style="173" bestFit="1" customWidth="1"/>
    <col min="13325" max="13325" width="2.5703125" style="173" customWidth="1"/>
    <col min="13326" max="13326" width="12.42578125" style="173" customWidth="1"/>
    <col min="13327" max="13327" width="13.5703125" style="173" customWidth="1"/>
    <col min="13328" max="13328" width="2.5703125" style="173" customWidth="1"/>
    <col min="13329" max="13329" width="12.42578125" style="173" customWidth="1"/>
    <col min="13330" max="13330" width="13.5703125" style="173" customWidth="1"/>
    <col min="13331" max="13331" width="2.5703125" style="173" customWidth="1"/>
    <col min="13332" max="13332" width="11.5703125" style="173" customWidth="1"/>
    <col min="13333" max="13333" width="13" style="173" customWidth="1"/>
    <col min="13334" max="13334" width="1.42578125" style="173" customWidth="1"/>
    <col min="13335" max="13335" width="10.5703125" style="173" customWidth="1"/>
    <col min="13336" max="13567" width="11" style="173"/>
    <col min="13568" max="13568" width="1.5703125" style="173" customWidth="1"/>
    <col min="13569" max="13569" width="8.5703125" style="173" customWidth="1"/>
    <col min="13570" max="13570" width="28.7109375" style="173" customWidth="1"/>
    <col min="13571" max="13571" width="26.5703125" style="173" customWidth="1"/>
    <col min="13572" max="13572" width="7.7109375" style="173" customWidth="1"/>
    <col min="13573" max="13573" width="19.42578125" style="173" customWidth="1"/>
    <col min="13574" max="13574" width="44.28515625" style="173" customWidth="1"/>
    <col min="13575" max="13575" width="17" style="173" customWidth="1"/>
    <col min="13576" max="13576" width="15.5703125" style="173" customWidth="1"/>
    <col min="13577" max="13577" width="14.140625" style="173" customWidth="1"/>
    <col min="13578" max="13578" width="1.7109375" style="173" customWidth="1"/>
    <col min="13579" max="13579" width="13.7109375" style="173" customWidth="1"/>
    <col min="13580" max="13580" width="13.85546875" style="173" bestFit="1" customWidth="1"/>
    <col min="13581" max="13581" width="2.5703125" style="173" customWidth="1"/>
    <col min="13582" max="13582" width="12.42578125" style="173" customWidth="1"/>
    <col min="13583" max="13583" width="13.5703125" style="173" customWidth="1"/>
    <col min="13584" max="13584" width="2.5703125" style="173" customWidth="1"/>
    <col min="13585" max="13585" width="12.42578125" style="173" customWidth="1"/>
    <col min="13586" max="13586" width="13.5703125" style="173" customWidth="1"/>
    <col min="13587" max="13587" width="2.5703125" style="173" customWidth="1"/>
    <col min="13588" max="13588" width="11.5703125" style="173" customWidth="1"/>
    <col min="13589" max="13589" width="13" style="173" customWidth="1"/>
    <col min="13590" max="13590" width="1.42578125" style="173" customWidth="1"/>
    <col min="13591" max="13591" width="10.5703125" style="173" customWidth="1"/>
    <col min="13592" max="13823" width="11" style="173"/>
    <col min="13824" max="13824" width="1.5703125" style="173" customWidth="1"/>
    <col min="13825" max="13825" width="8.5703125" style="173" customWidth="1"/>
    <col min="13826" max="13826" width="28.7109375" style="173" customWidth="1"/>
    <col min="13827" max="13827" width="26.5703125" style="173" customWidth="1"/>
    <col min="13828" max="13828" width="7.7109375" style="173" customWidth="1"/>
    <col min="13829" max="13829" width="19.42578125" style="173" customWidth="1"/>
    <col min="13830" max="13830" width="44.28515625" style="173" customWidth="1"/>
    <col min="13831" max="13831" width="17" style="173" customWidth="1"/>
    <col min="13832" max="13832" width="15.5703125" style="173" customWidth="1"/>
    <col min="13833" max="13833" width="14.140625" style="173" customWidth="1"/>
    <col min="13834" max="13834" width="1.7109375" style="173" customWidth="1"/>
    <col min="13835" max="13835" width="13.7109375" style="173" customWidth="1"/>
    <col min="13836" max="13836" width="13.85546875" style="173" bestFit="1" customWidth="1"/>
    <col min="13837" max="13837" width="2.5703125" style="173" customWidth="1"/>
    <col min="13838" max="13838" width="12.42578125" style="173" customWidth="1"/>
    <col min="13839" max="13839" width="13.5703125" style="173" customWidth="1"/>
    <col min="13840" max="13840" width="2.5703125" style="173" customWidth="1"/>
    <col min="13841" max="13841" width="12.42578125" style="173" customWidth="1"/>
    <col min="13842" max="13842" width="13.5703125" style="173" customWidth="1"/>
    <col min="13843" max="13843" width="2.5703125" style="173" customWidth="1"/>
    <col min="13844" max="13844" width="11.5703125" style="173" customWidth="1"/>
    <col min="13845" max="13845" width="13" style="173" customWidth="1"/>
    <col min="13846" max="13846" width="1.42578125" style="173" customWidth="1"/>
    <col min="13847" max="13847" width="10.5703125" style="173" customWidth="1"/>
    <col min="13848" max="14079" width="11" style="173"/>
    <col min="14080" max="14080" width="1.5703125" style="173" customWidth="1"/>
    <col min="14081" max="14081" width="8.5703125" style="173" customWidth="1"/>
    <col min="14082" max="14082" width="28.7109375" style="173" customWidth="1"/>
    <col min="14083" max="14083" width="26.5703125" style="173" customWidth="1"/>
    <col min="14084" max="14084" width="7.7109375" style="173" customWidth="1"/>
    <col min="14085" max="14085" width="19.42578125" style="173" customWidth="1"/>
    <col min="14086" max="14086" width="44.28515625" style="173" customWidth="1"/>
    <col min="14087" max="14087" width="17" style="173" customWidth="1"/>
    <col min="14088" max="14088" width="15.5703125" style="173" customWidth="1"/>
    <col min="14089" max="14089" width="14.140625" style="173" customWidth="1"/>
    <col min="14090" max="14090" width="1.7109375" style="173" customWidth="1"/>
    <col min="14091" max="14091" width="13.7109375" style="173" customWidth="1"/>
    <col min="14092" max="14092" width="13.85546875" style="173" bestFit="1" customWidth="1"/>
    <col min="14093" max="14093" width="2.5703125" style="173" customWidth="1"/>
    <col min="14094" max="14094" width="12.42578125" style="173" customWidth="1"/>
    <col min="14095" max="14095" width="13.5703125" style="173" customWidth="1"/>
    <col min="14096" max="14096" width="2.5703125" style="173" customWidth="1"/>
    <col min="14097" max="14097" width="12.42578125" style="173" customWidth="1"/>
    <col min="14098" max="14098" width="13.5703125" style="173" customWidth="1"/>
    <col min="14099" max="14099" width="2.5703125" style="173" customWidth="1"/>
    <col min="14100" max="14100" width="11.5703125" style="173" customWidth="1"/>
    <col min="14101" max="14101" width="13" style="173" customWidth="1"/>
    <col min="14102" max="14102" width="1.42578125" style="173" customWidth="1"/>
    <col min="14103" max="14103" width="10.5703125" style="173" customWidth="1"/>
    <col min="14104" max="14335" width="11" style="173"/>
    <col min="14336" max="14336" width="1.5703125" style="173" customWidth="1"/>
    <col min="14337" max="14337" width="8.5703125" style="173" customWidth="1"/>
    <col min="14338" max="14338" width="28.7109375" style="173" customWidth="1"/>
    <col min="14339" max="14339" width="26.5703125" style="173" customWidth="1"/>
    <col min="14340" max="14340" width="7.7109375" style="173" customWidth="1"/>
    <col min="14341" max="14341" width="19.42578125" style="173" customWidth="1"/>
    <col min="14342" max="14342" width="44.28515625" style="173" customWidth="1"/>
    <col min="14343" max="14343" width="17" style="173" customWidth="1"/>
    <col min="14344" max="14344" width="15.5703125" style="173" customWidth="1"/>
    <col min="14345" max="14345" width="14.140625" style="173" customWidth="1"/>
    <col min="14346" max="14346" width="1.7109375" style="173" customWidth="1"/>
    <col min="14347" max="14347" width="13.7109375" style="173" customWidth="1"/>
    <col min="14348" max="14348" width="13.85546875" style="173" bestFit="1" customWidth="1"/>
    <col min="14349" max="14349" width="2.5703125" style="173" customWidth="1"/>
    <col min="14350" max="14350" width="12.42578125" style="173" customWidth="1"/>
    <col min="14351" max="14351" width="13.5703125" style="173" customWidth="1"/>
    <col min="14352" max="14352" width="2.5703125" style="173" customWidth="1"/>
    <col min="14353" max="14353" width="12.42578125" style="173" customWidth="1"/>
    <col min="14354" max="14354" width="13.5703125" style="173" customWidth="1"/>
    <col min="14355" max="14355" width="2.5703125" style="173" customWidth="1"/>
    <col min="14356" max="14356" width="11.5703125" style="173" customWidth="1"/>
    <col min="14357" max="14357" width="13" style="173" customWidth="1"/>
    <col min="14358" max="14358" width="1.42578125" style="173" customWidth="1"/>
    <col min="14359" max="14359" width="10.5703125" style="173" customWidth="1"/>
    <col min="14360" max="14591" width="11" style="173"/>
    <col min="14592" max="14592" width="1.5703125" style="173" customWidth="1"/>
    <col min="14593" max="14593" width="8.5703125" style="173" customWidth="1"/>
    <col min="14594" max="14594" width="28.7109375" style="173" customWidth="1"/>
    <col min="14595" max="14595" width="26.5703125" style="173" customWidth="1"/>
    <col min="14596" max="14596" width="7.7109375" style="173" customWidth="1"/>
    <col min="14597" max="14597" width="19.42578125" style="173" customWidth="1"/>
    <col min="14598" max="14598" width="44.28515625" style="173" customWidth="1"/>
    <col min="14599" max="14599" width="17" style="173" customWidth="1"/>
    <col min="14600" max="14600" width="15.5703125" style="173" customWidth="1"/>
    <col min="14601" max="14601" width="14.140625" style="173" customWidth="1"/>
    <col min="14602" max="14602" width="1.7109375" style="173" customWidth="1"/>
    <col min="14603" max="14603" width="13.7109375" style="173" customWidth="1"/>
    <col min="14604" max="14604" width="13.85546875" style="173" bestFit="1" customWidth="1"/>
    <col min="14605" max="14605" width="2.5703125" style="173" customWidth="1"/>
    <col min="14606" max="14606" width="12.42578125" style="173" customWidth="1"/>
    <col min="14607" max="14607" width="13.5703125" style="173" customWidth="1"/>
    <col min="14608" max="14608" width="2.5703125" style="173" customWidth="1"/>
    <col min="14609" max="14609" width="12.42578125" style="173" customWidth="1"/>
    <col min="14610" max="14610" width="13.5703125" style="173" customWidth="1"/>
    <col min="14611" max="14611" width="2.5703125" style="173" customWidth="1"/>
    <col min="14612" max="14612" width="11.5703125" style="173" customWidth="1"/>
    <col min="14613" max="14613" width="13" style="173" customWidth="1"/>
    <col min="14614" max="14614" width="1.42578125" style="173" customWidth="1"/>
    <col min="14615" max="14615" width="10.5703125" style="173" customWidth="1"/>
    <col min="14616" max="14847" width="11" style="173"/>
    <col min="14848" max="14848" width="1.5703125" style="173" customWidth="1"/>
    <col min="14849" max="14849" width="8.5703125" style="173" customWidth="1"/>
    <col min="14850" max="14850" width="28.7109375" style="173" customWidth="1"/>
    <col min="14851" max="14851" width="26.5703125" style="173" customWidth="1"/>
    <col min="14852" max="14852" width="7.7109375" style="173" customWidth="1"/>
    <col min="14853" max="14853" width="19.42578125" style="173" customWidth="1"/>
    <col min="14854" max="14854" width="44.28515625" style="173" customWidth="1"/>
    <col min="14855" max="14855" width="17" style="173" customWidth="1"/>
    <col min="14856" max="14856" width="15.5703125" style="173" customWidth="1"/>
    <col min="14857" max="14857" width="14.140625" style="173" customWidth="1"/>
    <col min="14858" max="14858" width="1.7109375" style="173" customWidth="1"/>
    <col min="14859" max="14859" width="13.7109375" style="173" customWidth="1"/>
    <col min="14860" max="14860" width="13.85546875" style="173" bestFit="1" customWidth="1"/>
    <col min="14861" max="14861" width="2.5703125" style="173" customWidth="1"/>
    <col min="14862" max="14862" width="12.42578125" style="173" customWidth="1"/>
    <col min="14863" max="14863" width="13.5703125" style="173" customWidth="1"/>
    <col min="14864" max="14864" width="2.5703125" style="173" customWidth="1"/>
    <col min="14865" max="14865" width="12.42578125" style="173" customWidth="1"/>
    <col min="14866" max="14866" width="13.5703125" style="173" customWidth="1"/>
    <col min="14867" max="14867" width="2.5703125" style="173" customWidth="1"/>
    <col min="14868" max="14868" width="11.5703125" style="173" customWidth="1"/>
    <col min="14869" max="14869" width="13" style="173" customWidth="1"/>
    <col min="14870" max="14870" width="1.42578125" style="173" customWidth="1"/>
    <col min="14871" max="14871" width="10.5703125" style="173" customWidth="1"/>
    <col min="14872" max="15103" width="11" style="173"/>
    <col min="15104" max="15104" width="1.5703125" style="173" customWidth="1"/>
    <col min="15105" max="15105" width="8.5703125" style="173" customWidth="1"/>
    <col min="15106" max="15106" width="28.7109375" style="173" customWidth="1"/>
    <col min="15107" max="15107" width="26.5703125" style="173" customWidth="1"/>
    <col min="15108" max="15108" width="7.7109375" style="173" customWidth="1"/>
    <col min="15109" max="15109" width="19.42578125" style="173" customWidth="1"/>
    <col min="15110" max="15110" width="44.28515625" style="173" customWidth="1"/>
    <col min="15111" max="15111" width="17" style="173" customWidth="1"/>
    <col min="15112" max="15112" width="15.5703125" style="173" customWidth="1"/>
    <col min="15113" max="15113" width="14.140625" style="173" customWidth="1"/>
    <col min="15114" max="15114" width="1.7109375" style="173" customWidth="1"/>
    <col min="15115" max="15115" width="13.7109375" style="173" customWidth="1"/>
    <col min="15116" max="15116" width="13.85546875" style="173" bestFit="1" customWidth="1"/>
    <col min="15117" max="15117" width="2.5703125" style="173" customWidth="1"/>
    <col min="15118" max="15118" width="12.42578125" style="173" customWidth="1"/>
    <col min="15119" max="15119" width="13.5703125" style="173" customWidth="1"/>
    <col min="15120" max="15120" width="2.5703125" style="173" customWidth="1"/>
    <col min="15121" max="15121" width="12.42578125" style="173" customWidth="1"/>
    <col min="15122" max="15122" width="13.5703125" style="173" customWidth="1"/>
    <col min="15123" max="15123" width="2.5703125" style="173" customWidth="1"/>
    <col min="15124" max="15124" width="11.5703125" style="173" customWidth="1"/>
    <col min="15125" max="15125" width="13" style="173" customWidth="1"/>
    <col min="15126" max="15126" width="1.42578125" style="173" customWidth="1"/>
    <col min="15127" max="15127" width="10.5703125" style="173" customWidth="1"/>
    <col min="15128" max="15359" width="11" style="173"/>
    <col min="15360" max="15360" width="1.5703125" style="173" customWidth="1"/>
    <col min="15361" max="15361" width="8.5703125" style="173" customWidth="1"/>
    <col min="15362" max="15362" width="28.7109375" style="173" customWidth="1"/>
    <col min="15363" max="15363" width="26.5703125" style="173" customWidth="1"/>
    <col min="15364" max="15364" width="7.7109375" style="173" customWidth="1"/>
    <col min="15365" max="15365" width="19.42578125" style="173" customWidth="1"/>
    <col min="15366" max="15366" width="44.28515625" style="173" customWidth="1"/>
    <col min="15367" max="15367" width="17" style="173" customWidth="1"/>
    <col min="15368" max="15368" width="15.5703125" style="173" customWidth="1"/>
    <col min="15369" max="15369" width="14.140625" style="173" customWidth="1"/>
    <col min="15370" max="15370" width="1.7109375" style="173" customWidth="1"/>
    <col min="15371" max="15371" width="13.7109375" style="173" customWidth="1"/>
    <col min="15372" max="15372" width="13.85546875" style="173" bestFit="1" customWidth="1"/>
    <col min="15373" max="15373" width="2.5703125" style="173" customWidth="1"/>
    <col min="15374" max="15374" width="12.42578125" style="173" customWidth="1"/>
    <col min="15375" max="15375" width="13.5703125" style="173" customWidth="1"/>
    <col min="15376" max="15376" width="2.5703125" style="173" customWidth="1"/>
    <col min="15377" max="15377" width="12.42578125" style="173" customWidth="1"/>
    <col min="15378" max="15378" width="13.5703125" style="173" customWidth="1"/>
    <col min="15379" max="15379" width="2.5703125" style="173" customWidth="1"/>
    <col min="15380" max="15380" width="11.5703125" style="173" customWidth="1"/>
    <col min="15381" max="15381" width="13" style="173" customWidth="1"/>
    <col min="15382" max="15382" width="1.42578125" style="173" customWidth="1"/>
    <col min="15383" max="15383" width="10.5703125" style="173" customWidth="1"/>
    <col min="15384" max="15615" width="11" style="173"/>
    <col min="15616" max="15616" width="1.5703125" style="173" customWidth="1"/>
    <col min="15617" max="15617" width="8.5703125" style="173" customWidth="1"/>
    <col min="15618" max="15618" width="28.7109375" style="173" customWidth="1"/>
    <col min="15619" max="15619" width="26.5703125" style="173" customWidth="1"/>
    <col min="15620" max="15620" width="7.7109375" style="173" customWidth="1"/>
    <col min="15621" max="15621" width="19.42578125" style="173" customWidth="1"/>
    <col min="15622" max="15622" width="44.28515625" style="173" customWidth="1"/>
    <col min="15623" max="15623" width="17" style="173" customWidth="1"/>
    <col min="15624" max="15624" width="15.5703125" style="173" customWidth="1"/>
    <col min="15625" max="15625" width="14.140625" style="173" customWidth="1"/>
    <col min="15626" max="15626" width="1.7109375" style="173" customWidth="1"/>
    <col min="15627" max="15627" width="13.7109375" style="173" customWidth="1"/>
    <col min="15628" max="15628" width="13.85546875" style="173" bestFit="1" customWidth="1"/>
    <col min="15629" max="15629" width="2.5703125" style="173" customWidth="1"/>
    <col min="15630" max="15630" width="12.42578125" style="173" customWidth="1"/>
    <col min="15631" max="15631" width="13.5703125" style="173" customWidth="1"/>
    <col min="15632" max="15632" width="2.5703125" style="173" customWidth="1"/>
    <col min="15633" max="15633" width="12.42578125" style="173" customWidth="1"/>
    <col min="15634" max="15634" width="13.5703125" style="173" customWidth="1"/>
    <col min="15635" max="15635" width="2.5703125" style="173" customWidth="1"/>
    <col min="15636" max="15636" width="11.5703125" style="173" customWidth="1"/>
    <col min="15637" max="15637" width="13" style="173" customWidth="1"/>
    <col min="15638" max="15638" width="1.42578125" style="173" customWidth="1"/>
    <col min="15639" max="15639" width="10.5703125" style="173" customWidth="1"/>
    <col min="15640" max="15871" width="11" style="173"/>
    <col min="15872" max="15872" width="1.5703125" style="173" customWidth="1"/>
    <col min="15873" max="15873" width="8.5703125" style="173" customWidth="1"/>
    <col min="15874" max="15874" width="28.7109375" style="173" customWidth="1"/>
    <col min="15875" max="15875" width="26.5703125" style="173" customWidth="1"/>
    <col min="15876" max="15876" width="7.7109375" style="173" customWidth="1"/>
    <col min="15877" max="15877" width="19.42578125" style="173" customWidth="1"/>
    <col min="15878" max="15878" width="44.28515625" style="173" customWidth="1"/>
    <col min="15879" max="15879" width="17" style="173" customWidth="1"/>
    <col min="15880" max="15880" width="15.5703125" style="173" customWidth="1"/>
    <col min="15881" max="15881" width="14.140625" style="173" customWidth="1"/>
    <col min="15882" max="15882" width="1.7109375" style="173" customWidth="1"/>
    <col min="15883" max="15883" width="13.7109375" style="173" customWidth="1"/>
    <col min="15884" max="15884" width="13.85546875" style="173" bestFit="1" customWidth="1"/>
    <col min="15885" max="15885" width="2.5703125" style="173" customWidth="1"/>
    <col min="15886" max="15886" width="12.42578125" style="173" customWidth="1"/>
    <col min="15887" max="15887" width="13.5703125" style="173" customWidth="1"/>
    <col min="15888" max="15888" width="2.5703125" style="173" customWidth="1"/>
    <col min="15889" max="15889" width="12.42578125" style="173" customWidth="1"/>
    <col min="15890" max="15890" width="13.5703125" style="173" customWidth="1"/>
    <col min="15891" max="15891" width="2.5703125" style="173" customWidth="1"/>
    <col min="15892" max="15892" width="11.5703125" style="173" customWidth="1"/>
    <col min="15893" max="15893" width="13" style="173" customWidth="1"/>
    <col min="15894" max="15894" width="1.42578125" style="173" customWidth="1"/>
    <col min="15895" max="15895" width="10.5703125" style="173" customWidth="1"/>
    <col min="15896" max="16127" width="11" style="173"/>
    <col min="16128" max="16128" width="1.5703125" style="173" customWidth="1"/>
    <col min="16129" max="16129" width="8.5703125" style="173" customWidth="1"/>
    <col min="16130" max="16130" width="28.7109375" style="173" customWidth="1"/>
    <col min="16131" max="16131" width="26.5703125" style="173" customWidth="1"/>
    <col min="16132" max="16132" width="7.7109375" style="173" customWidth="1"/>
    <col min="16133" max="16133" width="19.42578125" style="173" customWidth="1"/>
    <col min="16134" max="16134" width="44.28515625" style="173" customWidth="1"/>
    <col min="16135" max="16135" width="17" style="173" customWidth="1"/>
    <col min="16136" max="16136" width="15.5703125" style="173" customWidth="1"/>
    <col min="16137" max="16137" width="14.140625" style="173" customWidth="1"/>
    <col min="16138" max="16138" width="1.7109375" style="173" customWidth="1"/>
    <col min="16139" max="16139" width="13.7109375" style="173" customWidth="1"/>
    <col min="16140" max="16140" width="13.85546875" style="173" bestFit="1" customWidth="1"/>
    <col min="16141" max="16141" width="2.5703125" style="173" customWidth="1"/>
    <col min="16142" max="16142" width="12.42578125" style="173" customWidth="1"/>
    <col min="16143" max="16143" width="13.5703125" style="173" customWidth="1"/>
    <col min="16144" max="16144" width="2.5703125" style="173" customWidth="1"/>
    <col min="16145" max="16145" width="12.42578125" style="173" customWidth="1"/>
    <col min="16146" max="16146" width="13.5703125" style="173" customWidth="1"/>
    <col min="16147" max="16147" width="2.5703125" style="173" customWidth="1"/>
    <col min="16148" max="16148" width="11.5703125" style="173" customWidth="1"/>
    <col min="16149" max="16149" width="13" style="173" customWidth="1"/>
    <col min="16150" max="16150" width="1.42578125" style="173" customWidth="1"/>
    <col min="16151" max="16151" width="10.5703125" style="173" customWidth="1"/>
    <col min="16152" max="16384" width="11" style="173"/>
  </cols>
  <sheetData>
    <row r="1" spans="2:23" s="8" customFormat="1" ht="24.75" customHeight="1" x14ac:dyDescent="0.2">
      <c r="B1" s="1099"/>
      <c r="C1" s="1100"/>
      <c r="D1" s="1376" t="s">
        <v>246</v>
      </c>
      <c r="E1" s="1377"/>
      <c r="F1" s="1377" t="s">
        <v>247</v>
      </c>
      <c r="G1" s="1377"/>
      <c r="H1" s="1377"/>
      <c r="I1" s="1377"/>
      <c r="J1" s="1377"/>
      <c r="K1" s="1377"/>
      <c r="L1" s="1377"/>
      <c r="M1" s="1377"/>
      <c r="N1" s="1377"/>
      <c r="O1" s="1377"/>
      <c r="P1" s="1378"/>
      <c r="Q1" s="1375"/>
      <c r="R1" s="1377"/>
      <c r="S1" s="1377"/>
      <c r="T1" s="1377"/>
      <c r="U1" s="1377"/>
      <c r="V1" s="1377"/>
      <c r="W1" s="1379"/>
    </row>
    <row r="2" spans="2:23" s="8" customFormat="1" ht="26.25" customHeight="1" x14ac:dyDescent="0.2">
      <c r="B2" s="1101"/>
      <c r="C2" s="1102"/>
      <c r="D2" s="1381" t="s">
        <v>248</v>
      </c>
      <c r="E2" s="1382"/>
      <c r="F2" s="1382" t="s">
        <v>209</v>
      </c>
      <c r="G2" s="1382"/>
      <c r="H2" s="1382"/>
      <c r="I2" s="1382"/>
      <c r="J2" s="1382"/>
      <c r="K2" s="1382"/>
      <c r="L2" s="1382"/>
      <c r="M2" s="1382"/>
      <c r="N2" s="1382"/>
      <c r="O2" s="1382"/>
      <c r="P2" s="1383"/>
      <c r="Q2" s="1380"/>
      <c r="R2" s="1382"/>
      <c r="S2" s="1382"/>
      <c r="T2" s="1382"/>
      <c r="U2" s="1382"/>
      <c r="V2" s="1382"/>
      <c r="W2" s="1384"/>
    </row>
    <row r="3" spans="2:23" s="8" customFormat="1" ht="30.75" customHeight="1" thickBot="1" x14ac:dyDescent="0.25">
      <c r="B3" s="1103"/>
      <c r="C3" s="1104"/>
      <c r="D3" s="1386" t="s">
        <v>242</v>
      </c>
      <c r="E3" s="1387"/>
      <c r="F3" s="325" t="s">
        <v>251</v>
      </c>
      <c r="G3" s="1504" t="s">
        <v>252</v>
      </c>
      <c r="H3" s="1504"/>
      <c r="I3" s="1504"/>
      <c r="J3" s="1504"/>
      <c r="K3" s="1504"/>
      <c r="L3" s="1504"/>
      <c r="M3" s="1504"/>
      <c r="N3" s="1388" t="s">
        <v>249</v>
      </c>
      <c r="O3" s="1386"/>
      <c r="P3" s="326">
        <v>1</v>
      </c>
      <c r="Q3" s="1385"/>
      <c r="R3" s="1387"/>
      <c r="S3" s="1387"/>
      <c r="T3" s="1387"/>
      <c r="U3" s="1387"/>
      <c r="V3" s="1387"/>
      <c r="W3" s="1389"/>
    </row>
    <row r="4" spans="2:23" ht="18.75" thickBot="1" x14ac:dyDescent="0.25">
      <c r="B4" s="286"/>
      <c r="C4" s="286"/>
      <c r="D4" s="286"/>
      <c r="E4" s="286"/>
      <c r="F4" s="286"/>
      <c r="G4" s="286"/>
      <c r="H4" s="286"/>
      <c r="I4" s="286"/>
      <c r="J4" s="286"/>
      <c r="K4" s="286"/>
      <c r="L4" s="286"/>
      <c r="M4" s="286"/>
      <c r="N4" s="286"/>
      <c r="O4" s="286"/>
      <c r="P4" s="286"/>
      <c r="Q4" s="286"/>
      <c r="R4" s="286"/>
      <c r="S4" s="286"/>
      <c r="T4" s="286"/>
      <c r="U4" s="286"/>
      <c r="V4" s="286"/>
      <c r="W4" s="286"/>
    </row>
    <row r="5" spans="2:23" ht="18.75" customHeight="1" thickBot="1" x14ac:dyDescent="0.25">
      <c r="B5" s="1399" t="s">
        <v>1169</v>
      </c>
      <c r="C5" s="1400"/>
      <c r="D5" s="1399" t="s">
        <v>1168</v>
      </c>
      <c r="E5" s="1400"/>
      <c r="W5" s="194"/>
    </row>
    <row r="6" spans="2:23" ht="18.75" customHeight="1" x14ac:dyDescent="0.2">
      <c r="B6" s="285" t="s">
        <v>180</v>
      </c>
      <c r="C6" s="284" t="s">
        <v>181</v>
      </c>
      <c r="D6" s="285" t="s">
        <v>180</v>
      </c>
      <c r="E6" s="284" t="s">
        <v>181</v>
      </c>
      <c r="W6" s="194"/>
    </row>
    <row r="7" spans="2:23" ht="18.75" customHeight="1" x14ac:dyDescent="0.2">
      <c r="B7" s="283" t="s">
        <v>196</v>
      </c>
      <c r="C7" s="277" t="s">
        <v>198</v>
      </c>
      <c r="D7" s="283" t="s">
        <v>1167</v>
      </c>
      <c r="E7" s="277" t="s">
        <v>198</v>
      </c>
      <c r="F7" s="180"/>
      <c r="G7" s="276"/>
      <c r="I7" s="275"/>
      <c r="W7" s="194"/>
    </row>
    <row r="8" spans="2:23" ht="25.5" x14ac:dyDescent="0.2">
      <c r="B8" s="282" t="s">
        <v>197</v>
      </c>
      <c r="C8" s="277" t="s">
        <v>182</v>
      </c>
      <c r="D8" s="282" t="s">
        <v>1203</v>
      </c>
      <c r="E8" s="277" t="s">
        <v>182</v>
      </c>
      <c r="G8" s="276"/>
      <c r="H8" s="281"/>
      <c r="I8" s="275"/>
      <c r="W8" s="280"/>
    </row>
    <row r="9" spans="2:23" ht="25.5" x14ac:dyDescent="0.2">
      <c r="B9" s="279" t="s">
        <v>194</v>
      </c>
      <c r="C9" s="277" t="s">
        <v>183</v>
      </c>
      <c r="D9" s="279" t="s">
        <v>1204</v>
      </c>
      <c r="E9" s="277" t="s">
        <v>183</v>
      </c>
      <c r="G9" s="276"/>
      <c r="H9" s="276"/>
      <c r="I9" s="275"/>
      <c r="W9" s="270"/>
    </row>
    <row r="10" spans="2:23" ht="15" x14ac:dyDescent="0.2">
      <c r="B10" s="278" t="s">
        <v>195</v>
      </c>
      <c r="C10" s="277" t="s">
        <v>184</v>
      </c>
      <c r="D10" s="278" t="s">
        <v>1162</v>
      </c>
      <c r="E10" s="277" t="s">
        <v>184</v>
      </c>
      <c r="G10" s="276"/>
      <c r="I10" s="275"/>
      <c r="W10" s="270"/>
    </row>
    <row r="11" spans="2:23" ht="15.75" thickBot="1" x14ac:dyDescent="0.25">
      <c r="B11" s="274" t="s">
        <v>185</v>
      </c>
      <c r="C11" s="272" t="s">
        <v>186</v>
      </c>
      <c r="D11" s="273" t="s">
        <v>1161</v>
      </c>
      <c r="E11" s="272" t="s">
        <v>186</v>
      </c>
      <c r="W11" s="270"/>
    </row>
    <row r="12" spans="2:23" ht="15" x14ac:dyDescent="0.2">
      <c r="D12" s="271"/>
      <c r="E12" s="271"/>
      <c r="F12" s="271"/>
      <c r="W12" s="270"/>
    </row>
    <row r="13" spans="2:23" ht="19.5" x14ac:dyDescent="0.25">
      <c r="F13" s="182"/>
      <c r="I13" s="434"/>
      <c r="J13" s="434"/>
    </row>
    <row r="14" spans="2:23" ht="19.5" x14ac:dyDescent="0.25">
      <c r="B14" s="1503" t="s">
        <v>1205</v>
      </c>
      <c r="C14" s="1503"/>
      <c r="E14" s="1503" t="s">
        <v>1206</v>
      </c>
      <c r="F14" s="1503"/>
      <c r="I14" s="1503" t="s">
        <v>1207</v>
      </c>
      <c r="J14" s="1503"/>
      <c r="M14" s="1503" t="s">
        <v>1208</v>
      </c>
      <c r="N14" s="1503"/>
    </row>
    <row r="15" spans="2:23" ht="19.5" x14ac:dyDescent="0.25">
      <c r="B15" s="435"/>
      <c r="C15" s="435"/>
      <c r="E15" s="179"/>
      <c r="I15" s="179"/>
      <c r="M15" s="179"/>
    </row>
    <row r="16" spans="2:23" ht="19.5" x14ac:dyDescent="0.25">
      <c r="B16" s="436" t="s">
        <v>1209</v>
      </c>
      <c r="C16" s="179"/>
      <c r="D16" s="434"/>
      <c r="E16" s="436" t="s">
        <v>1209</v>
      </c>
      <c r="G16" s="173"/>
      <c r="H16" s="173"/>
      <c r="I16" s="436" t="s">
        <v>1209</v>
      </c>
      <c r="K16" s="173"/>
      <c r="M16" s="436" t="s">
        <v>1209</v>
      </c>
      <c r="O16" s="173"/>
      <c r="S16" s="173"/>
    </row>
    <row r="17" spans="2:19" ht="19.5" x14ac:dyDescent="0.25">
      <c r="B17" s="437" t="s">
        <v>1210</v>
      </c>
      <c r="C17" s="438">
        <f>+'[12]Plan de Accion 2018'!AC328</f>
        <v>17235928559.849998</v>
      </c>
      <c r="D17" s="434"/>
      <c r="E17" s="437" t="s">
        <v>1210</v>
      </c>
      <c r="F17" s="438">
        <v>35922847995.809998</v>
      </c>
      <c r="G17" s="173"/>
      <c r="H17" s="173"/>
      <c r="I17" s="437" t="s">
        <v>1210</v>
      </c>
      <c r="J17" s="438">
        <v>56279035497.190002</v>
      </c>
      <c r="K17" s="173"/>
      <c r="L17" s="439"/>
      <c r="M17" s="437" t="s">
        <v>1210</v>
      </c>
      <c r="N17" s="438">
        <f>56279035497.19+13953713987.76</f>
        <v>70232749484.949997</v>
      </c>
      <c r="O17" s="173"/>
      <c r="S17" s="173"/>
    </row>
    <row r="18" spans="2:19" ht="20.25" thickBot="1" x14ac:dyDescent="0.3">
      <c r="B18" s="437" t="s">
        <v>1211</v>
      </c>
      <c r="C18" s="440">
        <f>+'[12]Plan de Accion 2018'!L327</f>
        <v>123940944854</v>
      </c>
      <c r="D18" s="434"/>
      <c r="E18" s="437" t="s">
        <v>1211</v>
      </c>
      <c r="F18" s="440">
        <v>123940944854</v>
      </c>
      <c r="G18" s="173"/>
      <c r="H18" s="176"/>
      <c r="I18" s="437" t="s">
        <v>1211</v>
      </c>
      <c r="J18" s="440">
        <v>123940944854.60999</v>
      </c>
      <c r="K18" s="173"/>
      <c r="M18" s="437" t="s">
        <v>1211</v>
      </c>
      <c r="N18" s="440">
        <v>107533582066.44</v>
      </c>
      <c r="O18" s="173"/>
      <c r="P18" s="441"/>
    </row>
    <row r="19" spans="2:19" ht="20.25" thickBot="1" x14ac:dyDescent="0.3">
      <c r="C19" s="442">
        <f>+C17/C18</f>
        <v>0.13906565405123855</v>
      </c>
      <c r="D19" s="434"/>
      <c r="F19" s="442">
        <f>+F17/F18</f>
        <v>0.28983842295317669</v>
      </c>
      <c r="G19" s="173"/>
      <c r="H19" s="176"/>
      <c r="J19" s="442">
        <f>+J17/J18</f>
        <v>0.45407944536172951</v>
      </c>
      <c r="K19" s="173"/>
      <c r="N19" s="442">
        <f>+N17/N18</f>
        <v>0.65312387195989108</v>
      </c>
      <c r="O19" s="173"/>
    </row>
    <row r="20" spans="2:19" ht="19.5" x14ac:dyDescent="0.25">
      <c r="C20" s="443"/>
      <c r="D20" s="434"/>
      <c r="F20" s="443"/>
      <c r="G20" s="173"/>
      <c r="H20" s="176"/>
      <c r="J20" s="443"/>
      <c r="K20" s="173"/>
      <c r="N20" s="443"/>
      <c r="O20" s="173"/>
    </row>
    <row r="21" spans="2:19" ht="18" x14ac:dyDescent="0.25">
      <c r="B21" s="436" t="s">
        <v>1212</v>
      </c>
      <c r="E21" s="436" t="s">
        <v>1212</v>
      </c>
      <c r="G21" s="173"/>
      <c r="H21" s="176"/>
      <c r="I21" s="436" t="s">
        <v>1212</v>
      </c>
      <c r="K21" s="173"/>
      <c r="M21" s="436" t="s">
        <v>1212</v>
      </c>
      <c r="O21" s="173"/>
    </row>
    <row r="22" spans="2:19" ht="19.5" x14ac:dyDescent="0.25">
      <c r="B22" s="437" t="s">
        <v>1210</v>
      </c>
      <c r="C22" s="438">
        <f>+'[12]Plan de Accion 2018'!AC327</f>
        <v>10741284867605.9</v>
      </c>
      <c r="D22" s="434"/>
      <c r="E22" s="437" t="s">
        <v>1210</v>
      </c>
      <c r="F22" s="438">
        <v>22444626965916.301</v>
      </c>
      <c r="G22" s="173"/>
      <c r="H22" s="176"/>
      <c r="I22" s="437" t="s">
        <v>1210</v>
      </c>
      <c r="J22" s="438">
        <v>34067125570443.301</v>
      </c>
      <c r="K22" s="173"/>
      <c r="M22" s="437" t="s">
        <v>1210</v>
      </c>
      <c r="N22" s="438">
        <f>34067125570443.3+12001295503907</f>
        <v>46068421074350.297</v>
      </c>
      <c r="O22" s="173"/>
    </row>
    <row r="23" spans="2:19" ht="20.25" thickBot="1" x14ac:dyDescent="0.3">
      <c r="B23" s="437" t="s">
        <v>1211</v>
      </c>
      <c r="C23" s="440">
        <f>+'[12]Plan de Accion 2018'!L326</f>
        <v>42726949922000</v>
      </c>
      <c r="D23" s="434"/>
      <c r="E23" s="437" t="s">
        <v>1211</v>
      </c>
      <c r="F23" s="440">
        <v>43128604240962.609</v>
      </c>
      <c r="G23" s="173"/>
      <c r="H23" s="176"/>
      <c r="I23" s="437" t="s">
        <v>1211</v>
      </c>
      <c r="J23" s="438">
        <v>44440604240962</v>
      </c>
      <c r="K23" s="173"/>
      <c r="M23" s="437" t="s">
        <v>1211</v>
      </c>
      <c r="N23" s="438">
        <v>46648156240962</v>
      </c>
      <c r="O23" s="173"/>
    </row>
    <row r="24" spans="2:19" ht="20.25" thickBot="1" x14ac:dyDescent="0.3">
      <c r="C24" s="444">
        <f>+C22/C23</f>
        <v>0.25139367278063629</v>
      </c>
      <c r="D24" s="434"/>
      <c r="F24" s="444">
        <f>+F22/F23</f>
        <v>0.5204116238150569</v>
      </c>
      <c r="G24" s="173"/>
      <c r="H24" s="176"/>
      <c r="J24" s="444">
        <f>+J22/J23</f>
        <v>0.76657656105950944</v>
      </c>
      <c r="K24" s="173"/>
      <c r="N24" s="444">
        <f>+N22/N23</f>
        <v>0.98757217405084419</v>
      </c>
      <c r="O24" s="173"/>
    </row>
    <row r="25" spans="2:19" ht="19.5" x14ac:dyDescent="0.25">
      <c r="C25" s="445"/>
      <c r="D25" s="434"/>
      <c r="F25" s="445"/>
      <c r="G25" s="173"/>
      <c r="H25" s="176"/>
      <c r="J25" s="445"/>
      <c r="K25" s="173"/>
      <c r="N25" s="445"/>
      <c r="O25" s="173"/>
    </row>
    <row r="26" spans="2:19" ht="18" x14ac:dyDescent="0.25">
      <c r="B26" s="436" t="s">
        <v>1213</v>
      </c>
      <c r="E26" s="436" t="s">
        <v>1213</v>
      </c>
      <c r="G26" s="173"/>
      <c r="H26" s="176"/>
      <c r="I26" s="436" t="s">
        <v>1213</v>
      </c>
      <c r="K26" s="173"/>
      <c r="M26" s="436" t="s">
        <v>1213</v>
      </c>
      <c r="O26" s="173"/>
    </row>
    <row r="27" spans="2:19" ht="18" x14ac:dyDescent="0.25">
      <c r="B27" s="437" t="s">
        <v>1210</v>
      </c>
      <c r="C27" s="438">
        <f>+C17+C22</f>
        <v>10758520796165.75</v>
      </c>
      <c r="E27" s="437" t="s">
        <v>1210</v>
      </c>
      <c r="F27" s="438">
        <v>22480549813912.109</v>
      </c>
      <c r="G27" s="173"/>
      <c r="H27" s="176"/>
      <c r="I27" s="437" t="s">
        <v>1210</v>
      </c>
      <c r="J27" s="438">
        <f>+J17+J22</f>
        <v>34123404605940.492</v>
      </c>
      <c r="K27" s="173"/>
      <c r="M27" s="437" t="s">
        <v>1210</v>
      </c>
      <c r="N27" s="438">
        <f>+N17+N22</f>
        <v>46138653823835.25</v>
      </c>
      <c r="O27" s="173"/>
    </row>
    <row r="28" spans="2:19" ht="18.75" thickBot="1" x14ac:dyDescent="0.3">
      <c r="B28" s="437" t="s">
        <v>1211</v>
      </c>
      <c r="C28" s="440">
        <f>+C18+C23</f>
        <v>42850890866854</v>
      </c>
      <c r="E28" s="437" t="s">
        <v>1211</v>
      </c>
      <c r="F28" s="440">
        <v>43252545185816.609</v>
      </c>
      <c r="G28" s="173"/>
      <c r="H28" s="176"/>
      <c r="I28" s="437" t="s">
        <v>1211</v>
      </c>
      <c r="J28" s="440">
        <f>+J18+J23</f>
        <v>44564545185816.609</v>
      </c>
      <c r="K28" s="173"/>
      <c r="M28" s="437" t="s">
        <v>1211</v>
      </c>
      <c r="N28" s="440">
        <f>+N18+N23</f>
        <v>46755689823028.438</v>
      </c>
      <c r="O28" s="173"/>
    </row>
    <row r="29" spans="2:19" ht="20.25" thickBot="1" x14ac:dyDescent="0.3">
      <c r="C29" s="444">
        <f>+C27/C28</f>
        <v>0.25106877776694431</v>
      </c>
      <c r="F29" s="444">
        <f>+F27/F28</f>
        <v>0.51975091216791425</v>
      </c>
      <c r="G29" s="173"/>
      <c r="H29" s="176"/>
      <c r="J29" s="444">
        <f>+J27/J28</f>
        <v>0.76570745788292749</v>
      </c>
      <c r="K29" s="173"/>
      <c r="N29" s="444">
        <f>+N27/N28</f>
        <v>0.9868029751773808</v>
      </c>
      <c r="O29" s="173"/>
    </row>
    <row r="30" spans="2:19" x14ac:dyDescent="0.2">
      <c r="F30" s="177"/>
      <c r="H30" s="173"/>
    </row>
  </sheetData>
  <mergeCells count="15">
    <mergeCell ref="M14:N14"/>
    <mergeCell ref="B1:C3"/>
    <mergeCell ref="D1:E1"/>
    <mergeCell ref="F1:P1"/>
    <mergeCell ref="Q1:W3"/>
    <mergeCell ref="D2:E2"/>
    <mergeCell ref="F2:P2"/>
    <mergeCell ref="D3:E3"/>
    <mergeCell ref="G3:M3"/>
    <mergeCell ref="N3:O3"/>
    <mergeCell ref="B5:C5"/>
    <mergeCell ref="D5:E5"/>
    <mergeCell ref="B14:C14"/>
    <mergeCell ref="E14:F14"/>
    <mergeCell ref="I14:J1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83"/>
  <sheetViews>
    <sheetView topLeftCell="N4" workbookViewId="0">
      <selection activeCell="N34" sqref="N34"/>
    </sheetView>
  </sheetViews>
  <sheetFormatPr baseColWidth="10" defaultRowHeight="15" x14ac:dyDescent="0.25"/>
  <cols>
    <col min="1" max="1" width="16.5703125" bestFit="1" customWidth="1"/>
    <col min="2" max="2" width="65.42578125" bestFit="1" customWidth="1"/>
    <col min="3" max="3" width="5.140625" customWidth="1"/>
    <col min="4" max="4" width="43.42578125" customWidth="1"/>
    <col min="5" max="5" width="5.140625" customWidth="1"/>
    <col min="6" max="6" width="30.28515625" customWidth="1"/>
    <col min="7" max="7" width="4.5703125" customWidth="1"/>
    <col min="8" max="8" width="34.5703125" customWidth="1"/>
    <col min="9" max="9" width="4.85546875" customWidth="1"/>
    <col min="10" max="10" width="38.42578125" customWidth="1"/>
    <col min="11" max="11" width="5.5703125" customWidth="1"/>
    <col min="12" max="12" width="38.42578125" customWidth="1"/>
    <col min="13" max="13" width="5" customWidth="1"/>
    <col min="14" max="14" width="37.140625" customWidth="1"/>
    <col min="15" max="15" width="4.28515625" customWidth="1"/>
    <col min="16" max="16" width="15.7109375" customWidth="1"/>
    <col min="17" max="17" width="5.28515625" customWidth="1"/>
    <col min="18" max="18" width="45.7109375" customWidth="1"/>
    <col min="19" max="19" width="56" bestFit="1" customWidth="1"/>
    <col min="20" max="20" width="4.5703125" customWidth="1"/>
    <col min="21" max="21" width="57.28515625" customWidth="1"/>
    <col min="22" max="22" width="4.5703125" customWidth="1"/>
    <col min="23" max="23" width="19.85546875" customWidth="1"/>
    <col min="24" max="24" width="39.28515625" customWidth="1"/>
  </cols>
  <sheetData>
    <row r="1" spans="1:25" x14ac:dyDescent="0.25">
      <c r="A1" s="1511" t="s">
        <v>259</v>
      </c>
      <c r="B1" s="1511"/>
      <c r="F1" t="s">
        <v>260</v>
      </c>
      <c r="H1" t="s">
        <v>261</v>
      </c>
      <c r="J1" s="3" t="s">
        <v>262</v>
      </c>
      <c r="L1" s="3" t="s">
        <v>263</v>
      </c>
      <c r="N1" t="s">
        <v>264</v>
      </c>
      <c r="P1" t="s">
        <v>265</v>
      </c>
      <c r="S1" t="s">
        <v>266</v>
      </c>
      <c r="U1" t="s">
        <v>267</v>
      </c>
    </row>
    <row r="2" spans="1:25" s="29" customFormat="1" x14ac:dyDescent="0.25">
      <c r="A2" s="28" t="s">
        <v>268</v>
      </c>
      <c r="B2" s="28" t="s">
        <v>269</v>
      </c>
      <c r="D2" s="28" t="s">
        <v>56</v>
      </c>
      <c r="F2" s="30" t="s">
        <v>270</v>
      </c>
      <c r="H2" s="30" t="s">
        <v>271</v>
      </c>
      <c r="J2" s="30" t="s">
        <v>272</v>
      </c>
      <c r="L2" s="30" t="s">
        <v>273</v>
      </c>
      <c r="N2" s="30" t="s">
        <v>274</v>
      </c>
      <c r="P2" s="30" t="s">
        <v>275</v>
      </c>
      <c r="Q2" s="51"/>
      <c r="R2" s="30" t="s">
        <v>329</v>
      </c>
      <c r="S2" s="30" t="s">
        <v>276</v>
      </c>
      <c r="U2" s="30" t="s">
        <v>277</v>
      </c>
      <c r="W2" s="30" t="s">
        <v>278</v>
      </c>
      <c r="X2" s="30" t="s">
        <v>338</v>
      </c>
    </row>
    <row r="3" spans="1:25" x14ac:dyDescent="0.25">
      <c r="A3" s="1"/>
      <c r="B3" s="1"/>
      <c r="D3" s="1"/>
      <c r="F3" s="1"/>
      <c r="H3" s="1"/>
      <c r="J3" s="1"/>
      <c r="L3" s="1"/>
      <c r="N3" s="1"/>
      <c r="P3" s="1"/>
      <c r="Q3" s="31"/>
      <c r="S3" s="2" t="s">
        <v>152</v>
      </c>
      <c r="U3" s="1"/>
      <c r="W3" s="1" t="s">
        <v>279</v>
      </c>
    </row>
    <row r="4" spans="1:25" ht="75" x14ac:dyDescent="0.25">
      <c r="A4" s="32">
        <v>11200</v>
      </c>
      <c r="B4" s="32" t="s">
        <v>1</v>
      </c>
      <c r="D4" s="2" t="s">
        <v>344</v>
      </c>
      <c r="F4" s="2" t="s">
        <v>16</v>
      </c>
      <c r="H4" s="2" t="s">
        <v>21</v>
      </c>
      <c r="J4" s="2" t="s">
        <v>631</v>
      </c>
      <c r="L4" s="2" t="s">
        <v>633</v>
      </c>
      <c r="N4" s="2" t="s">
        <v>29</v>
      </c>
      <c r="P4" s="1"/>
      <c r="Q4" s="31"/>
      <c r="R4" s="52" t="s">
        <v>330</v>
      </c>
      <c r="S4" s="2" t="s">
        <v>55</v>
      </c>
      <c r="U4" s="2" t="s">
        <v>280</v>
      </c>
      <c r="W4" s="55" t="s">
        <v>48</v>
      </c>
      <c r="X4" s="56" t="s">
        <v>339</v>
      </c>
      <c r="Y4" s="32">
        <v>11200</v>
      </c>
    </row>
    <row r="5" spans="1:25" ht="75.75" thickBot="1" x14ac:dyDescent="0.3">
      <c r="A5" s="32">
        <v>11300</v>
      </c>
      <c r="B5" s="32" t="s">
        <v>2</v>
      </c>
      <c r="D5" s="2" t="s">
        <v>59</v>
      </c>
      <c r="F5" s="2" t="s">
        <v>20</v>
      </c>
      <c r="H5" s="2" t="s">
        <v>281</v>
      </c>
      <c r="J5" s="2" t="s">
        <v>630</v>
      </c>
      <c r="K5" s="29"/>
      <c r="L5" s="2" t="s">
        <v>634</v>
      </c>
      <c r="N5" s="2" t="s">
        <v>1042</v>
      </c>
      <c r="P5" s="1"/>
      <c r="Q5" s="31"/>
      <c r="R5" s="52" t="s">
        <v>336</v>
      </c>
      <c r="S5" s="33" t="s">
        <v>64</v>
      </c>
      <c r="U5" s="2" t="s">
        <v>282</v>
      </c>
      <c r="W5" s="55" t="s">
        <v>46</v>
      </c>
      <c r="X5" s="56" t="s">
        <v>340</v>
      </c>
      <c r="Y5" s="32">
        <v>11300</v>
      </c>
    </row>
    <row r="6" spans="1:25" ht="60" x14ac:dyDescent="0.25">
      <c r="A6" s="32">
        <v>11400</v>
      </c>
      <c r="B6" s="32" t="s">
        <v>12</v>
      </c>
      <c r="D6" s="2" t="s">
        <v>60</v>
      </c>
      <c r="F6" s="2" t="s">
        <v>17</v>
      </c>
      <c r="H6" s="2" t="s">
        <v>22</v>
      </c>
      <c r="J6" s="2" t="s">
        <v>204</v>
      </c>
      <c r="L6" s="2" t="s">
        <v>632</v>
      </c>
      <c r="N6" s="2" t="s">
        <v>71</v>
      </c>
      <c r="P6" s="1"/>
      <c r="Q6" s="31"/>
      <c r="R6" s="52" t="s">
        <v>331</v>
      </c>
      <c r="S6" s="34" t="s">
        <v>283</v>
      </c>
      <c r="U6" s="2" t="s">
        <v>284</v>
      </c>
      <c r="W6" s="55" t="s">
        <v>285</v>
      </c>
      <c r="X6" s="56" t="s">
        <v>341</v>
      </c>
      <c r="Y6" s="32">
        <v>11400</v>
      </c>
    </row>
    <row r="7" spans="1:25" ht="45" x14ac:dyDescent="0.25">
      <c r="A7" s="32">
        <v>11420</v>
      </c>
      <c r="B7" s="32" t="s">
        <v>286</v>
      </c>
      <c r="D7" s="2" t="s">
        <v>61</v>
      </c>
      <c r="F7" s="2" t="s">
        <v>287</v>
      </c>
      <c r="H7" s="2" t="s">
        <v>288</v>
      </c>
      <c r="L7" s="2" t="s">
        <v>635</v>
      </c>
      <c r="N7" s="2" t="s">
        <v>72</v>
      </c>
      <c r="P7" s="1"/>
      <c r="Q7" s="31"/>
      <c r="R7" s="52" t="s">
        <v>332</v>
      </c>
      <c r="S7" s="35" t="s">
        <v>289</v>
      </c>
      <c r="U7" s="2" t="s">
        <v>290</v>
      </c>
      <c r="W7" s="55" t="s">
        <v>47</v>
      </c>
      <c r="X7" s="56" t="s">
        <v>342</v>
      </c>
      <c r="Y7" s="32">
        <v>11420</v>
      </c>
    </row>
    <row r="8" spans="1:25" ht="90" x14ac:dyDescent="0.25">
      <c r="A8" s="32">
        <v>11430</v>
      </c>
      <c r="B8" s="32" t="s">
        <v>291</v>
      </c>
      <c r="D8" s="2" t="s">
        <v>94</v>
      </c>
      <c r="F8" s="37" t="s">
        <v>18</v>
      </c>
      <c r="H8" s="38" t="s">
        <v>26</v>
      </c>
      <c r="K8" s="29"/>
      <c r="L8" s="1"/>
      <c r="N8" s="2" t="s">
        <v>73</v>
      </c>
      <c r="P8" s="1"/>
      <c r="Q8" s="31"/>
      <c r="R8" s="52" t="s">
        <v>333</v>
      </c>
      <c r="S8" s="35" t="s">
        <v>292</v>
      </c>
      <c r="U8" s="2" t="s">
        <v>293</v>
      </c>
      <c r="X8" s="56" t="s">
        <v>343</v>
      </c>
      <c r="Y8" s="32">
        <v>11430</v>
      </c>
    </row>
    <row r="9" spans="1:25" ht="45" x14ac:dyDescent="0.25">
      <c r="A9" s="32">
        <v>11500</v>
      </c>
      <c r="B9" s="32" t="s">
        <v>13</v>
      </c>
      <c r="D9" s="2" t="s">
        <v>345</v>
      </c>
      <c r="F9" s="37" t="s">
        <v>294</v>
      </c>
      <c r="H9" s="38" t="s">
        <v>295</v>
      </c>
      <c r="L9" s="37"/>
      <c r="N9" s="2" t="s">
        <v>1038</v>
      </c>
      <c r="P9" s="1"/>
      <c r="Q9" s="31"/>
      <c r="R9" s="52" t="s">
        <v>334</v>
      </c>
      <c r="S9" s="35" t="s">
        <v>84</v>
      </c>
      <c r="U9" s="2" t="s">
        <v>296</v>
      </c>
      <c r="X9" s="57" t="s">
        <v>204</v>
      </c>
      <c r="Y9" s="32">
        <v>11500</v>
      </c>
    </row>
    <row r="10" spans="1:25" ht="150" x14ac:dyDescent="0.25">
      <c r="A10" s="32">
        <v>11600</v>
      </c>
      <c r="B10" s="32" t="s">
        <v>4</v>
      </c>
      <c r="D10" s="63" t="s">
        <v>348</v>
      </c>
      <c r="F10" s="37" t="s">
        <v>19</v>
      </c>
      <c r="H10" s="37" t="s">
        <v>27</v>
      </c>
      <c r="L10" s="37"/>
      <c r="N10" s="2" t="s">
        <v>74</v>
      </c>
      <c r="P10" s="1"/>
      <c r="Q10" s="31"/>
      <c r="R10" s="52" t="s">
        <v>335</v>
      </c>
      <c r="S10" s="35" t="s">
        <v>85</v>
      </c>
      <c r="U10" s="2" t="s">
        <v>40</v>
      </c>
      <c r="Y10" s="32">
        <v>11600</v>
      </c>
    </row>
    <row r="11" spans="1:25" ht="90" x14ac:dyDescent="0.25">
      <c r="A11" s="32">
        <v>11700</v>
      </c>
      <c r="B11" s="32" t="s">
        <v>14</v>
      </c>
      <c r="D11" s="64" t="s">
        <v>403</v>
      </c>
      <c r="H11" s="37" t="s">
        <v>297</v>
      </c>
      <c r="K11" s="29"/>
      <c r="L11" s="37"/>
      <c r="N11" s="2" t="s">
        <v>75</v>
      </c>
      <c r="P11" s="1"/>
      <c r="Q11" s="31"/>
      <c r="R11" s="52" t="s">
        <v>507</v>
      </c>
      <c r="S11" s="35" t="s">
        <v>141</v>
      </c>
      <c r="U11" s="2" t="s">
        <v>41</v>
      </c>
      <c r="Y11" s="32">
        <v>11700</v>
      </c>
    </row>
    <row r="12" spans="1:25" ht="30" x14ac:dyDescent="0.25">
      <c r="A12" s="32">
        <v>11800</v>
      </c>
      <c r="B12" s="32" t="s">
        <v>3</v>
      </c>
      <c r="H12" s="37" t="s">
        <v>28</v>
      </c>
      <c r="N12" s="2" t="s">
        <v>76</v>
      </c>
      <c r="P12" s="1"/>
      <c r="Q12" s="31"/>
      <c r="R12" s="52" t="s">
        <v>337</v>
      </c>
      <c r="S12" s="35" t="s">
        <v>142</v>
      </c>
      <c r="U12" s="2" t="s">
        <v>298</v>
      </c>
      <c r="Y12" s="32">
        <v>11800</v>
      </c>
    </row>
    <row r="13" spans="1:25" ht="30" x14ac:dyDescent="0.25">
      <c r="A13" s="32">
        <v>11900</v>
      </c>
      <c r="B13" s="32" t="s">
        <v>125</v>
      </c>
      <c r="H13" s="37" t="s">
        <v>23</v>
      </c>
      <c r="N13" s="2" t="s">
        <v>77</v>
      </c>
      <c r="P13" s="1"/>
      <c r="Q13" s="31"/>
      <c r="R13" s="52" t="s">
        <v>845</v>
      </c>
      <c r="S13" s="35" t="s">
        <v>87</v>
      </c>
      <c r="U13" s="2" t="s">
        <v>42</v>
      </c>
      <c r="Y13" s="32">
        <v>11900</v>
      </c>
    </row>
    <row r="14" spans="1:25" ht="45" x14ac:dyDescent="0.25">
      <c r="A14" s="32">
        <v>12000</v>
      </c>
      <c r="B14" s="32" t="s">
        <v>15</v>
      </c>
      <c r="H14" s="37" t="s">
        <v>299</v>
      </c>
      <c r="N14" s="2" t="s">
        <v>1039</v>
      </c>
      <c r="P14" s="1"/>
      <c r="Q14" s="31"/>
      <c r="R14" s="53"/>
      <c r="S14" s="35" t="s">
        <v>145</v>
      </c>
      <c r="U14" s="2" t="s">
        <v>300</v>
      </c>
      <c r="Y14" s="32">
        <v>12000</v>
      </c>
    </row>
    <row r="15" spans="1:25" ht="30" x14ac:dyDescent="0.25">
      <c r="H15" s="37" t="s">
        <v>301</v>
      </c>
      <c r="N15" s="2" t="s">
        <v>78</v>
      </c>
      <c r="P15" s="1"/>
      <c r="Q15" s="31"/>
      <c r="R15" s="53"/>
      <c r="S15" s="35" t="s">
        <v>87</v>
      </c>
      <c r="U15" s="2" t="s">
        <v>302</v>
      </c>
    </row>
    <row r="16" spans="1:25" ht="45" x14ac:dyDescent="0.25">
      <c r="H16" s="37" t="s">
        <v>303</v>
      </c>
      <c r="N16" s="2" t="s">
        <v>1037</v>
      </c>
      <c r="P16" s="1"/>
      <c r="Q16" s="31"/>
      <c r="R16" s="53"/>
      <c r="S16" s="35" t="s">
        <v>146</v>
      </c>
      <c r="U16" s="2" t="s">
        <v>43</v>
      </c>
    </row>
    <row r="17" spans="8:21" ht="30" x14ac:dyDescent="0.25">
      <c r="H17" s="37" t="s">
        <v>304</v>
      </c>
      <c r="N17" s="2" t="s">
        <v>1040</v>
      </c>
      <c r="P17" s="1"/>
      <c r="Q17" s="31"/>
      <c r="R17" s="53"/>
      <c r="S17" s="35" t="s">
        <v>147</v>
      </c>
      <c r="U17" s="2" t="s">
        <v>44</v>
      </c>
    </row>
    <row r="18" spans="8:21" ht="30.75" thickBot="1" x14ac:dyDescent="0.3">
      <c r="H18" s="37" t="s">
        <v>305</v>
      </c>
      <c r="N18" s="2" t="s">
        <v>79</v>
      </c>
      <c r="P18" s="1"/>
      <c r="Q18" s="31"/>
      <c r="R18" s="54"/>
      <c r="S18" s="39" t="s">
        <v>148</v>
      </c>
      <c r="U18" s="2" t="s">
        <v>306</v>
      </c>
    </row>
    <row r="19" spans="8:21" ht="45" customHeight="1" x14ac:dyDescent="0.25">
      <c r="H19" s="37" t="s">
        <v>24</v>
      </c>
      <c r="N19" s="2" t="s">
        <v>1041</v>
      </c>
      <c r="P19" s="1"/>
      <c r="Q19" s="31"/>
      <c r="R19" s="1505" t="s">
        <v>2</v>
      </c>
      <c r="S19" s="40" t="s">
        <v>156</v>
      </c>
      <c r="U19" s="2" t="s">
        <v>307</v>
      </c>
    </row>
    <row r="20" spans="8:21" ht="30" x14ac:dyDescent="0.25">
      <c r="H20" s="37" t="s">
        <v>308</v>
      </c>
      <c r="N20" s="2" t="s">
        <v>80</v>
      </c>
      <c r="P20" s="1"/>
      <c r="Q20" s="31"/>
      <c r="R20" s="1506"/>
      <c r="S20" s="41" t="s">
        <v>91</v>
      </c>
      <c r="U20" s="2" t="s">
        <v>309</v>
      </c>
    </row>
    <row r="21" spans="8:21" ht="30" x14ac:dyDescent="0.25">
      <c r="H21" s="37" t="s">
        <v>25</v>
      </c>
      <c r="N21" s="2" t="s">
        <v>1043</v>
      </c>
      <c r="P21" s="1"/>
      <c r="Q21" s="31"/>
      <c r="R21" s="1506"/>
      <c r="S21" s="35" t="s">
        <v>163</v>
      </c>
      <c r="U21" s="2" t="s">
        <v>310</v>
      </c>
    </row>
    <row r="22" spans="8:21" ht="30" customHeight="1" x14ac:dyDescent="0.25">
      <c r="N22" s="2" t="s">
        <v>81</v>
      </c>
      <c r="P22" s="1"/>
      <c r="Q22" s="31"/>
      <c r="R22" s="1506"/>
      <c r="S22" s="35" t="s">
        <v>157</v>
      </c>
      <c r="U22" s="2" t="s">
        <v>311</v>
      </c>
    </row>
    <row r="23" spans="8:21" x14ac:dyDescent="0.25">
      <c r="N23" s="2" t="s">
        <v>82</v>
      </c>
      <c r="P23" s="1"/>
      <c r="Q23" s="31"/>
      <c r="R23" s="1506"/>
      <c r="S23" s="35" t="s">
        <v>158</v>
      </c>
      <c r="U23" s="2" t="s">
        <v>45</v>
      </c>
    </row>
    <row r="24" spans="8:21" ht="45" customHeight="1" x14ac:dyDescent="0.25">
      <c r="N24" s="2" t="s">
        <v>1036</v>
      </c>
      <c r="P24" s="1"/>
      <c r="Q24" s="31"/>
      <c r="R24" s="1506"/>
      <c r="S24" s="42" t="s">
        <v>164</v>
      </c>
      <c r="U24" s="2" t="s">
        <v>312</v>
      </c>
    </row>
    <row r="25" spans="8:21" ht="45" customHeight="1" x14ac:dyDescent="0.25">
      <c r="N25" s="64" t="s">
        <v>1044</v>
      </c>
      <c r="R25" s="1506"/>
      <c r="S25" s="43"/>
      <c r="U25" s="64" t="s">
        <v>204</v>
      </c>
    </row>
    <row r="26" spans="8:21" x14ac:dyDescent="0.25">
      <c r="N26" s="64" t="s">
        <v>1045</v>
      </c>
      <c r="R26" s="1512"/>
      <c r="S26" s="42"/>
    </row>
    <row r="27" spans="8:21" ht="45.75" customHeight="1" x14ac:dyDescent="0.25">
      <c r="N27" s="64" t="s">
        <v>1046</v>
      </c>
      <c r="R27" s="1513" t="s">
        <v>14</v>
      </c>
      <c r="S27" s="38" t="s">
        <v>133</v>
      </c>
    </row>
    <row r="28" spans="8:21" ht="45" customHeight="1" x14ac:dyDescent="0.25">
      <c r="N28" s="2" t="s">
        <v>1047</v>
      </c>
      <c r="R28" s="1513"/>
      <c r="S28" s="38" t="s">
        <v>134</v>
      </c>
    </row>
    <row r="29" spans="8:21" x14ac:dyDescent="0.25">
      <c r="N29" s="37" t="s">
        <v>1048</v>
      </c>
      <c r="R29" s="1513"/>
      <c r="S29" s="38" t="s">
        <v>135</v>
      </c>
    </row>
    <row r="30" spans="8:21" ht="30" x14ac:dyDescent="0.25">
      <c r="N30" s="37" t="s">
        <v>1049</v>
      </c>
      <c r="R30" s="1513"/>
      <c r="S30" s="38" t="s">
        <v>313</v>
      </c>
    </row>
    <row r="31" spans="8:21" ht="30" x14ac:dyDescent="0.25">
      <c r="N31" s="37" t="s">
        <v>1050</v>
      </c>
      <c r="R31" s="1513"/>
      <c r="S31" s="38" t="s">
        <v>170</v>
      </c>
    </row>
    <row r="32" spans="8:21" ht="30" x14ac:dyDescent="0.25">
      <c r="N32" s="64" t="s">
        <v>1051</v>
      </c>
      <c r="R32" s="1513"/>
      <c r="S32" s="38" t="s">
        <v>136</v>
      </c>
    </row>
    <row r="33" spans="2:19" x14ac:dyDescent="0.25">
      <c r="N33" s="37" t="s">
        <v>1052</v>
      </c>
      <c r="R33" s="1513"/>
      <c r="S33" s="38" t="s">
        <v>314</v>
      </c>
    </row>
    <row r="34" spans="2:19" x14ac:dyDescent="0.25">
      <c r="R34" s="1513"/>
      <c r="S34" s="38" t="s">
        <v>165</v>
      </c>
    </row>
    <row r="35" spans="2:19" ht="30" customHeight="1" x14ac:dyDescent="0.25">
      <c r="R35" s="1513"/>
      <c r="S35" s="36" t="s">
        <v>167</v>
      </c>
    </row>
    <row r="36" spans="2:19" x14ac:dyDescent="0.25">
      <c r="R36" s="1513"/>
      <c r="S36" s="36" t="s">
        <v>168</v>
      </c>
    </row>
    <row r="37" spans="2:19" x14ac:dyDescent="0.25">
      <c r="R37" s="1513"/>
      <c r="S37" s="36" t="s">
        <v>166</v>
      </c>
    </row>
    <row r="38" spans="2:19" ht="30" x14ac:dyDescent="0.25">
      <c r="R38" s="1513"/>
      <c r="S38" s="36" t="s">
        <v>222</v>
      </c>
    </row>
    <row r="39" spans="2:19" ht="30" x14ac:dyDescent="0.25">
      <c r="R39" s="1513"/>
      <c r="S39" s="36" t="s">
        <v>221</v>
      </c>
    </row>
    <row r="40" spans="2:19" x14ac:dyDescent="0.25">
      <c r="R40" s="1513"/>
      <c r="S40" s="36" t="s">
        <v>315</v>
      </c>
    </row>
    <row r="41" spans="2:19" ht="45" x14ac:dyDescent="0.25">
      <c r="R41" s="1513"/>
      <c r="S41" s="36" t="s">
        <v>316</v>
      </c>
    </row>
    <row r="42" spans="2:19" x14ac:dyDescent="0.25">
      <c r="R42" s="1513"/>
      <c r="S42" s="36" t="s">
        <v>317</v>
      </c>
    </row>
    <row r="43" spans="2:19" ht="45" x14ac:dyDescent="0.25">
      <c r="R43" s="1513"/>
      <c r="S43" s="36" t="s">
        <v>318</v>
      </c>
    </row>
    <row r="44" spans="2:19" ht="30" x14ac:dyDescent="0.25">
      <c r="R44" s="1513"/>
      <c r="S44" s="36" t="s">
        <v>319</v>
      </c>
    </row>
    <row r="45" spans="2:19" ht="30" x14ac:dyDescent="0.25">
      <c r="R45" s="1513"/>
      <c r="S45" s="36" t="s">
        <v>320</v>
      </c>
    </row>
    <row r="46" spans="2:19" x14ac:dyDescent="0.25">
      <c r="R46" s="1513"/>
      <c r="S46" s="36" t="s">
        <v>321</v>
      </c>
    </row>
    <row r="47" spans="2:19" ht="30" x14ac:dyDescent="0.25">
      <c r="B47" s="44"/>
      <c r="R47" s="1513"/>
      <c r="S47" s="36" t="s">
        <v>171</v>
      </c>
    </row>
    <row r="48" spans="2:19" ht="30" x14ac:dyDescent="0.25">
      <c r="R48" s="1514" t="s">
        <v>3</v>
      </c>
      <c r="S48" s="45" t="s">
        <v>120</v>
      </c>
    </row>
    <row r="49" spans="18:19" x14ac:dyDescent="0.25">
      <c r="R49" s="1514"/>
      <c r="S49" s="41" t="s">
        <v>121</v>
      </c>
    </row>
    <row r="50" spans="18:19" ht="30" x14ac:dyDescent="0.25">
      <c r="R50" s="1514"/>
      <c r="S50" s="41" t="s">
        <v>122</v>
      </c>
    </row>
    <row r="51" spans="18:19" ht="30" x14ac:dyDescent="0.25">
      <c r="R51" s="1514"/>
      <c r="S51" s="41" t="s">
        <v>123</v>
      </c>
    </row>
    <row r="52" spans="18:19" ht="45.75" thickBot="1" x14ac:dyDescent="0.3">
      <c r="R52" s="1515"/>
      <c r="S52" s="46" t="s">
        <v>124</v>
      </c>
    </row>
    <row r="53" spans="18:19" ht="30" x14ac:dyDescent="0.25">
      <c r="R53" s="1516" t="s">
        <v>125</v>
      </c>
      <c r="S53" s="40" t="s">
        <v>130</v>
      </c>
    </row>
    <row r="54" spans="18:19" ht="30" x14ac:dyDescent="0.25">
      <c r="R54" s="1514"/>
      <c r="S54" s="41" t="s">
        <v>137</v>
      </c>
    </row>
    <row r="55" spans="18:19" ht="45" x14ac:dyDescent="0.25">
      <c r="R55" s="1514"/>
      <c r="S55" s="41" t="s">
        <v>132</v>
      </c>
    </row>
    <row r="56" spans="18:19" ht="30" x14ac:dyDescent="0.25">
      <c r="R56" s="1514"/>
      <c r="S56" s="41" t="s">
        <v>138</v>
      </c>
    </row>
    <row r="57" spans="18:19" ht="30" x14ac:dyDescent="0.25">
      <c r="R57" s="1514"/>
      <c r="S57" s="41" t="s">
        <v>322</v>
      </c>
    </row>
    <row r="58" spans="18:19" ht="60" x14ac:dyDescent="0.25">
      <c r="R58" s="1514"/>
      <c r="S58" s="41" t="s">
        <v>323</v>
      </c>
    </row>
    <row r="59" spans="18:19" ht="45" x14ac:dyDescent="0.25">
      <c r="R59" s="1514"/>
      <c r="S59" s="41" t="s">
        <v>139</v>
      </c>
    </row>
    <row r="60" spans="18:19" ht="45" x14ac:dyDescent="0.25">
      <c r="R60" s="1514"/>
      <c r="S60" s="41" t="s">
        <v>324</v>
      </c>
    </row>
    <row r="61" spans="18:19" ht="30" x14ac:dyDescent="0.25">
      <c r="R61" s="1514"/>
      <c r="S61" s="41" t="s">
        <v>325</v>
      </c>
    </row>
    <row r="62" spans="18:19" ht="45" x14ac:dyDescent="0.25">
      <c r="R62" s="1514"/>
      <c r="S62" s="41" t="s">
        <v>140</v>
      </c>
    </row>
    <row r="63" spans="18:19" ht="45" x14ac:dyDescent="0.25">
      <c r="R63" s="1514"/>
      <c r="S63" s="43" t="s">
        <v>178</v>
      </c>
    </row>
    <row r="64" spans="18:19" x14ac:dyDescent="0.25">
      <c r="R64" s="1514"/>
      <c r="S64" s="43" t="s">
        <v>187</v>
      </c>
    </row>
    <row r="65" spans="18:19" ht="30" x14ac:dyDescent="0.25">
      <c r="R65" s="1514"/>
      <c r="S65" s="43" t="s">
        <v>233</v>
      </c>
    </row>
    <row r="66" spans="18:19" ht="60" x14ac:dyDescent="0.25">
      <c r="R66" s="1514"/>
      <c r="S66" s="47" t="s">
        <v>236</v>
      </c>
    </row>
    <row r="67" spans="18:19" ht="75" x14ac:dyDescent="0.25">
      <c r="R67" s="1514"/>
      <c r="S67" s="47" t="s">
        <v>235</v>
      </c>
    </row>
    <row r="68" spans="18:19" ht="45.75" thickBot="1" x14ac:dyDescent="0.3">
      <c r="R68" s="1514"/>
      <c r="S68" s="47" t="s">
        <v>234</v>
      </c>
    </row>
    <row r="69" spans="18:19" x14ac:dyDescent="0.25">
      <c r="R69" s="1505" t="s">
        <v>162</v>
      </c>
      <c r="S69" s="40" t="s">
        <v>172</v>
      </c>
    </row>
    <row r="70" spans="18:19" ht="45" x14ac:dyDescent="0.25">
      <c r="R70" s="1506"/>
      <c r="S70" s="41" t="s">
        <v>173</v>
      </c>
    </row>
    <row r="71" spans="18:19" x14ac:dyDescent="0.25">
      <c r="R71" s="1506"/>
      <c r="S71" s="41" t="s">
        <v>174</v>
      </c>
    </row>
    <row r="72" spans="18:19" ht="30" x14ac:dyDescent="0.25">
      <c r="R72" s="1506"/>
      <c r="S72" s="41" t="s">
        <v>159</v>
      </c>
    </row>
    <row r="73" spans="18:19" x14ac:dyDescent="0.25">
      <c r="R73" s="1506"/>
      <c r="S73" s="41" t="s">
        <v>160</v>
      </c>
    </row>
    <row r="74" spans="18:19" ht="30" x14ac:dyDescent="0.25">
      <c r="R74" s="1506"/>
      <c r="S74" s="41" t="s">
        <v>161</v>
      </c>
    </row>
    <row r="75" spans="18:19" ht="45" x14ac:dyDescent="0.25">
      <c r="R75" s="1506"/>
      <c r="S75" s="41" t="s">
        <v>175</v>
      </c>
    </row>
    <row r="76" spans="18:19" ht="15.75" thickBot="1" x14ac:dyDescent="0.3">
      <c r="R76" s="1507"/>
      <c r="S76" s="48"/>
    </row>
    <row r="77" spans="18:19" ht="30" x14ac:dyDescent="0.25">
      <c r="R77" s="1508" t="s">
        <v>1</v>
      </c>
      <c r="S77" s="49" t="s">
        <v>326</v>
      </c>
    </row>
    <row r="78" spans="18:19" ht="45" x14ac:dyDescent="0.25">
      <c r="R78" s="1509"/>
      <c r="S78" s="50" t="s">
        <v>237</v>
      </c>
    </row>
    <row r="79" spans="18:19" ht="30" x14ac:dyDescent="0.25">
      <c r="R79" s="1509"/>
      <c r="S79" s="50" t="s">
        <v>327</v>
      </c>
    </row>
    <row r="80" spans="18:19" ht="45.75" thickBot="1" x14ac:dyDescent="0.3">
      <c r="R80" s="1510"/>
      <c r="S80" s="50" t="s">
        <v>328</v>
      </c>
    </row>
    <row r="82" spans="21:21" x14ac:dyDescent="0.25">
      <c r="U82">
        <f>15/10</f>
        <v>1.5</v>
      </c>
    </row>
    <row r="83" spans="21:21" x14ac:dyDescent="0.25">
      <c r="U83">
        <f>1-U82</f>
        <v>-0.5</v>
      </c>
    </row>
  </sheetData>
  <mergeCells count="7">
    <mergeCell ref="R69:R76"/>
    <mergeCell ref="R77:R80"/>
    <mergeCell ref="A1:B1"/>
    <mergeCell ref="R19:R26"/>
    <mergeCell ref="R27:R47"/>
    <mergeCell ref="R48:R52"/>
    <mergeCell ref="R53:R68"/>
  </mergeCells>
  <dataValidations count="1">
    <dataValidation type="list" allowBlank="1" showInputMessage="1" showErrorMessage="1" sqref="S44" xr:uid="{00000000-0002-0000-0D00-000000000000}">
      <formula1>$S$3:$S$80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1000000}">
          <x14:formula1>
            <xm:f>'C:\Users\norela.briceno\AppData\Local\Microsoft\Windows\INetCache\Content.Outlook\FBI6K8AZ\[Copia de Plan Accion ADRES Vigencia 2018 con Cuadro de Mando.xlsx]TAB. REF. PA'!#REF!</xm:f>
          </x14:formula1>
          <xm:sqref>S44</xm:sqref>
        </x14:dataValidation>
        <x14:dataValidation type="list" allowBlank="1" showInputMessage="1" showErrorMessage="1" xr:uid="{00000000-0002-0000-0D00-000002000000}">
          <x14:formula1>
            <xm:f>'C:\Users\norela.briceno\Documents\Plan de acción\Plan Accion 2018\[Plan Accion Integrado ADRES Vigencia 2018 V3.xlsx]TAB. REF. PA'!#REF!</xm:f>
          </x14:formula1>
          <xm:sqref>R5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3F2A3-89F5-4A08-A6A6-199D46BB30A9}">
  <dimension ref="A1:P18"/>
  <sheetViews>
    <sheetView workbookViewId="0">
      <selection activeCell="D21" sqref="D21"/>
    </sheetView>
  </sheetViews>
  <sheetFormatPr baseColWidth="10" defaultRowHeight="15" x14ac:dyDescent="0.25"/>
  <cols>
    <col min="1" max="1" width="39.140625" customWidth="1"/>
    <col min="2" max="2" width="15.7109375" customWidth="1"/>
    <col min="3" max="3" width="15.85546875" customWidth="1"/>
    <col min="4" max="4" width="18.140625" customWidth="1"/>
    <col min="5" max="5" width="16.28515625" customWidth="1"/>
    <col min="6" max="6" width="17.85546875" customWidth="1"/>
    <col min="7" max="7" width="18.140625" customWidth="1"/>
    <col min="8" max="8" width="16.7109375" customWidth="1"/>
    <col min="9" max="10" width="8.7109375" customWidth="1"/>
    <col min="11" max="11" width="22.5703125" customWidth="1"/>
  </cols>
  <sheetData>
    <row r="1" spans="1:16" ht="21" customHeight="1" x14ac:dyDescent="0.25">
      <c r="A1" s="117" t="s">
        <v>981</v>
      </c>
      <c r="B1" s="118" t="s">
        <v>984</v>
      </c>
      <c r="C1" s="118" t="s">
        <v>985</v>
      </c>
      <c r="D1" s="118" t="s">
        <v>986</v>
      </c>
      <c r="E1" s="118" t="s">
        <v>983</v>
      </c>
      <c r="F1" s="118" t="s">
        <v>990</v>
      </c>
      <c r="G1" s="118" t="s">
        <v>982</v>
      </c>
      <c r="H1" s="118" t="s">
        <v>988</v>
      </c>
      <c r="I1" s="118" t="s">
        <v>987</v>
      </c>
      <c r="J1" s="118" t="s">
        <v>989</v>
      </c>
      <c r="K1" s="119" t="s">
        <v>1000</v>
      </c>
    </row>
    <row r="2" spans="1:16" ht="28.5" x14ac:dyDescent="0.25">
      <c r="A2" s="110" t="s">
        <v>991</v>
      </c>
      <c r="B2" s="107">
        <v>0</v>
      </c>
      <c r="C2" s="107">
        <v>0</v>
      </c>
      <c r="D2" s="107">
        <v>0</v>
      </c>
      <c r="E2" s="107"/>
      <c r="F2" s="107"/>
      <c r="G2" s="107">
        <v>3</v>
      </c>
      <c r="H2" s="107"/>
      <c r="I2" s="107"/>
      <c r="J2" s="107"/>
      <c r="K2" s="111">
        <f>SUM(B2:J2)</f>
        <v>3</v>
      </c>
    </row>
    <row r="3" spans="1:16" x14ac:dyDescent="0.25">
      <c r="A3" s="110" t="s">
        <v>992</v>
      </c>
      <c r="B3" s="108">
        <v>905259596</v>
      </c>
      <c r="C3" s="108">
        <v>709814969</v>
      </c>
      <c r="D3" s="108">
        <v>40295380870</v>
      </c>
      <c r="E3" s="108">
        <v>1399424829</v>
      </c>
      <c r="F3" s="108">
        <v>12447687914</v>
      </c>
      <c r="G3" s="108">
        <v>1882022599</v>
      </c>
      <c r="H3" s="108">
        <v>2668206982</v>
      </c>
      <c r="I3" s="108">
        <v>0</v>
      </c>
      <c r="J3" s="108">
        <v>0</v>
      </c>
      <c r="K3" s="112">
        <f>SUM(B3:J3)</f>
        <v>60307797759</v>
      </c>
    </row>
    <row r="4" spans="1:16" x14ac:dyDescent="0.25">
      <c r="A4" s="110" t="s">
        <v>845</v>
      </c>
      <c r="B4" s="107">
        <v>0</v>
      </c>
      <c r="C4" s="107">
        <v>0</v>
      </c>
      <c r="D4" s="107">
        <v>0</v>
      </c>
      <c r="E4" s="107"/>
      <c r="F4" s="109"/>
      <c r="G4" s="109">
        <v>3</v>
      </c>
      <c r="H4" s="109"/>
      <c r="I4" s="109"/>
      <c r="J4" s="109"/>
      <c r="K4" s="111">
        <f t="shared" ref="K4:K13" si="0">SUM(B4:J4)</f>
        <v>3</v>
      </c>
    </row>
    <row r="5" spans="1:16" ht="28.5" x14ac:dyDescent="0.25">
      <c r="A5" s="110" t="s">
        <v>993</v>
      </c>
      <c r="B5" s="107">
        <v>0</v>
      </c>
      <c r="C5" s="107">
        <v>0</v>
      </c>
      <c r="D5" s="107">
        <v>0</v>
      </c>
      <c r="E5" s="107"/>
      <c r="F5" s="109"/>
      <c r="G5" s="109"/>
      <c r="H5" s="109"/>
      <c r="I5" s="109"/>
      <c r="J5" s="109"/>
      <c r="K5" s="111">
        <f t="shared" si="0"/>
        <v>0</v>
      </c>
    </row>
    <row r="6" spans="1:16" x14ac:dyDescent="0.25">
      <c r="A6" s="110" t="s">
        <v>994</v>
      </c>
      <c r="B6" s="107">
        <v>0</v>
      </c>
      <c r="C6" s="107">
        <v>0</v>
      </c>
      <c r="D6" s="107">
        <v>0</v>
      </c>
      <c r="E6" s="107"/>
      <c r="F6" s="109"/>
      <c r="G6" s="109"/>
      <c r="H6" s="109"/>
      <c r="I6" s="109"/>
      <c r="J6" s="109"/>
      <c r="K6" s="111">
        <f t="shared" si="0"/>
        <v>0</v>
      </c>
    </row>
    <row r="7" spans="1:16" x14ac:dyDescent="0.25">
      <c r="A7" s="110" t="s">
        <v>502</v>
      </c>
      <c r="B7" s="107">
        <v>0</v>
      </c>
      <c r="C7" s="107">
        <v>0</v>
      </c>
      <c r="D7" s="107">
        <v>0</v>
      </c>
      <c r="E7" s="107"/>
      <c r="F7" s="109">
        <v>1</v>
      </c>
      <c r="G7" s="109">
        <f>1+18</f>
        <v>19</v>
      </c>
      <c r="H7" s="109"/>
      <c r="I7" s="109"/>
      <c r="J7" s="109"/>
      <c r="K7" s="111">
        <f t="shared" si="0"/>
        <v>20</v>
      </c>
    </row>
    <row r="8" spans="1:16" x14ac:dyDescent="0.25">
      <c r="A8" s="110" t="s">
        <v>995</v>
      </c>
      <c r="B8" s="107">
        <v>0</v>
      </c>
      <c r="C8" s="107">
        <v>0</v>
      </c>
      <c r="D8" s="107">
        <v>0</v>
      </c>
      <c r="E8" s="107"/>
      <c r="F8" s="109"/>
      <c r="G8" s="109">
        <v>9</v>
      </c>
      <c r="H8" s="109"/>
      <c r="I8" s="109"/>
      <c r="J8" s="109"/>
      <c r="K8" s="111">
        <f t="shared" si="0"/>
        <v>9</v>
      </c>
    </row>
    <row r="9" spans="1:16" ht="28.5" x14ac:dyDescent="0.25">
      <c r="A9" s="110" t="s">
        <v>996</v>
      </c>
      <c r="B9" s="107">
        <v>0</v>
      </c>
      <c r="C9" s="107">
        <v>0</v>
      </c>
      <c r="D9" s="107">
        <v>0</v>
      </c>
      <c r="E9" s="107"/>
      <c r="F9" s="109"/>
      <c r="G9" s="109">
        <f>16+1+1+1</f>
        <v>19</v>
      </c>
      <c r="H9" s="109"/>
      <c r="I9" s="109"/>
      <c r="J9" s="109"/>
      <c r="K9" s="111">
        <f t="shared" si="0"/>
        <v>19</v>
      </c>
    </row>
    <row r="10" spans="1:16" ht="28.5" x14ac:dyDescent="0.25">
      <c r="A10" s="110" t="s">
        <v>336</v>
      </c>
      <c r="B10" s="107">
        <v>6</v>
      </c>
      <c r="C10" s="107">
        <v>0</v>
      </c>
      <c r="D10" s="107">
        <v>1</v>
      </c>
      <c r="E10" s="107"/>
      <c r="F10" s="109">
        <f>2+1</f>
        <v>3</v>
      </c>
      <c r="G10" s="109">
        <f>8+1</f>
        <v>9</v>
      </c>
      <c r="H10" s="109"/>
      <c r="I10" s="109">
        <v>8</v>
      </c>
      <c r="J10" s="109">
        <v>1</v>
      </c>
      <c r="K10" s="111">
        <f t="shared" si="0"/>
        <v>28</v>
      </c>
    </row>
    <row r="11" spans="1:16" ht="28.5" x14ac:dyDescent="0.25">
      <c r="A11" s="110" t="s">
        <v>331</v>
      </c>
      <c r="B11" s="107">
        <v>0</v>
      </c>
      <c r="C11" s="107">
        <v>0</v>
      </c>
      <c r="D11" s="107">
        <v>0</v>
      </c>
      <c r="E11" s="107"/>
      <c r="F11" s="109">
        <v>1</v>
      </c>
      <c r="G11" s="109"/>
      <c r="H11" s="109"/>
      <c r="I11" s="109"/>
      <c r="J11" s="109"/>
      <c r="K11" s="111">
        <f t="shared" si="0"/>
        <v>1</v>
      </c>
    </row>
    <row r="12" spans="1:16" ht="42.75" x14ac:dyDescent="0.25">
      <c r="A12" s="110" t="s">
        <v>997</v>
      </c>
      <c r="B12" s="107">
        <v>0</v>
      </c>
      <c r="C12" s="107">
        <v>0</v>
      </c>
      <c r="D12" s="107">
        <v>0</v>
      </c>
      <c r="E12" s="107"/>
      <c r="F12" s="109">
        <v>2</v>
      </c>
      <c r="G12" s="109"/>
      <c r="H12" s="109"/>
      <c r="I12" s="109"/>
      <c r="J12" s="109"/>
      <c r="K12" s="111">
        <f t="shared" si="0"/>
        <v>2</v>
      </c>
    </row>
    <row r="13" spans="1:16" ht="28.5" x14ac:dyDescent="0.25">
      <c r="A13" s="110" t="s">
        <v>998</v>
      </c>
      <c r="B13" s="107">
        <v>0</v>
      </c>
      <c r="C13" s="107">
        <v>0</v>
      </c>
      <c r="D13" s="107">
        <v>0</v>
      </c>
      <c r="E13" s="107"/>
      <c r="F13" s="109">
        <f>6+1+1</f>
        <v>8</v>
      </c>
      <c r="G13" s="109"/>
      <c r="H13" s="109"/>
      <c r="I13" s="109"/>
      <c r="J13" s="109"/>
      <c r="K13" s="111">
        <f t="shared" si="0"/>
        <v>8</v>
      </c>
    </row>
    <row r="14" spans="1:16" ht="15.75" thickBot="1" x14ac:dyDescent="0.3">
      <c r="A14" s="113" t="s">
        <v>999</v>
      </c>
      <c r="B14" s="114">
        <v>2</v>
      </c>
      <c r="C14" s="114">
        <v>10</v>
      </c>
      <c r="D14" s="114">
        <v>9</v>
      </c>
      <c r="E14" s="114">
        <v>7</v>
      </c>
      <c r="F14" s="115">
        <f>13+1+1+6</f>
        <v>21</v>
      </c>
      <c r="G14" s="115">
        <v>6</v>
      </c>
      <c r="H14" s="115">
        <v>18</v>
      </c>
      <c r="I14" s="115">
        <v>3</v>
      </c>
      <c r="J14" s="115">
        <v>6</v>
      </c>
      <c r="K14" s="116">
        <f>SUM(B14:J14)</f>
        <v>82</v>
      </c>
    </row>
    <row r="15" spans="1:16" ht="6.75" customHeight="1" thickBot="1" x14ac:dyDescent="0.3">
      <c r="A15" s="98"/>
      <c r="B15" s="101"/>
      <c r="C15" s="101"/>
      <c r="D15" s="101"/>
      <c r="E15" s="101"/>
      <c r="F15" s="101"/>
      <c r="G15" s="101"/>
      <c r="H15" s="101"/>
      <c r="I15" s="101"/>
      <c r="J15" s="101"/>
      <c r="K15" s="101"/>
    </row>
    <row r="16" spans="1:16" ht="19.5" thickBot="1" x14ac:dyDescent="0.35">
      <c r="A16" s="102" t="s">
        <v>1001</v>
      </c>
      <c r="B16" s="105">
        <f>+B2+B4+B5+B6+B7+B8+B9+B10+B11+B12+B13+B14</f>
        <v>8</v>
      </c>
      <c r="C16" s="105">
        <f t="shared" ref="C16:J16" si="1">+C2+C4+C5+C6+C7+C8+C9+C10+C11+C12+C13+C14</f>
        <v>10</v>
      </c>
      <c r="D16" s="105">
        <f t="shared" si="1"/>
        <v>10</v>
      </c>
      <c r="E16" s="105">
        <f t="shared" si="1"/>
        <v>7</v>
      </c>
      <c r="F16" s="105">
        <f t="shared" si="1"/>
        <v>36</v>
      </c>
      <c r="G16" s="105">
        <f t="shared" si="1"/>
        <v>68</v>
      </c>
      <c r="H16" s="105">
        <f t="shared" si="1"/>
        <v>18</v>
      </c>
      <c r="I16" s="105">
        <f t="shared" si="1"/>
        <v>11</v>
      </c>
      <c r="J16" s="105">
        <f t="shared" si="1"/>
        <v>7</v>
      </c>
      <c r="K16" s="106">
        <f>+K2+K4+K5+K6+K7+K8+K9+K10+K11+K12+K13+K14</f>
        <v>175</v>
      </c>
      <c r="L16" s="85"/>
      <c r="M16" s="85"/>
      <c r="N16" s="85"/>
      <c r="O16" s="85"/>
      <c r="P16" s="85"/>
    </row>
    <row r="17" spans="1:14" ht="5.25" customHeight="1" thickBot="1" x14ac:dyDescent="0.35">
      <c r="K17" s="99"/>
    </row>
    <row r="18" spans="1:14" ht="19.5" thickBot="1" x14ac:dyDescent="0.35">
      <c r="A18" s="102" t="s">
        <v>1002</v>
      </c>
      <c r="B18" s="103">
        <f t="shared" ref="B18:K18" si="2">+B3</f>
        <v>905259596</v>
      </c>
      <c r="C18" s="103">
        <f t="shared" si="2"/>
        <v>709814969</v>
      </c>
      <c r="D18" s="103">
        <f t="shared" si="2"/>
        <v>40295380870</v>
      </c>
      <c r="E18" s="103">
        <f t="shared" si="2"/>
        <v>1399424829</v>
      </c>
      <c r="F18" s="103">
        <f t="shared" si="2"/>
        <v>12447687914</v>
      </c>
      <c r="G18" s="103">
        <f t="shared" si="2"/>
        <v>1882022599</v>
      </c>
      <c r="H18" s="103">
        <f t="shared" si="2"/>
        <v>2668206982</v>
      </c>
      <c r="I18" s="103">
        <f t="shared" si="2"/>
        <v>0</v>
      </c>
      <c r="J18" s="103">
        <f t="shared" si="2"/>
        <v>0</v>
      </c>
      <c r="K18" s="104">
        <f t="shared" si="2"/>
        <v>60307797759</v>
      </c>
      <c r="L18" s="62"/>
      <c r="M18" s="62"/>
      <c r="N18" s="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D616D-F878-43ED-A865-AB24834D7F5B}">
  <dimension ref="A2:J73"/>
  <sheetViews>
    <sheetView showGridLines="0" workbookViewId="0">
      <selection activeCell="D6" sqref="D6"/>
    </sheetView>
  </sheetViews>
  <sheetFormatPr baseColWidth="10" defaultRowHeight="15" x14ac:dyDescent="0.25"/>
  <cols>
    <col min="2" max="2" width="13.28515625" bestFit="1" customWidth="1"/>
    <col min="3" max="3" width="62.42578125" customWidth="1"/>
    <col min="4" max="4" width="23.85546875" customWidth="1"/>
    <col min="5" max="5" width="18.85546875" customWidth="1"/>
    <col min="6" max="6" width="19.42578125" customWidth="1"/>
    <col min="7" max="7" width="18.28515625" customWidth="1"/>
    <col min="8" max="8" width="1.28515625" customWidth="1"/>
    <col min="9" max="9" width="0" style="455" hidden="1" customWidth="1"/>
    <col min="10" max="10" width="38.5703125" style="455" hidden="1" customWidth="1"/>
    <col min="11" max="11" width="36.140625" customWidth="1"/>
  </cols>
  <sheetData>
    <row r="2" spans="1:10" x14ac:dyDescent="0.25">
      <c r="A2" s="1519" t="s">
        <v>1240</v>
      </c>
      <c r="B2" s="1519"/>
      <c r="C2" s="1519"/>
      <c r="D2" s="1519"/>
      <c r="E2" s="1519"/>
      <c r="F2" s="1519"/>
      <c r="G2" s="1519"/>
    </row>
    <row r="3" spans="1:10" x14ac:dyDescent="0.25">
      <c r="A3" s="22"/>
      <c r="B3" s="22"/>
      <c r="C3" s="22"/>
      <c r="D3" s="22"/>
      <c r="E3" s="22"/>
      <c r="F3" s="22"/>
      <c r="G3" s="22"/>
    </row>
    <row r="4" spans="1:10" x14ac:dyDescent="0.25">
      <c r="A4" s="451" t="s">
        <v>1241</v>
      </c>
      <c r="B4" s="451" t="s">
        <v>1242</v>
      </c>
      <c r="C4" s="451" t="s">
        <v>1243</v>
      </c>
      <c r="D4" s="451" t="s">
        <v>1244</v>
      </c>
      <c r="E4" s="451" t="s">
        <v>1245</v>
      </c>
      <c r="F4" s="451" t="s">
        <v>1246</v>
      </c>
      <c r="G4" s="451" t="s">
        <v>1247</v>
      </c>
      <c r="I4" s="1518" t="s">
        <v>1253</v>
      </c>
      <c r="J4" s="1518"/>
    </row>
    <row r="5" spans="1:10" ht="76.5" x14ac:dyDescent="0.25">
      <c r="A5" s="452">
        <v>1</v>
      </c>
      <c r="B5" s="490">
        <v>43495</v>
      </c>
      <c r="C5" s="453" t="s">
        <v>1248</v>
      </c>
      <c r="D5" s="878" t="s">
        <v>1249</v>
      </c>
      <c r="E5" s="878" t="s">
        <v>231</v>
      </c>
      <c r="F5" s="878" t="s">
        <v>1251</v>
      </c>
      <c r="G5" s="878" t="s">
        <v>1251</v>
      </c>
    </row>
    <row r="6" spans="1:10" ht="183.75" customHeight="1" x14ac:dyDescent="0.25">
      <c r="A6" s="1521">
        <v>2</v>
      </c>
      <c r="B6" s="1520">
        <v>43552</v>
      </c>
      <c r="C6" s="454" t="s">
        <v>1305</v>
      </c>
      <c r="D6" s="878" t="s">
        <v>1250</v>
      </c>
      <c r="E6" s="878" t="s">
        <v>1425</v>
      </c>
      <c r="F6" s="878" t="s">
        <v>1252</v>
      </c>
      <c r="G6" s="878" t="s">
        <v>1304</v>
      </c>
      <c r="H6">
        <v>0</v>
      </c>
    </row>
    <row r="7" spans="1:10" ht="76.5" x14ac:dyDescent="0.25">
      <c r="A7" s="1521"/>
      <c r="B7" s="1520"/>
      <c r="C7" s="454" t="s">
        <v>1300</v>
      </c>
      <c r="D7" s="878"/>
      <c r="E7" s="878"/>
      <c r="F7" s="878"/>
      <c r="G7" s="878"/>
      <c r="H7">
        <v>3</v>
      </c>
      <c r="I7" s="456" t="s">
        <v>1254</v>
      </c>
      <c r="J7" s="456" t="s">
        <v>1255</v>
      </c>
    </row>
    <row r="8" spans="1:10" ht="382.5" x14ac:dyDescent="0.25">
      <c r="A8" s="1521"/>
      <c r="B8" s="518">
        <v>43571</v>
      </c>
      <c r="C8" s="489" t="s">
        <v>1805</v>
      </c>
      <c r="D8" s="878" t="s">
        <v>1380</v>
      </c>
      <c r="E8" s="878" t="s">
        <v>1380</v>
      </c>
      <c r="F8" s="878" t="s">
        <v>1379</v>
      </c>
      <c r="G8" s="878" t="s">
        <v>1379</v>
      </c>
      <c r="I8" s="456"/>
      <c r="J8" s="456"/>
    </row>
    <row r="9" spans="1:10" ht="76.5" x14ac:dyDescent="0.25">
      <c r="A9" s="1521"/>
      <c r="B9" s="518">
        <v>43588</v>
      </c>
      <c r="C9" s="489" t="s">
        <v>1806</v>
      </c>
      <c r="D9" s="878" t="s">
        <v>1377</v>
      </c>
      <c r="E9" s="878" t="s">
        <v>1377</v>
      </c>
      <c r="F9" s="878" t="s">
        <v>1377</v>
      </c>
      <c r="G9" s="878" t="s">
        <v>1377</v>
      </c>
    </row>
    <row r="10" spans="1:10" ht="102" x14ac:dyDescent="0.25">
      <c r="A10" s="1521"/>
      <c r="B10" s="518">
        <v>43588</v>
      </c>
      <c r="C10" s="489" t="s">
        <v>1807</v>
      </c>
      <c r="D10" s="878" t="s">
        <v>1407</v>
      </c>
      <c r="E10" s="878" t="s">
        <v>1407</v>
      </c>
      <c r="F10" s="878" t="s">
        <v>1407</v>
      </c>
      <c r="G10" s="878" t="s">
        <v>1408</v>
      </c>
    </row>
    <row r="11" spans="1:10" ht="102" x14ac:dyDescent="0.25">
      <c r="A11" s="564">
        <v>3</v>
      </c>
      <c r="B11" s="548">
        <v>43598</v>
      </c>
      <c r="C11" s="547" t="s">
        <v>1420</v>
      </c>
      <c r="D11" s="878" t="s">
        <v>1801</v>
      </c>
      <c r="E11" s="878" t="s">
        <v>1425</v>
      </c>
      <c r="F11" s="878" t="s">
        <v>1421</v>
      </c>
      <c r="G11" s="878" t="s">
        <v>1304</v>
      </c>
    </row>
    <row r="12" spans="1:10" ht="140.25" x14ac:dyDescent="0.25">
      <c r="A12" s="1522">
        <v>4</v>
      </c>
      <c r="B12" s="1520">
        <v>43628</v>
      </c>
      <c r="C12" s="549" t="s">
        <v>1436</v>
      </c>
      <c r="D12" s="878" t="s">
        <v>1424</v>
      </c>
      <c r="E12" s="878" t="s">
        <v>1425</v>
      </c>
      <c r="F12" s="878" t="s">
        <v>1424</v>
      </c>
      <c r="G12" s="878" t="s">
        <v>1304</v>
      </c>
    </row>
    <row r="13" spans="1:10" ht="127.5" x14ac:dyDescent="0.25">
      <c r="A13" s="1522"/>
      <c r="B13" s="1520"/>
      <c r="C13" s="549" t="s">
        <v>1429</v>
      </c>
      <c r="D13" s="878" t="s">
        <v>1424</v>
      </c>
      <c r="E13" s="878" t="s">
        <v>1425</v>
      </c>
      <c r="F13" s="878" t="s">
        <v>1424</v>
      </c>
      <c r="G13" s="878" t="s">
        <v>1304</v>
      </c>
    </row>
    <row r="14" spans="1:10" ht="89.25" x14ac:dyDescent="0.25">
      <c r="A14" s="1522"/>
      <c r="B14" s="1520"/>
      <c r="C14" s="549" t="s">
        <v>1808</v>
      </c>
      <c r="D14" s="878" t="s">
        <v>1424</v>
      </c>
      <c r="E14" s="878" t="s">
        <v>1425</v>
      </c>
      <c r="F14" s="878" t="s">
        <v>1424</v>
      </c>
      <c r="G14" s="878" t="s">
        <v>1304</v>
      </c>
    </row>
    <row r="15" spans="1:10" ht="89.25" x14ac:dyDescent="0.25">
      <c r="A15" s="1522"/>
      <c r="B15" s="1520"/>
      <c r="C15" s="549" t="s">
        <v>1462</v>
      </c>
      <c r="D15" s="878" t="s">
        <v>1424</v>
      </c>
      <c r="E15" s="878" t="s">
        <v>1425</v>
      </c>
      <c r="F15" s="878" t="s">
        <v>1424</v>
      </c>
      <c r="G15" s="878" t="s">
        <v>1304</v>
      </c>
    </row>
    <row r="16" spans="1:10" ht="89.25" x14ac:dyDescent="0.25">
      <c r="A16" s="1522"/>
      <c r="B16" s="1520"/>
      <c r="C16" s="549" t="s">
        <v>1467</v>
      </c>
      <c r="D16" s="878" t="s">
        <v>1468</v>
      </c>
      <c r="E16" s="878" t="s">
        <v>1425</v>
      </c>
      <c r="F16" s="878" t="s">
        <v>1469</v>
      </c>
      <c r="G16" s="878" t="s">
        <v>1304</v>
      </c>
    </row>
    <row r="17" spans="1:7" ht="89.25" x14ac:dyDescent="0.25">
      <c r="A17" s="1522"/>
      <c r="B17" s="1520"/>
      <c r="C17" s="549" t="s">
        <v>1473</v>
      </c>
      <c r="D17" s="878" t="s">
        <v>1468</v>
      </c>
      <c r="E17" s="878" t="s">
        <v>1425</v>
      </c>
      <c r="F17" s="878" t="s">
        <v>1469</v>
      </c>
      <c r="G17" s="878" t="s">
        <v>1304</v>
      </c>
    </row>
    <row r="18" spans="1:7" ht="102" x14ac:dyDescent="0.25">
      <c r="A18" s="1522"/>
      <c r="B18" s="1520"/>
      <c r="C18" s="549" t="s">
        <v>1809</v>
      </c>
      <c r="D18" s="878" t="s">
        <v>1468</v>
      </c>
      <c r="E18" s="878" t="s">
        <v>1425</v>
      </c>
      <c r="F18" s="878" t="s">
        <v>1469</v>
      </c>
      <c r="G18" s="878" t="s">
        <v>1304</v>
      </c>
    </row>
    <row r="19" spans="1:7" ht="127.5" x14ac:dyDescent="0.25">
      <c r="A19" s="1522"/>
      <c r="B19" s="1520"/>
      <c r="C19" s="549" t="s">
        <v>1481</v>
      </c>
      <c r="D19" s="878" t="s">
        <v>1468</v>
      </c>
      <c r="E19" s="878" t="s">
        <v>1425</v>
      </c>
      <c r="F19" s="878" t="s">
        <v>1469</v>
      </c>
      <c r="G19" s="878" t="s">
        <v>1304</v>
      </c>
    </row>
    <row r="20" spans="1:7" ht="89.25" x14ac:dyDescent="0.25">
      <c r="A20" s="1522"/>
      <c r="B20" s="1520"/>
      <c r="C20" s="549" t="s">
        <v>1482</v>
      </c>
      <c r="D20" s="878" t="s">
        <v>1801</v>
      </c>
      <c r="E20" s="878" t="s">
        <v>1425</v>
      </c>
      <c r="F20" s="878" t="s">
        <v>1421</v>
      </c>
      <c r="G20" s="878" t="s">
        <v>1304</v>
      </c>
    </row>
    <row r="21" spans="1:7" ht="165.75" x14ac:dyDescent="0.25">
      <c r="A21" s="1522"/>
      <c r="B21" s="1520"/>
      <c r="C21" s="549" t="s">
        <v>1486</v>
      </c>
      <c r="D21" s="878" t="s">
        <v>1487</v>
      </c>
      <c r="E21" s="878" t="s">
        <v>1425</v>
      </c>
      <c r="F21" s="878" t="s">
        <v>1250</v>
      </c>
      <c r="G21" s="878" t="s">
        <v>1304</v>
      </c>
    </row>
    <row r="22" spans="1:7" ht="114.75" x14ac:dyDescent="0.25">
      <c r="A22" s="1522"/>
      <c r="B22" s="1520"/>
      <c r="C22" s="549" t="s">
        <v>1488</v>
      </c>
      <c r="D22" s="878" t="s">
        <v>1487</v>
      </c>
      <c r="E22" s="878" t="s">
        <v>1425</v>
      </c>
      <c r="F22" s="878" t="s">
        <v>1250</v>
      </c>
      <c r="G22" s="878" t="s">
        <v>1304</v>
      </c>
    </row>
    <row r="23" spans="1:7" ht="114.75" x14ac:dyDescent="0.25">
      <c r="A23" s="1522"/>
      <c r="B23" s="1520"/>
      <c r="C23" s="549" t="s">
        <v>1489</v>
      </c>
      <c r="D23" s="878" t="s">
        <v>1487</v>
      </c>
      <c r="E23" s="878" t="s">
        <v>1425</v>
      </c>
      <c r="F23" s="878" t="s">
        <v>1250</v>
      </c>
      <c r="G23" s="878" t="s">
        <v>1304</v>
      </c>
    </row>
    <row r="24" spans="1:7" ht="114.75" x14ac:dyDescent="0.25">
      <c r="A24" s="1522"/>
      <c r="B24" s="1520"/>
      <c r="C24" s="549" t="s">
        <v>1493</v>
      </c>
      <c r="D24" s="878" t="s">
        <v>1487</v>
      </c>
      <c r="E24" s="878" t="s">
        <v>1425</v>
      </c>
      <c r="F24" s="878" t="s">
        <v>1250</v>
      </c>
      <c r="G24" s="878" t="s">
        <v>1304</v>
      </c>
    </row>
    <row r="25" spans="1:7" ht="89.25" x14ac:dyDescent="0.25">
      <c r="A25" s="1522"/>
      <c r="B25" s="1520"/>
      <c r="C25" s="549" t="s">
        <v>1495</v>
      </c>
      <c r="D25" s="878" t="s">
        <v>1487</v>
      </c>
      <c r="E25" s="878" t="s">
        <v>1425</v>
      </c>
      <c r="F25" s="878" t="s">
        <v>1250</v>
      </c>
      <c r="G25" s="878" t="s">
        <v>1304</v>
      </c>
    </row>
    <row r="26" spans="1:7" ht="229.5" x14ac:dyDescent="0.25">
      <c r="A26" s="1522"/>
      <c r="B26" s="1520"/>
      <c r="C26" s="549" t="s">
        <v>1498</v>
      </c>
      <c r="D26" s="878" t="s">
        <v>1487</v>
      </c>
      <c r="E26" s="878" t="s">
        <v>1425</v>
      </c>
      <c r="F26" s="878" t="s">
        <v>1250</v>
      </c>
      <c r="G26" s="878" t="s">
        <v>1304</v>
      </c>
    </row>
    <row r="27" spans="1:7" ht="89.25" x14ac:dyDescent="0.25">
      <c r="A27" s="1522"/>
      <c r="B27" s="1520"/>
      <c r="C27" s="549" t="s">
        <v>1499</v>
      </c>
      <c r="D27" s="878" t="s">
        <v>1487</v>
      </c>
      <c r="E27" s="878" t="s">
        <v>1425</v>
      </c>
      <c r="F27" s="878" t="s">
        <v>1250</v>
      </c>
      <c r="G27" s="878" t="s">
        <v>1304</v>
      </c>
    </row>
    <row r="28" spans="1:7" ht="140.25" x14ac:dyDescent="0.25">
      <c r="A28" s="1522"/>
      <c r="B28" s="1520"/>
      <c r="C28" s="549" t="s">
        <v>1502</v>
      </c>
      <c r="D28" s="878" t="s">
        <v>1500</v>
      </c>
      <c r="E28" s="878" t="s">
        <v>1425</v>
      </c>
      <c r="F28" s="878" t="s">
        <v>1501</v>
      </c>
      <c r="G28" s="878" t="s">
        <v>1304</v>
      </c>
    </row>
    <row r="29" spans="1:7" ht="102" x14ac:dyDescent="0.25">
      <c r="A29" s="1522"/>
      <c r="B29" s="1520"/>
      <c r="C29" s="549" t="s">
        <v>1503</v>
      </c>
      <c r="D29" s="878" t="s">
        <v>1500</v>
      </c>
      <c r="E29" s="878" t="s">
        <v>1425</v>
      </c>
      <c r="F29" s="878" t="s">
        <v>1501</v>
      </c>
      <c r="G29" s="878" t="s">
        <v>1304</v>
      </c>
    </row>
    <row r="30" spans="1:7" ht="89.25" x14ac:dyDescent="0.25">
      <c r="A30" s="1522"/>
      <c r="B30" s="1520"/>
      <c r="C30" s="549" t="s">
        <v>1812</v>
      </c>
      <c r="D30" s="878" t="s">
        <v>1504</v>
      </c>
      <c r="E30" s="878" t="s">
        <v>1425</v>
      </c>
      <c r="F30" s="878" t="s">
        <v>1505</v>
      </c>
      <c r="G30" s="878" t="s">
        <v>1304</v>
      </c>
    </row>
    <row r="31" spans="1:7" ht="89.25" x14ac:dyDescent="0.25">
      <c r="A31" s="1522"/>
      <c r="B31" s="1520"/>
      <c r="C31" s="549" t="s">
        <v>1510</v>
      </c>
      <c r="D31" s="878" t="s">
        <v>1504</v>
      </c>
      <c r="E31" s="878" t="s">
        <v>1425</v>
      </c>
      <c r="F31" s="878" t="s">
        <v>1505</v>
      </c>
      <c r="G31" s="878" t="s">
        <v>1304</v>
      </c>
    </row>
    <row r="32" spans="1:7" ht="178.5" x14ac:dyDescent="0.25">
      <c r="A32" s="1522"/>
      <c r="B32" s="1520"/>
      <c r="C32" s="549" t="s">
        <v>1588</v>
      </c>
      <c r="D32" s="878" t="s">
        <v>1504</v>
      </c>
      <c r="E32" s="878" t="s">
        <v>1425</v>
      </c>
      <c r="F32" s="878" t="s">
        <v>1505</v>
      </c>
      <c r="G32" s="878" t="s">
        <v>1304</v>
      </c>
    </row>
    <row r="33" spans="1:7" ht="89.25" x14ac:dyDescent="0.25">
      <c r="A33" s="1522"/>
      <c r="B33" s="1520"/>
      <c r="C33" s="549" t="s">
        <v>1511</v>
      </c>
      <c r="D33" s="878" t="s">
        <v>1505</v>
      </c>
      <c r="E33" s="878" t="s">
        <v>1425</v>
      </c>
      <c r="F33" s="878" t="s">
        <v>1513</v>
      </c>
      <c r="G33" s="878" t="s">
        <v>1304</v>
      </c>
    </row>
    <row r="34" spans="1:7" ht="89.25" x14ac:dyDescent="0.25">
      <c r="A34" s="1522"/>
      <c r="B34" s="1520"/>
      <c r="C34" s="549" t="s">
        <v>1512</v>
      </c>
      <c r="D34" s="878" t="s">
        <v>1505</v>
      </c>
      <c r="E34" s="878" t="s">
        <v>1425</v>
      </c>
      <c r="F34" s="878" t="s">
        <v>1513</v>
      </c>
      <c r="G34" s="878" t="s">
        <v>1304</v>
      </c>
    </row>
    <row r="35" spans="1:7" ht="102" x14ac:dyDescent="0.25">
      <c r="A35" s="1522"/>
      <c r="B35" s="1520"/>
      <c r="C35" s="549" t="s">
        <v>1516</v>
      </c>
      <c r="D35" s="878" t="s">
        <v>1408</v>
      </c>
      <c r="E35" s="878" t="s">
        <v>1425</v>
      </c>
      <c r="F35" s="878" t="s">
        <v>1517</v>
      </c>
      <c r="G35" s="878" t="s">
        <v>1304</v>
      </c>
    </row>
    <row r="36" spans="1:7" ht="89.25" x14ac:dyDescent="0.25">
      <c r="A36" s="1522"/>
      <c r="B36" s="1520"/>
      <c r="C36" s="549" t="s">
        <v>1518</v>
      </c>
      <c r="D36" s="878" t="s">
        <v>1408</v>
      </c>
      <c r="E36" s="878" t="s">
        <v>1425</v>
      </c>
      <c r="F36" s="878" t="s">
        <v>1517</v>
      </c>
      <c r="G36" s="878" t="s">
        <v>1304</v>
      </c>
    </row>
    <row r="37" spans="1:7" ht="89.25" x14ac:dyDescent="0.25">
      <c r="A37" s="1522"/>
      <c r="B37" s="1520"/>
      <c r="C37" s="549" t="s">
        <v>1520</v>
      </c>
      <c r="D37" s="878" t="s">
        <v>1408</v>
      </c>
      <c r="E37" s="878" t="s">
        <v>1425</v>
      </c>
      <c r="F37" s="878" t="s">
        <v>1517</v>
      </c>
      <c r="G37" s="878" t="s">
        <v>1304</v>
      </c>
    </row>
    <row r="38" spans="1:7" ht="90" x14ac:dyDescent="0.25">
      <c r="A38" s="1522"/>
      <c r="B38" s="1520"/>
      <c r="C38" s="56" t="s">
        <v>1524</v>
      </c>
      <c r="D38" s="878" t="s">
        <v>1408</v>
      </c>
      <c r="E38" s="878" t="s">
        <v>1425</v>
      </c>
      <c r="F38" s="878" t="s">
        <v>1517</v>
      </c>
      <c r="G38" s="878" t="s">
        <v>1304</v>
      </c>
    </row>
    <row r="39" spans="1:7" ht="89.25" x14ac:dyDescent="0.25">
      <c r="A39" s="1522"/>
      <c r="B39" s="1520"/>
      <c r="C39" s="549" t="s">
        <v>1528</v>
      </c>
      <c r="D39" s="878" t="s">
        <v>1408</v>
      </c>
      <c r="E39" s="878" t="s">
        <v>1425</v>
      </c>
      <c r="F39" s="878" t="s">
        <v>1517</v>
      </c>
      <c r="G39" s="878" t="s">
        <v>1304</v>
      </c>
    </row>
    <row r="40" spans="1:7" ht="140.25" x14ac:dyDescent="0.25">
      <c r="A40" s="1522"/>
      <c r="B40" s="1520"/>
      <c r="C40" s="549" t="s">
        <v>1530</v>
      </c>
      <c r="D40" s="878" t="s">
        <v>1408</v>
      </c>
      <c r="E40" s="878" t="s">
        <v>1425</v>
      </c>
      <c r="F40" s="878" t="s">
        <v>1517</v>
      </c>
      <c r="G40" s="878" t="s">
        <v>1304</v>
      </c>
    </row>
    <row r="41" spans="1:7" ht="89.25" x14ac:dyDescent="0.25">
      <c r="A41" s="1522"/>
      <c r="B41" s="1520"/>
      <c r="C41" s="549" t="s">
        <v>1532</v>
      </c>
      <c r="D41" s="878" t="s">
        <v>1408</v>
      </c>
      <c r="E41" s="878" t="s">
        <v>1425</v>
      </c>
      <c r="F41" s="878" t="s">
        <v>1517</v>
      </c>
      <c r="G41" s="878" t="s">
        <v>1304</v>
      </c>
    </row>
    <row r="42" spans="1:7" ht="89.25" x14ac:dyDescent="0.25">
      <c r="A42" s="1522"/>
      <c r="B42" s="1520"/>
      <c r="C42" s="549" t="s">
        <v>1534</v>
      </c>
      <c r="D42" s="878" t="s">
        <v>1408</v>
      </c>
      <c r="E42" s="878" t="s">
        <v>1425</v>
      </c>
      <c r="F42" s="878" t="s">
        <v>1517</v>
      </c>
      <c r="G42" s="878" t="s">
        <v>1304</v>
      </c>
    </row>
    <row r="43" spans="1:7" ht="89.25" x14ac:dyDescent="0.25">
      <c r="A43" s="1522"/>
      <c r="B43" s="1520"/>
      <c r="C43" s="549" t="s">
        <v>1536</v>
      </c>
      <c r="D43" s="878" t="s">
        <v>1408</v>
      </c>
      <c r="E43" s="878" t="s">
        <v>1425</v>
      </c>
      <c r="F43" s="878" t="s">
        <v>1517</v>
      </c>
      <c r="G43" s="878" t="s">
        <v>1304</v>
      </c>
    </row>
    <row r="44" spans="1:7" ht="159" customHeight="1" x14ac:dyDescent="0.25">
      <c r="A44" s="1522"/>
      <c r="B44" s="1520"/>
      <c r="C44" s="549" t="s">
        <v>1539</v>
      </c>
      <c r="D44" s="878" t="s">
        <v>1408</v>
      </c>
      <c r="E44" s="878" t="s">
        <v>1425</v>
      </c>
      <c r="F44" s="878" t="s">
        <v>1517</v>
      </c>
      <c r="G44" s="878" t="s">
        <v>1304</v>
      </c>
    </row>
    <row r="45" spans="1:7" ht="127.5" x14ac:dyDescent="0.25">
      <c r="A45" s="1522"/>
      <c r="B45" s="1520"/>
      <c r="C45" s="549" t="s">
        <v>1810</v>
      </c>
      <c r="D45" s="878" t="s">
        <v>1408</v>
      </c>
      <c r="E45" s="878" t="s">
        <v>1425</v>
      </c>
      <c r="F45" s="878" t="s">
        <v>1517</v>
      </c>
      <c r="G45" s="878" t="s">
        <v>1304</v>
      </c>
    </row>
    <row r="46" spans="1:7" ht="89.25" x14ac:dyDescent="0.25">
      <c r="A46" s="1522"/>
      <c r="B46" s="1520"/>
      <c r="C46" s="549" t="s">
        <v>1542</v>
      </c>
      <c r="D46" s="878" t="s">
        <v>1408</v>
      </c>
      <c r="E46" s="878" t="s">
        <v>1425</v>
      </c>
      <c r="F46" s="878" t="s">
        <v>1517</v>
      </c>
      <c r="G46" s="878" t="s">
        <v>1304</v>
      </c>
    </row>
    <row r="47" spans="1:7" ht="127.5" x14ac:dyDescent="0.25">
      <c r="A47" s="1522"/>
      <c r="B47" s="1520"/>
      <c r="C47" s="549" t="s">
        <v>1544</v>
      </c>
      <c r="D47" s="878" t="s">
        <v>1408</v>
      </c>
      <c r="E47" s="878" t="s">
        <v>1425</v>
      </c>
      <c r="F47" s="878" t="s">
        <v>1517</v>
      </c>
      <c r="G47" s="878" t="s">
        <v>1304</v>
      </c>
    </row>
    <row r="48" spans="1:7" ht="89.25" x14ac:dyDescent="0.25">
      <c r="A48" s="1522"/>
      <c r="B48" s="1520"/>
      <c r="C48" s="549" t="s">
        <v>1546</v>
      </c>
      <c r="D48" s="878" t="s">
        <v>1408</v>
      </c>
      <c r="E48" s="878" t="s">
        <v>1425</v>
      </c>
      <c r="F48" s="878" t="s">
        <v>1517</v>
      </c>
      <c r="G48" s="878" t="s">
        <v>1304</v>
      </c>
    </row>
    <row r="49" spans="1:7" ht="89.25" x14ac:dyDescent="0.25">
      <c r="A49" s="1522"/>
      <c r="B49" s="1520"/>
      <c r="C49" s="549" t="s">
        <v>1547</v>
      </c>
      <c r="D49" s="878" t="s">
        <v>1811</v>
      </c>
      <c r="E49" s="878" t="s">
        <v>1425</v>
      </c>
      <c r="F49" s="878" t="s">
        <v>1548</v>
      </c>
      <c r="G49" s="878" t="s">
        <v>1304</v>
      </c>
    </row>
    <row r="50" spans="1:7" ht="89.25" x14ac:dyDescent="0.25">
      <c r="A50" s="1522"/>
      <c r="B50" s="1520"/>
      <c r="C50" s="549" t="s">
        <v>1549</v>
      </c>
      <c r="D50" s="878" t="s">
        <v>1811</v>
      </c>
      <c r="E50" s="878" t="s">
        <v>1425</v>
      </c>
      <c r="F50" s="878" t="s">
        <v>1548</v>
      </c>
      <c r="G50" s="878" t="s">
        <v>1304</v>
      </c>
    </row>
    <row r="51" spans="1:7" ht="89.25" x14ac:dyDescent="0.25">
      <c r="A51" s="1522"/>
      <c r="B51" s="1520"/>
      <c r="C51" s="549" t="s">
        <v>1550</v>
      </c>
      <c r="D51" s="878" t="s">
        <v>1811</v>
      </c>
      <c r="E51" s="878" t="s">
        <v>1425</v>
      </c>
      <c r="F51" s="878" t="s">
        <v>1548</v>
      </c>
      <c r="G51" s="878" t="s">
        <v>1304</v>
      </c>
    </row>
    <row r="52" spans="1:7" ht="89.25" x14ac:dyDescent="0.25">
      <c r="A52" s="1522"/>
      <c r="B52" s="1520"/>
      <c r="C52" s="549" t="s">
        <v>1552</v>
      </c>
      <c r="D52" s="878" t="s">
        <v>1811</v>
      </c>
      <c r="E52" s="878" t="s">
        <v>1425</v>
      </c>
      <c r="F52" s="878" t="s">
        <v>1548</v>
      </c>
      <c r="G52" s="878" t="s">
        <v>1304</v>
      </c>
    </row>
    <row r="53" spans="1:7" ht="127.5" x14ac:dyDescent="0.25">
      <c r="A53" s="1522"/>
      <c r="B53" s="1520"/>
      <c r="C53" s="549" t="s">
        <v>1553</v>
      </c>
      <c r="D53" s="878" t="s">
        <v>1811</v>
      </c>
      <c r="E53" s="878" t="s">
        <v>1425</v>
      </c>
      <c r="F53" s="878" t="s">
        <v>1548</v>
      </c>
      <c r="G53" s="878" t="s">
        <v>1304</v>
      </c>
    </row>
    <row r="54" spans="1:7" ht="89.25" x14ac:dyDescent="0.25">
      <c r="A54" s="1522"/>
      <c r="B54" s="1520"/>
      <c r="C54" s="549" t="s">
        <v>1554</v>
      </c>
      <c r="D54" s="878" t="s">
        <v>1811</v>
      </c>
      <c r="E54" s="878" t="s">
        <v>1425</v>
      </c>
      <c r="F54" s="878" t="s">
        <v>1548</v>
      </c>
      <c r="G54" s="878" t="s">
        <v>1304</v>
      </c>
    </row>
    <row r="55" spans="1:7" ht="89.25" x14ac:dyDescent="0.25">
      <c r="A55" s="1522"/>
      <c r="B55" s="1520"/>
      <c r="C55" s="549" t="s">
        <v>1556</v>
      </c>
      <c r="D55" s="878" t="s">
        <v>1811</v>
      </c>
      <c r="E55" s="878" t="s">
        <v>1425</v>
      </c>
      <c r="F55" s="878" t="s">
        <v>1548</v>
      </c>
      <c r="G55" s="878" t="s">
        <v>1304</v>
      </c>
    </row>
    <row r="56" spans="1:7" ht="153" x14ac:dyDescent="0.25">
      <c r="A56" s="1522"/>
      <c r="B56" s="1520"/>
      <c r="C56" s="549" t="s">
        <v>1578</v>
      </c>
      <c r="D56" s="878" t="s">
        <v>1811</v>
      </c>
      <c r="E56" s="878" t="s">
        <v>1425</v>
      </c>
      <c r="F56" s="878" t="s">
        <v>1548</v>
      </c>
      <c r="G56" s="878" t="s">
        <v>1304</v>
      </c>
    </row>
    <row r="57" spans="1:7" ht="89.25" x14ac:dyDescent="0.25">
      <c r="A57" s="1522"/>
      <c r="B57" s="1520"/>
      <c r="C57" s="549" t="s">
        <v>1562</v>
      </c>
      <c r="D57" s="878" t="s">
        <v>1811</v>
      </c>
      <c r="E57" s="878" t="s">
        <v>1425</v>
      </c>
      <c r="F57" s="878" t="s">
        <v>1548</v>
      </c>
      <c r="G57" s="878" t="s">
        <v>1304</v>
      </c>
    </row>
    <row r="58" spans="1:7" ht="153" x14ac:dyDescent="0.25">
      <c r="A58" s="1522"/>
      <c r="B58" s="1520"/>
      <c r="C58" s="549" t="s">
        <v>1579</v>
      </c>
      <c r="D58" s="878" t="s">
        <v>1811</v>
      </c>
      <c r="E58" s="878" t="s">
        <v>1425</v>
      </c>
      <c r="F58" s="878" t="s">
        <v>1548</v>
      </c>
      <c r="G58" s="878" t="s">
        <v>1304</v>
      </c>
    </row>
    <row r="59" spans="1:7" ht="89.25" x14ac:dyDescent="0.25">
      <c r="A59" s="1522"/>
      <c r="B59" s="1520"/>
      <c r="C59" s="549" t="s">
        <v>1580</v>
      </c>
      <c r="D59" s="878" t="s">
        <v>1811</v>
      </c>
      <c r="E59" s="878" t="s">
        <v>1425</v>
      </c>
      <c r="F59" s="878" t="s">
        <v>1548</v>
      </c>
      <c r="G59" s="878" t="s">
        <v>1304</v>
      </c>
    </row>
    <row r="60" spans="1:7" ht="89.25" x14ac:dyDescent="0.25">
      <c r="A60" s="1522"/>
      <c r="B60" s="1520"/>
      <c r="C60" s="549" t="s">
        <v>1582</v>
      </c>
      <c r="D60" s="878" t="s">
        <v>1581</v>
      </c>
      <c r="E60" s="878" t="s">
        <v>1425</v>
      </c>
      <c r="F60" s="878" t="s">
        <v>1548</v>
      </c>
      <c r="G60" s="878" t="s">
        <v>1304</v>
      </c>
    </row>
    <row r="61" spans="1:7" ht="89.25" x14ac:dyDescent="0.25">
      <c r="A61" s="1522"/>
      <c r="B61" s="1520"/>
      <c r="C61" s="549" t="s">
        <v>1585</v>
      </c>
      <c r="D61" s="878" t="s">
        <v>1584</v>
      </c>
      <c r="E61" s="878" t="s">
        <v>1425</v>
      </c>
      <c r="F61" s="878" t="s">
        <v>1548</v>
      </c>
      <c r="G61" s="878" t="s">
        <v>1304</v>
      </c>
    </row>
    <row r="62" spans="1:7" ht="89.25" x14ac:dyDescent="0.25">
      <c r="A62" s="1522"/>
      <c r="B62" s="1520"/>
      <c r="C62" s="549" t="s">
        <v>1586</v>
      </c>
      <c r="D62" s="878" t="s">
        <v>1584</v>
      </c>
      <c r="E62" s="878" t="s">
        <v>1425</v>
      </c>
      <c r="F62" s="878" t="s">
        <v>1548</v>
      </c>
      <c r="G62" s="878" t="s">
        <v>1304</v>
      </c>
    </row>
    <row r="63" spans="1:7" ht="106.5" customHeight="1" x14ac:dyDescent="0.25">
      <c r="A63" s="1513">
        <v>5</v>
      </c>
      <c r="B63" s="953">
        <v>43644</v>
      </c>
      <c r="C63" s="878" t="s">
        <v>1802</v>
      </c>
      <c r="D63" s="878" t="s">
        <v>1800</v>
      </c>
      <c r="E63" s="878" t="s">
        <v>1801</v>
      </c>
      <c r="F63" s="878" t="s">
        <v>1505</v>
      </c>
      <c r="G63" s="878" t="s">
        <v>1304</v>
      </c>
    </row>
    <row r="64" spans="1:7" ht="127.5" x14ac:dyDescent="0.25">
      <c r="A64" s="1513"/>
      <c r="B64" s="1517">
        <v>43718</v>
      </c>
      <c r="C64" s="878" t="s">
        <v>1762</v>
      </c>
      <c r="D64" s="878" t="s">
        <v>1584</v>
      </c>
      <c r="E64" s="878" t="s">
        <v>1425</v>
      </c>
      <c r="F64" s="878" t="s">
        <v>1548</v>
      </c>
      <c r="G64" s="878" t="s">
        <v>1304</v>
      </c>
    </row>
    <row r="65" spans="1:7" ht="126" customHeight="1" x14ac:dyDescent="0.25">
      <c r="A65" s="1513"/>
      <c r="B65" s="1517"/>
      <c r="C65" s="878" t="s">
        <v>1803</v>
      </c>
      <c r="D65" s="878" t="s">
        <v>1304</v>
      </c>
      <c r="E65" s="878" t="s">
        <v>1425</v>
      </c>
      <c r="F65" s="878" t="s">
        <v>1304</v>
      </c>
      <c r="G65" s="878" t="s">
        <v>1304</v>
      </c>
    </row>
    <row r="66" spans="1:7" ht="89.25" x14ac:dyDescent="0.25">
      <c r="A66" s="1513"/>
      <c r="B66" s="1517"/>
      <c r="C66" s="878" t="s">
        <v>1775</v>
      </c>
      <c r="D66" s="878" t="s">
        <v>1505</v>
      </c>
      <c r="E66" s="878" t="s">
        <v>1425</v>
      </c>
      <c r="F66" s="878" t="s">
        <v>1505</v>
      </c>
      <c r="G66" s="878" t="s">
        <v>1304</v>
      </c>
    </row>
    <row r="67" spans="1:7" ht="89.25" x14ac:dyDescent="0.25">
      <c r="A67" s="1513"/>
      <c r="B67" s="1517"/>
      <c r="C67" s="878" t="s">
        <v>1781</v>
      </c>
      <c r="D67" s="878" t="s">
        <v>1782</v>
      </c>
      <c r="E67" s="878" t="s">
        <v>1425</v>
      </c>
      <c r="F67" s="878" t="s">
        <v>1782</v>
      </c>
      <c r="G67" s="878" t="s">
        <v>1304</v>
      </c>
    </row>
    <row r="68" spans="1:7" ht="89.25" x14ac:dyDescent="0.25">
      <c r="A68" s="1513"/>
      <c r="B68" s="1517"/>
      <c r="C68" s="878" t="s">
        <v>1804</v>
      </c>
      <c r="D68" s="878" t="s">
        <v>1505</v>
      </c>
      <c r="E68" s="878" t="s">
        <v>1425</v>
      </c>
      <c r="F68" s="878" t="s">
        <v>1505</v>
      </c>
      <c r="G68" s="878" t="s">
        <v>1304</v>
      </c>
    </row>
    <row r="73" spans="1:7" x14ac:dyDescent="0.25">
      <c r="D73" s="85"/>
    </row>
  </sheetData>
  <sheetProtection algorithmName="SHA-512" hashValue="DEPDu23xX7IG705VtZ66u2ZKZCNEX9P9me6TTGNuIYULRFhMcdO+4oH4yGGPDE2o4EPxq5WpcbSaAQKyeMl4xg==" saltValue="Op04DfWbtBHdwd1u0LLzsA==" spinCount="100000" sheet="1" objects="1" scenarios="1"/>
  <mergeCells count="8">
    <mergeCell ref="B64:B68"/>
    <mergeCell ref="A63:A68"/>
    <mergeCell ref="I4:J4"/>
    <mergeCell ref="A2:G2"/>
    <mergeCell ref="B6:B7"/>
    <mergeCell ref="A6:A10"/>
    <mergeCell ref="A12:A62"/>
    <mergeCell ref="B12:B6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U45"/>
  <sheetViews>
    <sheetView showGridLines="0" zoomScale="80" zoomScaleNormal="80" workbookViewId="0">
      <selection activeCell="C13" sqref="C13"/>
    </sheetView>
  </sheetViews>
  <sheetFormatPr baseColWidth="10" defaultRowHeight="12.75" x14ac:dyDescent="0.2"/>
  <cols>
    <col min="1" max="1" width="17.85546875" style="22" customWidth="1"/>
    <col min="2" max="2" width="20.42578125" style="22" customWidth="1"/>
    <col min="3" max="3" width="15.42578125" style="22" customWidth="1"/>
    <col min="4" max="5" width="8" style="22" customWidth="1"/>
    <col min="6" max="6" width="18.42578125" style="22" customWidth="1"/>
    <col min="7" max="7" width="30.5703125" style="22" customWidth="1"/>
    <col min="8" max="8" width="18.5703125" style="22" customWidth="1"/>
    <col min="9" max="9" width="40.5703125" style="22" customWidth="1"/>
    <col min="10" max="10" width="14" style="22" customWidth="1"/>
    <col min="11" max="11" width="32.5703125" style="22" customWidth="1"/>
    <col min="12" max="12" width="14.85546875" style="136" customWidth="1"/>
    <col min="13" max="13" width="15" style="22" customWidth="1"/>
    <col min="14" max="14" width="14.5703125" style="22" customWidth="1"/>
    <col min="15" max="15" width="56.5703125" style="22" customWidth="1"/>
    <col min="16" max="16" width="24.140625" style="22" customWidth="1"/>
    <col min="17" max="17" width="17.28515625" style="22" customWidth="1"/>
    <col min="18" max="18" width="21.42578125" style="22" customWidth="1"/>
    <col min="19" max="19" width="23.7109375" style="22" customWidth="1"/>
    <col min="20" max="20" width="25.7109375" style="22" customWidth="1"/>
    <col min="21" max="21" width="35" style="22" customWidth="1"/>
    <col min="22" max="22" width="19.140625" style="22" customWidth="1"/>
    <col min="23" max="23" width="33.7109375" style="22" customWidth="1"/>
    <col min="24" max="24" width="31" style="22" customWidth="1"/>
    <col min="25" max="25" width="28.28515625" style="22" customWidth="1"/>
    <col min="26" max="26" width="14.5703125" style="22" customWidth="1"/>
    <col min="27" max="27" width="35.7109375" style="22" customWidth="1"/>
    <col min="28" max="28" width="27.7109375" style="22" customWidth="1"/>
    <col min="29" max="29" width="25.7109375" style="22" customWidth="1"/>
    <col min="30" max="30" width="13.85546875" style="78" customWidth="1"/>
    <col min="31" max="31" width="35.7109375" style="78" customWidth="1"/>
    <col min="32" max="32" width="27.7109375" style="78" customWidth="1"/>
    <col min="33" max="33" width="13.5703125" style="78" customWidth="1"/>
    <col min="34" max="34" width="27.7109375" style="78" customWidth="1"/>
    <col min="35" max="35" width="11.42578125" style="78" customWidth="1"/>
    <col min="36" max="36" width="15.7109375" style="78" customWidth="1"/>
    <col min="37" max="37" width="11.42578125" style="78" customWidth="1"/>
    <col min="38" max="38" width="15.7109375" style="78" customWidth="1"/>
    <col min="39" max="39" width="50.7109375" style="78" customWidth="1"/>
    <col min="40" max="40" width="13.7109375" style="78" customWidth="1"/>
    <col min="41" max="41" width="35.7109375" style="78" customWidth="1"/>
    <col min="42" max="42" width="27.7109375" style="78" customWidth="1"/>
    <col min="43" max="43" width="17.140625" style="78" customWidth="1"/>
    <col min="44" max="44" width="27.7109375" style="78" customWidth="1"/>
    <col min="45" max="45" width="13.7109375" style="78" customWidth="1"/>
    <col min="46" max="46" width="15.7109375" style="78" customWidth="1"/>
    <col min="47" max="47" width="13.7109375" style="78" customWidth="1"/>
    <col min="48" max="48" width="15.7109375" style="78" customWidth="1"/>
    <col min="49" max="49" width="50.7109375" style="78" customWidth="1"/>
    <col min="50" max="50" width="13.7109375" style="78" customWidth="1"/>
    <col min="51" max="51" width="35.7109375" style="78" customWidth="1"/>
    <col min="52" max="52" width="27.7109375" style="78" customWidth="1"/>
    <col min="53" max="53" width="18" style="78" customWidth="1"/>
    <col min="54" max="54" width="27.7109375" style="78" customWidth="1"/>
    <col min="55" max="55" width="13.7109375" style="78" customWidth="1"/>
    <col min="56" max="56" width="15.7109375" style="78" customWidth="1"/>
    <col min="57" max="57" width="13.7109375" style="78" customWidth="1"/>
    <col min="58" max="58" width="15.7109375" style="78" customWidth="1"/>
    <col min="59" max="59" width="50.7109375" style="78" customWidth="1"/>
    <col min="60" max="60" width="13.7109375" style="78" customWidth="1"/>
    <col min="61" max="61" width="35.7109375" style="78" customWidth="1"/>
    <col min="62" max="62" width="27.7109375" style="78" customWidth="1"/>
    <col min="63" max="63" width="13.7109375" style="78" customWidth="1"/>
    <col min="64" max="64" width="27.7109375" style="78" customWidth="1"/>
    <col min="65" max="65" width="13.7109375" style="78" customWidth="1"/>
    <col min="66" max="66" width="15.7109375" style="78" customWidth="1"/>
    <col min="67" max="67" width="13.7109375" style="78" customWidth="1"/>
    <col min="68" max="68" width="15.7109375" style="78" customWidth="1"/>
    <col min="69" max="69" width="50.7109375" style="78" customWidth="1"/>
    <col min="70" max="70" width="13.7109375" style="78" customWidth="1"/>
    <col min="71" max="71" width="15.7109375" style="78" customWidth="1"/>
    <col min="72" max="72" width="15.42578125" style="78" customWidth="1"/>
    <col min="73" max="73" width="15.7109375" style="78" customWidth="1"/>
    <col min="74" max="74" width="13.7109375" style="78" customWidth="1"/>
    <col min="75" max="75" width="15.7109375" style="78" customWidth="1"/>
    <col min="76" max="76" width="13.7109375" style="78" customWidth="1"/>
    <col min="77" max="77" width="15.7109375" style="78" customWidth="1"/>
    <col min="78" max="78" width="11.42578125" style="78" hidden="1" customWidth="1"/>
    <col min="79" max="16384" width="11.42578125" style="78"/>
  </cols>
  <sheetData>
    <row r="1" spans="1:229" ht="22.5" customHeight="1" x14ac:dyDescent="0.2">
      <c r="A1" s="1099"/>
      <c r="B1" s="1100"/>
      <c r="C1" s="1105" t="s">
        <v>246</v>
      </c>
      <c r="D1" s="1106"/>
      <c r="E1" s="1106"/>
      <c r="F1" s="1106"/>
      <c r="G1" s="1106"/>
      <c r="H1" s="1106"/>
      <c r="I1" s="1106"/>
      <c r="J1" s="1107"/>
      <c r="K1" s="1108" t="s">
        <v>247</v>
      </c>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9"/>
      <c r="BV1" s="1177"/>
      <c r="BW1" s="1178"/>
      <c r="BX1" s="1178"/>
      <c r="BY1" s="1178"/>
    </row>
    <row r="2" spans="1:229" ht="24" customHeight="1" x14ac:dyDescent="0.2">
      <c r="A2" s="1101"/>
      <c r="B2" s="1102"/>
      <c r="C2" s="1126" t="s">
        <v>248</v>
      </c>
      <c r="D2" s="1127"/>
      <c r="E2" s="1127"/>
      <c r="F2" s="1127"/>
      <c r="G2" s="1127"/>
      <c r="H2" s="1127"/>
      <c r="I2" s="1127"/>
      <c r="J2" s="1128"/>
      <c r="K2" s="1129" t="s">
        <v>254</v>
      </c>
      <c r="L2" s="1131" t="s">
        <v>250</v>
      </c>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t="s">
        <v>249</v>
      </c>
      <c r="BU2" s="1133">
        <v>2</v>
      </c>
      <c r="BV2" s="1179"/>
      <c r="BW2" s="1180"/>
      <c r="BX2" s="1180"/>
      <c r="BY2" s="1180"/>
    </row>
    <row r="3" spans="1:229" ht="25.5" customHeight="1" thickBot="1" x14ac:dyDescent="0.25">
      <c r="A3" s="1103"/>
      <c r="B3" s="1104"/>
      <c r="C3" s="1135" t="s">
        <v>242</v>
      </c>
      <c r="D3" s="1136"/>
      <c r="E3" s="1136"/>
      <c r="F3" s="1136"/>
      <c r="G3" s="1136"/>
      <c r="H3" s="1136"/>
      <c r="I3" s="1136"/>
      <c r="J3" s="1137"/>
      <c r="K3" s="1130"/>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4"/>
      <c r="BV3" s="1181"/>
      <c r="BW3" s="1182"/>
      <c r="BX3" s="1182"/>
      <c r="BY3" s="1182"/>
    </row>
    <row r="4" spans="1:229" x14ac:dyDescent="0.2">
      <c r="G4" s="133"/>
      <c r="H4" s="133"/>
      <c r="I4" s="133"/>
      <c r="J4" s="133"/>
      <c r="K4" s="133"/>
      <c r="L4" s="133"/>
      <c r="M4" s="133"/>
      <c r="N4" s="133"/>
      <c r="O4" s="133"/>
      <c r="P4" s="133"/>
      <c r="Q4" s="133"/>
      <c r="R4" s="133"/>
    </row>
    <row r="5" spans="1:229" x14ac:dyDescent="0.2">
      <c r="A5" s="134" t="s">
        <v>346</v>
      </c>
      <c r="G5" s="1116"/>
      <c r="H5" s="1116"/>
      <c r="I5" s="1116"/>
      <c r="J5" s="1116"/>
      <c r="K5" s="1116"/>
      <c r="L5" s="1116"/>
      <c r="M5" s="1116"/>
      <c r="N5" s="1116"/>
      <c r="O5" s="1116"/>
      <c r="P5" s="1116"/>
      <c r="Q5" s="1116"/>
      <c r="R5" s="1116"/>
      <c r="T5" s="135"/>
    </row>
    <row r="6" spans="1:229" ht="13.5" thickBot="1" x14ac:dyDescent="0.25">
      <c r="A6" s="134"/>
      <c r="G6" s="163"/>
      <c r="H6" s="163"/>
      <c r="I6" s="163"/>
      <c r="J6" s="163"/>
      <c r="K6" s="163"/>
      <c r="L6" s="163"/>
      <c r="M6" s="163"/>
      <c r="N6" s="163"/>
      <c r="O6" s="163"/>
      <c r="P6" s="163"/>
      <c r="Q6" s="163"/>
      <c r="R6" s="163"/>
      <c r="T6" s="135"/>
    </row>
    <row r="7" spans="1:229" ht="29.25" customHeight="1" thickBot="1" x14ac:dyDescent="0.25">
      <c r="A7" s="1149" t="s">
        <v>30</v>
      </c>
      <c r="B7" s="1082" t="s">
        <v>31</v>
      </c>
      <c r="C7" s="1082" t="s">
        <v>255</v>
      </c>
      <c r="D7" s="1082" t="s">
        <v>255</v>
      </c>
      <c r="E7" s="1082"/>
      <c r="F7" s="1082" t="s">
        <v>57</v>
      </c>
      <c r="G7" s="1082" t="s">
        <v>257</v>
      </c>
      <c r="H7" s="1082" t="s">
        <v>256</v>
      </c>
      <c r="I7" s="1082" t="s">
        <v>258</v>
      </c>
      <c r="J7" s="1082" t="s">
        <v>32</v>
      </c>
      <c r="K7" s="1082" t="s">
        <v>49</v>
      </c>
      <c r="L7" s="1082" t="s">
        <v>35</v>
      </c>
      <c r="M7" s="1082" t="s">
        <v>8</v>
      </c>
      <c r="N7" s="1082" t="s">
        <v>33</v>
      </c>
      <c r="O7" s="1082" t="s">
        <v>50</v>
      </c>
      <c r="P7" s="1082" t="s">
        <v>151</v>
      </c>
      <c r="Q7" s="1082" t="s">
        <v>5</v>
      </c>
      <c r="R7" s="1082" t="s">
        <v>37</v>
      </c>
      <c r="S7" s="1082" t="s">
        <v>36</v>
      </c>
      <c r="T7" s="1082" t="s">
        <v>38</v>
      </c>
      <c r="U7" s="1082" t="s">
        <v>39</v>
      </c>
      <c r="V7" s="1082" t="s">
        <v>6</v>
      </c>
      <c r="W7" s="1082" t="s">
        <v>1268</v>
      </c>
      <c r="X7" s="1082" t="s">
        <v>0</v>
      </c>
      <c r="Y7" s="1082" t="s">
        <v>34</v>
      </c>
      <c r="Z7" s="1082" t="s">
        <v>8</v>
      </c>
      <c r="AA7" s="1082" t="s">
        <v>188</v>
      </c>
      <c r="AB7" s="1082" t="s">
        <v>151</v>
      </c>
      <c r="AC7" s="1087" t="s">
        <v>9</v>
      </c>
      <c r="AD7" s="1111" t="s">
        <v>190</v>
      </c>
      <c r="AE7" s="1111"/>
      <c r="AF7" s="1111"/>
      <c r="AG7" s="1111"/>
      <c r="AH7" s="1111"/>
      <c r="AI7" s="1111"/>
      <c r="AJ7" s="1111"/>
      <c r="AK7" s="1111"/>
      <c r="AL7" s="1111"/>
      <c r="AM7" s="1112"/>
      <c r="AN7" s="1113" t="s">
        <v>192</v>
      </c>
      <c r="AO7" s="1114"/>
      <c r="AP7" s="1114"/>
      <c r="AQ7" s="1114"/>
      <c r="AR7" s="1114"/>
      <c r="AS7" s="1114"/>
      <c r="AT7" s="1114"/>
      <c r="AU7" s="1114"/>
      <c r="AV7" s="1114"/>
      <c r="AW7" s="1115"/>
      <c r="AX7" s="1110" t="s">
        <v>191</v>
      </c>
      <c r="AY7" s="1111"/>
      <c r="AZ7" s="1111"/>
      <c r="BA7" s="1111"/>
      <c r="BB7" s="1111"/>
      <c r="BC7" s="1111"/>
      <c r="BD7" s="1111"/>
      <c r="BE7" s="1111"/>
      <c r="BF7" s="1111"/>
      <c r="BG7" s="1112"/>
      <c r="BH7" s="1113" t="s">
        <v>193</v>
      </c>
      <c r="BI7" s="1114"/>
      <c r="BJ7" s="1114"/>
      <c r="BK7" s="1114"/>
      <c r="BL7" s="1114"/>
      <c r="BM7" s="1114"/>
      <c r="BN7" s="1114"/>
      <c r="BO7" s="1114"/>
      <c r="BP7" s="1114"/>
      <c r="BQ7" s="1115"/>
      <c r="BR7" s="1117" t="s">
        <v>1150</v>
      </c>
      <c r="BS7" s="1118"/>
      <c r="BT7" s="1118"/>
      <c r="BU7" s="1118"/>
      <c r="BV7" s="1118"/>
      <c r="BW7" s="1118"/>
      <c r="BX7" s="1118"/>
      <c r="BY7" s="1119"/>
    </row>
    <row r="8" spans="1:229" s="162" customFormat="1" ht="40.5" customHeight="1" x14ac:dyDescent="0.2">
      <c r="A8" s="1150"/>
      <c r="B8" s="1083"/>
      <c r="C8" s="1083"/>
      <c r="D8" s="690">
        <v>2</v>
      </c>
      <c r="E8" s="690">
        <v>3</v>
      </c>
      <c r="F8" s="1083"/>
      <c r="G8" s="1083"/>
      <c r="H8" s="1083"/>
      <c r="I8" s="1083"/>
      <c r="J8" s="1083"/>
      <c r="K8" s="1083"/>
      <c r="L8" s="1083"/>
      <c r="M8" s="1083"/>
      <c r="N8" s="1083"/>
      <c r="O8" s="1083"/>
      <c r="P8" s="1083"/>
      <c r="Q8" s="1083"/>
      <c r="R8" s="1083"/>
      <c r="S8" s="1083"/>
      <c r="T8" s="1083"/>
      <c r="U8" s="1083"/>
      <c r="V8" s="1083"/>
      <c r="W8" s="1083"/>
      <c r="X8" s="1083"/>
      <c r="Y8" s="1083"/>
      <c r="Z8" s="1083"/>
      <c r="AA8" s="1083"/>
      <c r="AB8" s="1083"/>
      <c r="AC8" s="1088"/>
      <c r="AD8" s="167" t="s">
        <v>8</v>
      </c>
      <c r="AE8" s="141" t="s">
        <v>50</v>
      </c>
      <c r="AF8" s="141" t="s">
        <v>151</v>
      </c>
      <c r="AG8" s="141" t="s">
        <v>8</v>
      </c>
      <c r="AH8" s="141" t="s">
        <v>151</v>
      </c>
      <c r="AI8" s="141" t="s">
        <v>7</v>
      </c>
      <c r="AJ8" s="141" t="s">
        <v>10</v>
      </c>
      <c r="AK8" s="141" t="s">
        <v>7</v>
      </c>
      <c r="AL8" s="141" t="s">
        <v>10</v>
      </c>
      <c r="AM8" s="141" t="s">
        <v>189</v>
      </c>
      <c r="AN8" s="138" t="s">
        <v>8</v>
      </c>
      <c r="AO8" s="138" t="s">
        <v>50</v>
      </c>
      <c r="AP8" s="138" t="s">
        <v>151</v>
      </c>
      <c r="AQ8" s="138" t="s">
        <v>8</v>
      </c>
      <c r="AR8" s="138" t="s">
        <v>151</v>
      </c>
      <c r="AS8" s="138" t="s">
        <v>7</v>
      </c>
      <c r="AT8" s="138" t="s">
        <v>10</v>
      </c>
      <c r="AU8" s="138" t="s">
        <v>7</v>
      </c>
      <c r="AV8" s="138" t="s">
        <v>10</v>
      </c>
      <c r="AW8" s="138" t="s">
        <v>189</v>
      </c>
      <c r="AX8" s="141" t="s">
        <v>8</v>
      </c>
      <c r="AY8" s="141" t="s">
        <v>50</v>
      </c>
      <c r="AZ8" s="141" t="s">
        <v>151</v>
      </c>
      <c r="BA8" s="141" t="s">
        <v>8</v>
      </c>
      <c r="BB8" s="141" t="s">
        <v>151</v>
      </c>
      <c r="BC8" s="141" t="s">
        <v>7</v>
      </c>
      <c r="BD8" s="141" t="s">
        <v>10</v>
      </c>
      <c r="BE8" s="141" t="s">
        <v>7</v>
      </c>
      <c r="BF8" s="141" t="s">
        <v>10</v>
      </c>
      <c r="BG8" s="141" t="s">
        <v>189</v>
      </c>
      <c r="BH8" s="138" t="s">
        <v>8</v>
      </c>
      <c r="BI8" s="138" t="s">
        <v>50</v>
      </c>
      <c r="BJ8" s="138" t="s">
        <v>151</v>
      </c>
      <c r="BK8" s="138" t="s">
        <v>8</v>
      </c>
      <c r="BL8" s="138" t="s">
        <v>151</v>
      </c>
      <c r="BM8" s="138" t="s">
        <v>7</v>
      </c>
      <c r="BN8" s="138" t="s">
        <v>10</v>
      </c>
      <c r="BO8" s="138" t="s">
        <v>7</v>
      </c>
      <c r="BP8" s="138" t="s">
        <v>10</v>
      </c>
      <c r="BQ8" s="138" t="s">
        <v>189</v>
      </c>
      <c r="BR8" s="142" t="s">
        <v>7</v>
      </c>
      <c r="BS8" s="142" t="s">
        <v>10</v>
      </c>
      <c r="BT8" s="142" t="s">
        <v>7</v>
      </c>
      <c r="BU8" s="142" t="s">
        <v>10</v>
      </c>
      <c r="BV8" s="142" t="s">
        <v>7</v>
      </c>
      <c r="BW8" s="142" t="s">
        <v>10</v>
      </c>
      <c r="BX8" s="142" t="s">
        <v>7</v>
      </c>
      <c r="BY8" s="142" t="s">
        <v>10</v>
      </c>
    </row>
    <row r="9" spans="1:229" s="578" customFormat="1" ht="178.5" hidden="1" x14ac:dyDescent="0.2">
      <c r="A9" s="708">
        <v>11900</v>
      </c>
      <c r="B9" s="709" t="s">
        <v>125</v>
      </c>
      <c r="C9" s="709" t="s">
        <v>330</v>
      </c>
      <c r="D9" s="710" t="s">
        <v>1020</v>
      </c>
      <c r="E9" s="710" t="s">
        <v>1020</v>
      </c>
      <c r="F9" s="711" t="s">
        <v>126</v>
      </c>
      <c r="G9" s="709" t="s">
        <v>60</v>
      </c>
      <c r="H9" s="709" t="s">
        <v>204</v>
      </c>
      <c r="I9" s="709" t="s">
        <v>204</v>
      </c>
      <c r="J9" s="711" t="s">
        <v>149</v>
      </c>
      <c r="K9" s="709" t="s">
        <v>435</v>
      </c>
      <c r="L9" s="712" t="s">
        <v>493</v>
      </c>
      <c r="M9" s="713">
        <v>4400</v>
      </c>
      <c r="N9" s="711" t="s">
        <v>128</v>
      </c>
      <c r="O9" s="714" t="s">
        <v>347</v>
      </c>
      <c r="P9" s="715">
        <v>53164884</v>
      </c>
      <c r="Q9" s="716">
        <v>1</v>
      </c>
      <c r="R9" s="709" t="s">
        <v>17</v>
      </c>
      <c r="S9" s="709" t="s">
        <v>26</v>
      </c>
      <c r="T9" s="709" t="s">
        <v>631</v>
      </c>
      <c r="U9" s="709" t="s">
        <v>633</v>
      </c>
      <c r="V9" s="709" t="s">
        <v>1045</v>
      </c>
      <c r="W9" s="709" t="s">
        <v>1269</v>
      </c>
      <c r="X9" s="709" t="s">
        <v>494</v>
      </c>
      <c r="Y9" s="709" t="s">
        <v>204</v>
      </c>
      <c r="Z9" s="713">
        <v>4400</v>
      </c>
      <c r="AA9" s="709" t="str">
        <f>+O9</f>
        <v>Adelantar las actuaciones administrativas y operativas del proceso de Cobro Coactivo, encaminadas a lograr el cobro efectivo de las acreencias por todo concepto a favor de la Administradora de los Recursos del Sistema General de Seguridad Social en Salud – ADRES.</v>
      </c>
      <c r="AB9" s="717">
        <f>+P9</f>
        <v>53164884</v>
      </c>
      <c r="AC9" s="714" t="s">
        <v>46</v>
      </c>
      <c r="AD9" s="713">
        <v>800</v>
      </c>
      <c r="AE9" s="709" t="str">
        <f t="shared" ref="AE9:AE15" si="0">+AA9</f>
        <v>Adelantar las actuaciones administrativas y operativas del proceso de Cobro Coactivo, encaminadas a lograr el cobro efectivo de las acreencias por todo concepto a favor de la Administradora de los Recursos del Sistema General de Seguridad Social en Salud – ADRES.</v>
      </c>
      <c r="AF9" s="715">
        <f>+AB9/4</f>
        <v>13291221</v>
      </c>
      <c r="AG9" s="712">
        <v>2287</v>
      </c>
      <c r="AH9" s="712" t="s">
        <v>1356</v>
      </c>
      <c r="AI9" s="718">
        <f t="shared" ref="AI9:AI15" si="1">+(AG9/AD9)</f>
        <v>2.8587500000000001</v>
      </c>
      <c r="AJ9" s="718">
        <f t="shared" ref="AJ9:AJ14" si="2">+(AH9/AF9)</f>
        <v>0.73333330323828039</v>
      </c>
      <c r="AK9" s="718">
        <f t="shared" ref="AK9:AK15" si="3">+(AG9/Z9)</f>
        <v>0.51977272727272728</v>
      </c>
      <c r="AL9" s="718">
        <f t="shared" ref="AL9:AL14" si="4">+(AH9/AB9)</f>
        <v>0.1833333258095701</v>
      </c>
      <c r="AM9" s="719" t="s">
        <v>1596</v>
      </c>
      <c r="AN9" s="713">
        <v>1200</v>
      </c>
      <c r="AO9" s="709" t="str">
        <f t="shared" ref="AO9:AO15" si="5">+AA9</f>
        <v>Adelantar las actuaciones administrativas y operativas del proceso de Cobro Coactivo, encaminadas a lograr el cobro efectivo de las acreencias por todo concepto a favor de la Administradora de los Recursos del Sistema General de Seguridad Social en Salud – ADRES.</v>
      </c>
      <c r="AP9" s="715">
        <f>+AB9/4</f>
        <v>13291221</v>
      </c>
      <c r="AQ9" s="712"/>
      <c r="AR9" s="711"/>
      <c r="AS9" s="718">
        <f t="shared" ref="AS9:AS15" si="6">+(AQ9/AN9)</f>
        <v>0</v>
      </c>
      <c r="AT9" s="718">
        <f t="shared" ref="AT9:AT14" si="7">+(AR9/AP9)</f>
        <v>0</v>
      </c>
      <c r="AU9" s="718">
        <f t="shared" ref="AU9:AU14" si="8">+(AQ9+AG9)/Z9</f>
        <v>0.51977272727272728</v>
      </c>
      <c r="AV9" s="718">
        <f t="shared" ref="AV9:AV14" si="9">+(AR9+AH9)/AB9</f>
        <v>0.1833333258095701</v>
      </c>
      <c r="AW9" s="720"/>
      <c r="AX9" s="713">
        <v>1200</v>
      </c>
      <c r="AY9" s="709" t="str">
        <f t="shared" ref="AY9:AY15" si="10">+AA9</f>
        <v>Adelantar las actuaciones administrativas y operativas del proceso de Cobro Coactivo, encaminadas a lograr el cobro efectivo de las acreencias por todo concepto a favor de la Administradora de los Recursos del Sistema General de Seguridad Social en Salud – ADRES.</v>
      </c>
      <c r="AZ9" s="715">
        <f>+AB9/4</f>
        <v>13291221</v>
      </c>
      <c r="BA9" s="721"/>
      <c r="BB9" s="721"/>
      <c r="BC9" s="718">
        <f t="shared" ref="BC9:BC14" si="11">+(BA9/AX9)</f>
        <v>0</v>
      </c>
      <c r="BD9" s="718">
        <f t="shared" ref="BD9:BD14" si="12">+(BB9/AZ9)</f>
        <v>0</v>
      </c>
      <c r="BE9" s="718">
        <f t="shared" ref="BE9:BE14" si="13">+(AQ9+AG9+BA9)/Z9</f>
        <v>0.51977272727272728</v>
      </c>
      <c r="BF9" s="718">
        <f t="shared" ref="BF9:BF14" si="14">+(AR9+AH9+BB9)/AB9</f>
        <v>0.1833333258095701</v>
      </c>
      <c r="BG9" s="718"/>
      <c r="BH9" s="713">
        <v>1200</v>
      </c>
      <c r="BI9" s="709" t="str">
        <f t="shared" ref="BI9:BI15" si="15">+AA9</f>
        <v>Adelantar las actuaciones administrativas y operativas del proceso de Cobro Coactivo, encaminadas a lograr el cobro efectivo de las acreencias por todo concepto a favor de la Administradora de los Recursos del Sistema General de Seguridad Social en Salud – ADRES.</v>
      </c>
      <c r="BJ9" s="715">
        <f>+AB9/4</f>
        <v>13291221</v>
      </c>
      <c r="BK9" s="722"/>
      <c r="BL9" s="722"/>
      <c r="BM9" s="723">
        <f t="shared" ref="BM9:BM15" si="16">+(BK9/BH9)</f>
        <v>0</v>
      </c>
      <c r="BN9" s="723">
        <f t="shared" ref="BN9:BN14" si="17">+(BL9/BJ9)</f>
        <v>0</v>
      </c>
      <c r="BO9" s="723">
        <f t="shared" ref="BO9:BO15" si="18">+(AQ9+AG9+BA9+BK9)/Z9</f>
        <v>0.51977272727272728</v>
      </c>
      <c r="BP9" s="723">
        <f t="shared" ref="BP9:BP14" si="19">+(AR9+AH9+BB9+BL9)/AB9</f>
        <v>0.1833333258095701</v>
      </c>
      <c r="BQ9" s="723"/>
      <c r="BR9" s="724">
        <f t="shared" ref="BR9:BR15" si="20">IF(AND(AD9=0,AG9=0),"No Prog ni Ejec",IF(AD9=0,CONCATENATE("No Prog, Ejec=  ",AG9),AG9/AD9))</f>
        <v>2.8587500000000001</v>
      </c>
      <c r="BS9" s="724">
        <f t="shared" ref="BS9:BS15" si="21">IF(AND(AF9=0,AH9=0),"No Prog ni Ejec",IF(AF9=0,CONCATENATE("No Prog, Ejec=  ",AH9),AH9/AF9))</f>
        <v>0.73333330323828039</v>
      </c>
      <c r="BT9" s="724">
        <f t="shared" ref="BT9:BT15" si="22">IF(AND(AN9=0,AQ9=0),"No Prog ni Ejec",IF(AN9=0,CONCATENATE("No Prog, Ejec=  ",AQ9),AQ9/AN9))</f>
        <v>0</v>
      </c>
      <c r="BU9" s="724">
        <f t="shared" ref="BU9:BU15" si="23">IF(AND(AP9=0,AR9=0),"No Prog ni Ejec",IF(AP9=0,CONCATENATE("No Prog, Ejec=  ",AR9),AR9/AP9))</f>
        <v>0</v>
      </c>
      <c r="BV9" s="724">
        <f t="shared" ref="BV9:BV15" si="24">IF(AND(AX9=0,BA9=0),"No Prog ni Ejec",IF(AX9=0,CONCATENATE("No Prog, Ejec=  ",BA9),BA9/AX9))</f>
        <v>0</v>
      </c>
      <c r="BW9" s="724">
        <f t="shared" ref="BW9:BW15" si="25">IF(AND(AZ9=0,BB9=0),"No Prog ni Ejec",IF(AZ9=0,CONCATENATE("No Prog, Ejec=  ",BB9),BB9/AZ9))</f>
        <v>0</v>
      </c>
      <c r="BX9" s="724">
        <f t="shared" ref="BX9:BX15" si="26">IF(AND(BH9=0,BK9=0),"No Prog ni Ejec",IF(BH9=0,CONCATENATE("No Prog, Ejec=  ",BK9),BK9/BH9))</f>
        <v>0</v>
      </c>
      <c r="BY9" s="725">
        <f t="shared" ref="BY9:BY15" si="27">IF(AND(BJ9=0,BL9=0),"No Prog ni Ejec",IF(BJ9=0,CONCATENATE("No Prog, Ejec=  ",BL9),BL9/BJ9))</f>
        <v>0</v>
      </c>
      <c r="BZ9" s="577">
        <f>+AB9-AF9-AP9-AZ9-BJ9</f>
        <v>0</v>
      </c>
    </row>
    <row r="10" spans="1:229" s="578" customFormat="1" ht="51" hidden="1" customHeight="1" x14ac:dyDescent="0.2">
      <c r="A10" s="857">
        <v>11900</v>
      </c>
      <c r="B10" s="853" t="s">
        <v>125</v>
      </c>
      <c r="C10" s="853" t="s">
        <v>330</v>
      </c>
      <c r="D10" s="871" t="s">
        <v>1020</v>
      </c>
      <c r="E10" s="871" t="s">
        <v>1020</v>
      </c>
      <c r="F10" s="858" t="s">
        <v>126</v>
      </c>
      <c r="G10" s="853" t="s">
        <v>60</v>
      </c>
      <c r="H10" s="853" t="s">
        <v>204</v>
      </c>
      <c r="I10" s="853" t="s">
        <v>204</v>
      </c>
      <c r="J10" s="858" t="s">
        <v>593</v>
      </c>
      <c r="K10" s="853" t="s">
        <v>492</v>
      </c>
      <c r="L10" s="572" t="s">
        <v>493</v>
      </c>
      <c r="M10" s="589">
        <f>3000*4</f>
        <v>12000</v>
      </c>
      <c r="N10" s="1139" t="s">
        <v>592</v>
      </c>
      <c r="O10" s="876" t="s">
        <v>491</v>
      </c>
      <c r="P10" s="1156">
        <v>27880404</v>
      </c>
      <c r="Q10" s="1147">
        <v>1</v>
      </c>
      <c r="R10" s="1072" t="s">
        <v>18</v>
      </c>
      <c r="S10" s="1072" t="s">
        <v>24</v>
      </c>
      <c r="T10" s="1072" t="s">
        <v>204</v>
      </c>
      <c r="U10" s="1072" t="s">
        <v>635</v>
      </c>
      <c r="V10" s="1072" t="s">
        <v>1045</v>
      </c>
      <c r="W10" s="1154" t="s">
        <v>1269</v>
      </c>
      <c r="X10" s="853" t="s">
        <v>495</v>
      </c>
      <c r="Y10" s="1072" t="s">
        <v>204</v>
      </c>
      <c r="Z10" s="589">
        <f>3000*4</f>
        <v>12000</v>
      </c>
      <c r="AA10" s="853" t="str">
        <f>+O10</f>
        <v>Remitir comunicaciones a los terceros deudores informándoles lo adeudado a la ADRES</v>
      </c>
      <c r="AB10" s="1148">
        <f>+P10</f>
        <v>27880404</v>
      </c>
      <c r="AC10" s="876" t="s">
        <v>46</v>
      </c>
      <c r="AD10" s="589">
        <v>3000</v>
      </c>
      <c r="AE10" s="853" t="str">
        <f t="shared" si="0"/>
        <v>Remitir comunicaciones a los terceros deudores informándoles lo adeudado a la ADRES</v>
      </c>
      <c r="AF10" s="1075">
        <f>+AB10/4</f>
        <v>6970101</v>
      </c>
      <c r="AG10" s="572">
        <v>0</v>
      </c>
      <c r="AH10" s="1157" t="s">
        <v>1357</v>
      </c>
      <c r="AI10" s="856">
        <f>+(AG10/AD10)</f>
        <v>0</v>
      </c>
      <c r="AJ10" s="1062">
        <f>+(AH10/AF10)</f>
        <v>0.66666666666666663</v>
      </c>
      <c r="AK10" s="856">
        <f>+(AG10/Z10)</f>
        <v>0</v>
      </c>
      <c r="AL10" s="1062">
        <f>+(AH10/AB10)</f>
        <v>0.16666666666666666</v>
      </c>
      <c r="AM10" s="590" t="s">
        <v>1359</v>
      </c>
      <c r="AN10" s="589">
        <v>3000</v>
      </c>
      <c r="AO10" s="853" t="str">
        <f t="shared" si="5"/>
        <v>Remitir comunicaciones a los terceros deudores informándoles lo adeudado a la ADRES</v>
      </c>
      <c r="AP10" s="1075">
        <f>+AB10/4</f>
        <v>6970101</v>
      </c>
      <c r="AQ10" s="572"/>
      <c r="AR10" s="1161">
        <v>6970101</v>
      </c>
      <c r="AS10" s="856">
        <f>+(AQ10/AN10)</f>
        <v>0</v>
      </c>
      <c r="AT10" s="1062">
        <f>+(AR10/AP10)</f>
        <v>1</v>
      </c>
      <c r="AU10" s="856">
        <f>+(AQ10+AG10)/Z10</f>
        <v>0</v>
      </c>
      <c r="AV10" s="1062">
        <f>+(AR10+AH10)/AB10</f>
        <v>0.41666666666666669</v>
      </c>
      <c r="AW10" s="684"/>
      <c r="AX10" s="589">
        <v>3000</v>
      </c>
      <c r="AY10" s="853" t="str">
        <f t="shared" si="10"/>
        <v>Remitir comunicaciones a los terceros deudores informándoles lo adeudado a la ADRES</v>
      </c>
      <c r="AZ10" s="1075">
        <f>+AB10/4</f>
        <v>6970101</v>
      </c>
      <c r="BA10" s="576"/>
      <c r="BB10" s="1156">
        <v>6970101</v>
      </c>
      <c r="BC10" s="856">
        <f>+(BA10/AX10)</f>
        <v>0</v>
      </c>
      <c r="BD10" s="1062">
        <f>+(BB10/AZ10)</f>
        <v>1</v>
      </c>
      <c r="BE10" s="856">
        <f>+(AQ10+AG10+BA10)/Z10</f>
        <v>0</v>
      </c>
      <c r="BF10" s="1062">
        <f>+(AR10+AH10+BB10)/AB10</f>
        <v>0.66666666666666663</v>
      </c>
      <c r="BG10" s="856"/>
      <c r="BH10" s="589">
        <v>300</v>
      </c>
      <c r="BI10" s="853" t="str">
        <f t="shared" si="15"/>
        <v>Remitir comunicaciones a los terceros deudores informándoles lo adeudado a la ADRES</v>
      </c>
      <c r="BJ10" s="1075">
        <f>+AB10/4</f>
        <v>6970101</v>
      </c>
      <c r="BK10" s="591"/>
      <c r="BL10" s="1084"/>
      <c r="BM10" s="863">
        <f>+(BK10/BH10)</f>
        <v>0</v>
      </c>
      <c r="BN10" s="1155">
        <f>+(BL10/BJ10)</f>
        <v>0</v>
      </c>
      <c r="BO10" s="863">
        <f>+(AQ10+AG10+BA10+BK10)/Z10</f>
        <v>0</v>
      </c>
      <c r="BP10" s="1155">
        <f>+(AR10+AH10+BB10+BL10)/AB10</f>
        <v>0.66666666666666663</v>
      </c>
      <c r="BQ10" s="863"/>
      <c r="BR10" s="642">
        <f>IF(AND(AD10=0,AG10=0),"No Prog ni Ejec",IF(AD10=0,CONCATENATE("No Prog, Ejec=  ",AG10),AG10/AD10))</f>
        <v>0</v>
      </c>
      <c r="BS10" s="1078">
        <f>IF(AND(AF10=0,AH10=0),"No Prog ni Ejec",IF(AF10=0,CONCATENATE("No Prog, Ejec=  ",AH10),AH10/AF10))</f>
        <v>0.66666666666666663</v>
      </c>
      <c r="BT10" s="642">
        <f>IF(AND(AN10=0,AQ10=0),"No Prog ni Ejec",IF(AN10=0,CONCATENATE("No Prog, Ejec=  ",AQ10),AQ10/AN10))</f>
        <v>0</v>
      </c>
      <c r="BU10" s="1078">
        <f>IF(AND(AP10=0,AR10=0),"No Prog ni Ejec",IF(AP10=0,CONCATENATE("No Prog, Ejec=  ",AR10),AR10/AP10))</f>
        <v>1</v>
      </c>
      <c r="BV10" s="642">
        <f>IF(AND(AX10=0,BA10=0),"No Prog ni Ejec",IF(AX10=0,CONCATENATE("No Prog, Ejec=  ",BA10),BA10/AX10))</f>
        <v>0</v>
      </c>
      <c r="BW10" s="1078">
        <f>IF(AND(AZ10=0,BB10=0),"No Prog ni Ejec",IF(AZ10=0,CONCATENATE("No Prog, Ejec=  ",BB10),BB10/AZ10))</f>
        <v>1</v>
      </c>
      <c r="BX10" s="642">
        <f>IF(AND(BH10=0,BK10=0),"No Prog ni Ejec",IF(BH10=0,CONCATENATE("No Prog, Ejec=  ",BK10),BK10/BH10))</f>
        <v>0</v>
      </c>
      <c r="BY10" s="1081">
        <f>IF(AND(BJ10=0,BL10=0),"No Prog ni Ejec",IF(BJ10=0,CONCATENATE("No Prog, Ejec=  ",BL10),BL10/BJ10))</f>
        <v>0</v>
      </c>
      <c r="BZ10" s="577">
        <f t="shared" ref="BZ10:BZ20" si="28">+AB10-AF10-AP10-AZ10-BJ10</f>
        <v>0</v>
      </c>
    </row>
    <row r="11" spans="1:229" s="70" customFormat="1" ht="153" x14ac:dyDescent="0.2">
      <c r="A11" s="834">
        <v>11900</v>
      </c>
      <c r="B11" s="827" t="s">
        <v>125</v>
      </c>
      <c r="C11" s="827" t="s">
        <v>330</v>
      </c>
      <c r="D11" s="845" t="s">
        <v>1020</v>
      </c>
      <c r="E11" s="845" t="s">
        <v>1020</v>
      </c>
      <c r="F11" s="835" t="s">
        <v>126</v>
      </c>
      <c r="G11" s="827" t="s">
        <v>60</v>
      </c>
      <c r="H11" s="827" t="s">
        <v>204</v>
      </c>
      <c r="I11" s="827" t="s">
        <v>204</v>
      </c>
      <c r="J11" s="835" t="s">
        <v>929</v>
      </c>
      <c r="K11" s="827" t="s">
        <v>497</v>
      </c>
      <c r="L11" s="838" t="s">
        <v>51</v>
      </c>
      <c r="M11" s="832">
        <v>1</v>
      </c>
      <c r="N11" s="1139"/>
      <c r="O11" s="860" t="s">
        <v>496</v>
      </c>
      <c r="P11" s="1156"/>
      <c r="Q11" s="1147"/>
      <c r="R11" s="1072"/>
      <c r="S11" s="1072"/>
      <c r="T11" s="1072"/>
      <c r="U11" s="1072"/>
      <c r="V11" s="1072"/>
      <c r="W11" s="1154"/>
      <c r="X11" s="827" t="s">
        <v>1519</v>
      </c>
      <c r="Y11" s="1072"/>
      <c r="Z11" s="832">
        <v>1</v>
      </c>
      <c r="AA11" s="827" t="str">
        <f>+O11</f>
        <v>Conciliar con el Grupo de Tesorería de la DGRFS los pagos realizados por los terceros deudores con ocasión de los acuerdos de pago</v>
      </c>
      <c r="AB11" s="1148"/>
      <c r="AC11" s="860" t="s">
        <v>46</v>
      </c>
      <c r="AD11" s="826">
        <v>0</v>
      </c>
      <c r="AE11" s="827" t="str">
        <f t="shared" si="0"/>
        <v>Conciliar con el Grupo de Tesorería de la DGRFS los pagos realizados por los terceros deudores con ocasión de los acuerdos de pago</v>
      </c>
      <c r="AF11" s="1075"/>
      <c r="AG11" s="475">
        <f>(277/233)*AD11</f>
        <v>0</v>
      </c>
      <c r="AH11" s="1157"/>
      <c r="AI11" s="828" t="e">
        <f>+(AG11/AD11)</f>
        <v>#DIV/0!</v>
      </c>
      <c r="AJ11" s="1062"/>
      <c r="AK11" s="828">
        <f>+(AG11/Z11)</f>
        <v>0</v>
      </c>
      <c r="AL11" s="1062"/>
      <c r="AM11" s="482" t="s">
        <v>1597</v>
      </c>
      <c r="AN11" s="826">
        <v>0</v>
      </c>
      <c r="AO11" s="827" t="str">
        <f t="shared" si="5"/>
        <v>Conciliar con el Grupo de Tesorería de la DGRFS los pagos realizados por los terceros deudores con ocasión de los acuerdos de pago</v>
      </c>
      <c r="AP11" s="1075"/>
      <c r="AQ11" s="838">
        <v>0</v>
      </c>
      <c r="AR11" s="1161"/>
      <c r="AS11" s="828" t="e">
        <f>+(AQ11/AN11)</f>
        <v>#DIV/0!</v>
      </c>
      <c r="AT11" s="1062"/>
      <c r="AU11" s="828">
        <f>+(AQ11+AG11)/Z11</f>
        <v>0</v>
      </c>
      <c r="AV11" s="1062"/>
      <c r="AW11" s="472" t="s">
        <v>1704</v>
      </c>
      <c r="AX11" s="826">
        <v>0</v>
      </c>
      <c r="AY11" s="827" t="str">
        <f t="shared" si="10"/>
        <v>Conciliar con el Grupo de Tesorería de la DGRFS los pagos realizados por los terceros deudores con ocasión de los acuerdos de pago</v>
      </c>
      <c r="AZ11" s="1075"/>
      <c r="BA11" s="462">
        <v>0</v>
      </c>
      <c r="BB11" s="1156"/>
      <c r="BC11" s="828" t="e">
        <f>+(BA11/AX11)</f>
        <v>#DIV/0!</v>
      </c>
      <c r="BD11" s="1062"/>
      <c r="BE11" s="828">
        <f>+(AQ11+AG11+BA11)/Z11</f>
        <v>0</v>
      </c>
      <c r="BF11" s="1062"/>
      <c r="BG11" s="472" t="s">
        <v>1706</v>
      </c>
      <c r="BH11" s="826">
        <v>1</v>
      </c>
      <c r="BI11" s="827" t="str">
        <f t="shared" si="15"/>
        <v>Conciliar con el Grupo de Tesorería de la DGRFS los pagos realizados por los terceros deudores con ocasión de los acuerdos de pago</v>
      </c>
      <c r="BJ11" s="1075"/>
      <c r="BK11" s="840"/>
      <c r="BL11" s="1084"/>
      <c r="BM11" s="826">
        <f>+(BK11/BH11)</f>
        <v>0</v>
      </c>
      <c r="BN11" s="1155"/>
      <c r="BO11" s="826">
        <f>+(AQ11+AG11+BA11+BK11)/Z11</f>
        <v>0</v>
      </c>
      <c r="BP11" s="1155"/>
      <c r="BQ11" s="826"/>
      <c r="BR11" s="640" t="str">
        <f>IF(AND(AD11=0,AG11=0),"No Prog ni Ejec",IF(AD11=0,CONCATENATE("No Prog, Ejec=  ",AG11),AG11/AD11))</f>
        <v>No Prog ni Ejec</v>
      </c>
      <c r="BS11" s="1078"/>
      <c r="BT11" s="640" t="str">
        <f>IF(AND(AN11=0,AQ11=0),"No Prog ni Ejec",IF(AN11=0,CONCATENATE("No Prog, Ejec=  ",AQ11),AQ11/AN11))</f>
        <v>No Prog ni Ejec</v>
      </c>
      <c r="BU11" s="1078"/>
      <c r="BV11" s="640" t="str">
        <f>IF(AND(AX11=0,BA11=0),"No Prog ni Ejec",IF(AX11=0,CONCATENATE("No Prog, Ejec=  ",BA11),BA11/AX11))</f>
        <v>No Prog ni Ejec</v>
      </c>
      <c r="BW11" s="1078"/>
      <c r="BX11" s="640">
        <f>IF(AND(BH11=0,BK11=0),"No Prog ni Ejec",IF(BH11=0,CONCATENATE("No Prog, Ejec=  ",BK11),BK11/BH11))</f>
        <v>0</v>
      </c>
      <c r="BY11" s="1081"/>
      <c r="BZ11" s="128">
        <f t="shared" si="28"/>
        <v>0</v>
      </c>
    </row>
    <row r="12" spans="1:229" s="70" customFormat="1" ht="102" x14ac:dyDescent="0.2">
      <c r="A12" s="834">
        <v>11900</v>
      </c>
      <c r="B12" s="827" t="s">
        <v>125</v>
      </c>
      <c r="C12" s="827" t="s">
        <v>330</v>
      </c>
      <c r="D12" s="845" t="s">
        <v>1020</v>
      </c>
      <c r="E12" s="845" t="s">
        <v>1020</v>
      </c>
      <c r="F12" s="835" t="s">
        <v>126</v>
      </c>
      <c r="G12" s="827" t="s">
        <v>60</v>
      </c>
      <c r="H12" s="827" t="s">
        <v>204</v>
      </c>
      <c r="I12" s="827" t="s">
        <v>204</v>
      </c>
      <c r="J12" s="835" t="s">
        <v>930</v>
      </c>
      <c r="K12" s="827" t="s">
        <v>1523</v>
      </c>
      <c r="L12" s="838" t="s">
        <v>51</v>
      </c>
      <c r="M12" s="67">
        <v>700</v>
      </c>
      <c r="N12" s="1139"/>
      <c r="O12" s="860" t="s">
        <v>1521</v>
      </c>
      <c r="P12" s="1156"/>
      <c r="Q12" s="1147"/>
      <c r="R12" s="1072"/>
      <c r="S12" s="1072"/>
      <c r="T12" s="1072"/>
      <c r="U12" s="1072"/>
      <c r="V12" s="1072"/>
      <c r="W12" s="1154"/>
      <c r="X12" s="827" t="s">
        <v>1522</v>
      </c>
      <c r="Y12" s="1072"/>
      <c r="Z12" s="66">
        <v>700</v>
      </c>
      <c r="AA12" s="827" t="str">
        <f>+O12</f>
        <v>Determinar la cartera susceptible de depuración, conforme a las normas contables aplicables</v>
      </c>
      <c r="AB12" s="1148"/>
      <c r="AC12" s="860" t="s">
        <v>46</v>
      </c>
      <c r="AD12" s="66">
        <v>0</v>
      </c>
      <c r="AE12" s="827" t="str">
        <f t="shared" si="0"/>
        <v>Determinar la cartera susceptible de depuración, conforme a las normas contables aplicables</v>
      </c>
      <c r="AF12" s="1075"/>
      <c r="AG12" s="852">
        <v>0</v>
      </c>
      <c r="AH12" s="1157"/>
      <c r="AI12" s="828" t="e">
        <f>+(AG12/AD12)</f>
        <v>#DIV/0!</v>
      </c>
      <c r="AJ12" s="1062"/>
      <c r="AK12" s="828">
        <f>+(AG12/Z12)</f>
        <v>0</v>
      </c>
      <c r="AL12" s="1062"/>
      <c r="AM12" s="482" t="s">
        <v>1360</v>
      </c>
      <c r="AN12" s="66">
        <v>0</v>
      </c>
      <c r="AO12" s="827" t="str">
        <f t="shared" si="5"/>
        <v>Determinar la cartera susceptible de depuración, conforme a las normas contables aplicables</v>
      </c>
      <c r="AP12" s="1075"/>
      <c r="AQ12" s="838">
        <v>0</v>
      </c>
      <c r="AR12" s="1161"/>
      <c r="AS12" s="828" t="e">
        <f>+(AQ12/AN12)</f>
        <v>#DIV/0!</v>
      </c>
      <c r="AT12" s="1062"/>
      <c r="AU12" s="828">
        <f>+(AQ12+AG12)/Z12</f>
        <v>0</v>
      </c>
      <c r="AV12" s="1062"/>
      <c r="AW12" s="472" t="s">
        <v>1704</v>
      </c>
      <c r="AX12" s="66">
        <v>0</v>
      </c>
      <c r="AY12" s="827" t="str">
        <f t="shared" si="10"/>
        <v>Determinar la cartera susceptible de depuración, conforme a las normas contables aplicables</v>
      </c>
      <c r="AZ12" s="1075"/>
      <c r="BA12" s="462">
        <v>0</v>
      </c>
      <c r="BB12" s="1156"/>
      <c r="BC12" s="828" t="e">
        <f>+(BA12/AX12)</f>
        <v>#DIV/0!</v>
      </c>
      <c r="BD12" s="1062"/>
      <c r="BE12" s="828">
        <f>+(AQ12+AG12+BA12)/Z12</f>
        <v>0</v>
      </c>
      <c r="BF12" s="1062"/>
      <c r="BG12" s="472" t="s">
        <v>1706</v>
      </c>
      <c r="BH12" s="66">
        <v>700</v>
      </c>
      <c r="BI12" s="827" t="str">
        <f t="shared" si="15"/>
        <v>Determinar la cartera susceptible de depuración, conforme a las normas contables aplicables</v>
      </c>
      <c r="BJ12" s="1075"/>
      <c r="BK12" s="840"/>
      <c r="BL12" s="1084"/>
      <c r="BM12" s="826">
        <f>+(BK12/BH12)</f>
        <v>0</v>
      </c>
      <c r="BN12" s="1155"/>
      <c r="BO12" s="826">
        <f>+(AQ12+AG12+BA12+BK12)/Z12</f>
        <v>0</v>
      </c>
      <c r="BP12" s="1155"/>
      <c r="BQ12" s="826"/>
      <c r="BR12" s="640" t="str">
        <f>IF(AND(AD12=0,AG12=0),"No Prog ni Ejec",IF(AD12=0,CONCATENATE("No Prog, Ejec=  ",AG12),AG12/AD12))</f>
        <v>No Prog ni Ejec</v>
      </c>
      <c r="BS12" s="1078"/>
      <c r="BT12" s="640" t="str">
        <f>IF(AND(AN12=0,AQ12=0),"No Prog ni Ejec",IF(AN12=0,CONCATENATE("No Prog, Ejec=  ",AQ12),AQ12/AN12))</f>
        <v>No Prog ni Ejec</v>
      </c>
      <c r="BU12" s="1078"/>
      <c r="BV12" s="640" t="str">
        <f>IF(AND(AX12=0,BA12=0),"No Prog ni Ejec",IF(AX12=0,CONCATENATE("No Prog, Ejec=  ",BA12),BA12/AX12))</f>
        <v>No Prog ni Ejec</v>
      </c>
      <c r="BW12" s="1078"/>
      <c r="BX12" s="640">
        <f>IF(AND(BH12=0,BK12=0),"No Prog ni Ejec",IF(BH12=0,CONCATENATE("No Prog, Ejec=  ",BK12),BK12/BH12))</f>
        <v>0</v>
      </c>
      <c r="BY12" s="1081"/>
      <c r="BZ12" s="128">
        <f t="shared" si="28"/>
        <v>0</v>
      </c>
    </row>
    <row r="13" spans="1:229" s="70" customFormat="1" ht="127.5" x14ac:dyDescent="0.2">
      <c r="A13" s="834">
        <v>11900</v>
      </c>
      <c r="B13" s="827" t="s">
        <v>125</v>
      </c>
      <c r="C13" s="827" t="s">
        <v>330</v>
      </c>
      <c r="D13" s="845" t="s">
        <v>1020</v>
      </c>
      <c r="E13" s="845" t="s">
        <v>1020</v>
      </c>
      <c r="F13" s="835" t="s">
        <v>126</v>
      </c>
      <c r="G13" s="827" t="s">
        <v>60</v>
      </c>
      <c r="H13" s="827" t="s">
        <v>204</v>
      </c>
      <c r="I13" s="827" t="s">
        <v>204</v>
      </c>
      <c r="J13" s="835" t="s">
        <v>629</v>
      </c>
      <c r="K13" s="827" t="s">
        <v>644</v>
      </c>
      <c r="L13" s="838" t="s">
        <v>51</v>
      </c>
      <c r="M13" s="832">
        <v>1</v>
      </c>
      <c r="N13" s="835" t="s">
        <v>594</v>
      </c>
      <c r="O13" s="860" t="s">
        <v>643</v>
      </c>
      <c r="P13" s="850">
        <v>27880404</v>
      </c>
      <c r="Q13" s="832">
        <v>1</v>
      </c>
      <c r="R13" s="827" t="s">
        <v>18</v>
      </c>
      <c r="S13" s="827" t="s">
        <v>24</v>
      </c>
      <c r="T13" s="827" t="s">
        <v>204</v>
      </c>
      <c r="U13" s="827" t="s">
        <v>635</v>
      </c>
      <c r="V13" s="827" t="s">
        <v>1045</v>
      </c>
      <c r="W13" s="827" t="s">
        <v>1269</v>
      </c>
      <c r="X13" s="827" t="s">
        <v>1525</v>
      </c>
      <c r="Y13" s="827" t="s">
        <v>204</v>
      </c>
      <c r="Z13" s="826">
        <v>1</v>
      </c>
      <c r="AA13" s="827" t="str">
        <f>+O13</f>
        <v>Actualizar las bases de información sobre la gestión del cobro coactivo</v>
      </c>
      <c r="AB13" s="833">
        <f>+P13</f>
        <v>27880404</v>
      </c>
      <c r="AC13" s="860" t="s">
        <v>46</v>
      </c>
      <c r="AD13" s="826">
        <v>0.25</v>
      </c>
      <c r="AE13" s="827" t="str">
        <f t="shared" si="0"/>
        <v>Actualizar las bases de información sobre la gestión del cobro coactivo</v>
      </c>
      <c r="AF13" s="831">
        <f>(AB13/11)*2</f>
        <v>5069164.3636363633</v>
      </c>
      <c r="AG13" s="475">
        <f>2288/5111*25%</f>
        <v>0.11191547642340051</v>
      </c>
      <c r="AH13" s="852" t="s">
        <v>1358</v>
      </c>
      <c r="AI13" s="828">
        <f>+(AG13/AD13)</f>
        <v>0.44766190569360204</v>
      </c>
      <c r="AJ13" s="828">
        <f>+(AH13/AF13)</f>
        <v>0.80972221564651647</v>
      </c>
      <c r="AK13" s="828">
        <f>+(AG13/Z13)</f>
        <v>0.11191547642340051</v>
      </c>
      <c r="AL13" s="828">
        <f>+(AH13/AB13)</f>
        <v>0.14722222102663934</v>
      </c>
      <c r="AM13" s="482" t="s">
        <v>1598</v>
      </c>
      <c r="AN13" s="826">
        <v>0.25</v>
      </c>
      <c r="AO13" s="827" t="str">
        <f>+AA13</f>
        <v>Actualizar las bases de información sobre la gestión del cobro coactivo</v>
      </c>
      <c r="AP13" s="831">
        <f>(AB13/11)*3</f>
        <v>7603746.5454545449</v>
      </c>
      <c r="AQ13" s="848">
        <f>(18136/18136)*25%</f>
        <v>0.25</v>
      </c>
      <c r="AR13" s="685">
        <v>6970101</v>
      </c>
      <c r="AS13" s="828">
        <f>+(AQ13/AN13)</f>
        <v>1</v>
      </c>
      <c r="AT13" s="828">
        <f>+(AR13/AP13)</f>
        <v>0.91666666666666674</v>
      </c>
      <c r="AU13" s="828">
        <f>+(AQ13+AG13)/Z13</f>
        <v>0.3619154764234005</v>
      </c>
      <c r="AV13" s="828">
        <f>+(AR13+AH13)/AB13</f>
        <v>0.39722222102663934</v>
      </c>
      <c r="AW13" s="829" t="s">
        <v>1705</v>
      </c>
      <c r="AX13" s="826">
        <v>0.25</v>
      </c>
      <c r="AY13" s="827" t="str">
        <f t="shared" si="10"/>
        <v>Actualizar las bases de información sobre la gestión del cobro coactivo</v>
      </c>
      <c r="AZ13" s="831">
        <f>(AB13/11)*3</f>
        <v>7603746.5454545449</v>
      </c>
      <c r="BA13" s="1020">
        <f>1404/1404*25%</f>
        <v>0.25</v>
      </c>
      <c r="BB13" s="1005">
        <v>6970101</v>
      </c>
      <c r="BC13" s="828">
        <f>+(BA13/AX13)</f>
        <v>1</v>
      </c>
      <c r="BD13" s="828">
        <f>+(BB13/AZ13)</f>
        <v>0.91666666666666674</v>
      </c>
      <c r="BE13" s="828">
        <f>+(AQ13+AG13+BA13)/Z13</f>
        <v>0.6119154764234005</v>
      </c>
      <c r="BF13" s="828">
        <f>+(AR13+AH13+BB13)/AB13</f>
        <v>0.6472222210266394</v>
      </c>
      <c r="BG13" s="994"/>
      <c r="BH13" s="826">
        <v>0.25</v>
      </c>
      <c r="BI13" s="827" t="str">
        <f t="shared" si="15"/>
        <v>Actualizar las bases de información sobre la gestión del cobro coactivo</v>
      </c>
      <c r="BJ13" s="831">
        <f>(AB13/11)*3</f>
        <v>7603746.5454545449</v>
      </c>
      <c r="BK13" s="840"/>
      <c r="BL13" s="840"/>
      <c r="BM13" s="826">
        <f>+(BK13/BH13)</f>
        <v>0</v>
      </c>
      <c r="BN13" s="826">
        <f>+(BL13/BJ13)</f>
        <v>0</v>
      </c>
      <c r="BO13" s="826">
        <f>+(AQ13+AG13+BA13+BK13)/Z13</f>
        <v>0.6119154764234005</v>
      </c>
      <c r="BP13" s="826">
        <f>+(AR13+AH13+BB13+BL13)/AB13</f>
        <v>0.6472222210266394</v>
      </c>
      <c r="BQ13" s="826"/>
      <c r="BR13" s="640">
        <f>IF(AND(AD13=0,AG13=0),"No Prog ni Ejec",IF(AD13=0,CONCATENATE("No Prog, Ejec=  ",AG13),AG13/AD13))</f>
        <v>0.44766190569360204</v>
      </c>
      <c r="BS13" s="640">
        <f>IF(AND(AF13=0,AH13=0),"No Prog ni Ejec",IF(AF13=0,CONCATENATE("No Prog, Ejec=  ",AH13),AH13/AF13))</f>
        <v>0.80972221564651647</v>
      </c>
      <c r="BT13" s="640">
        <f>IF(AND(AN13=0,AQ13=0),"No Prog ni Ejec",IF(AN13=0,CONCATENATE("No Prog, Ejec=  ",AQ13),AQ13/AN13))</f>
        <v>1</v>
      </c>
      <c r="BU13" s="640">
        <f>IF(AND(AP13=0,AR13=0),"No Prog ni Ejec",IF(AP13=0,CONCATENATE("No Prog, Ejec=  ",AR13),AR13/AP13))</f>
        <v>0.91666666666666674</v>
      </c>
      <c r="BV13" s="640">
        <f>IF(AND(AX13=0,BA13=0),"No Prog ni Ejec",IF(AX13=0,CONCATENATE("No Prog, Ejec=  ",BA13),BA13/AX13))</f>
        <v>1</v>
      </c>
      <c r="BW13" s="640">
        <f>IF(AND(AZ13=0,BB13=0),"No Prog ni Ejec",IF(AZ13=0,CONCATENATE("No Prog, Ejec=  ",BB13),BB13/AZ13))</f>
        <v>0.91666666666666674</v>
      </c>
      <c r="BX13" s="640">
        <f>IF(AND(BH13=0,BK13=0),"No Prog ni Ejec",IF(BH13=0,CONCATENATE("No Prog, Ejec=  ",BK13),BK13/BH13))</f>
        <v>0</v>
      </c>
      <c r="BY13" s="698">
        <f>IF(AND(BJ13=0,BL13=0),"No Prog ni Ejec",IF(BJ13=0,CONCATENATE("No Prog, Ejec=  ",BL13),BL13/BJ13))</f>
        <v>0</v>
      </c>
      <c r="BZ13" s="128">
        <f t="shared" si="28"/>
        <v>0</v>
      </c>
    </row>
    <row r="14" spans="1:229" s="70" customFormat="1" ht="89.25" x14ac:dyDescent="0.2">
      <c r="A14" s="834">
        <v>11900</v>
      </c>
      <c r="B14" s="827" t="s">
        <v>125</v>
      </c>
      <c r="C14" s="827" t="s">
        <v>330</v>
      </c>
      <c r="D14" s="845" t="s">
        <v>1020</v>
      </c>
      <c r="E14" s="845"/>
      <c r="F14" s="835" t="s">
        <v>126</v>
      </c>
      <c r="G14" s="827" t="s">
        <v>60</v>
      </c>
      <c r="H14" s="827" t="s">
        <v>204</v>
      </c>
      <c r="I14" s="827" t="s">
        <v>204</v>
      </c>
      <c r="J14" s="835" t="s">
        <v>598</v>
      </c>
      <c r="K14" s="1072" t="s">
        <v>498</v>
      </c>
      <c r="L14" s="838" t="s">
        <v>51</v>
      </c>
      <c r="M14" s="832">
        <v>1</v>
      </c>
      <c r="N14" s="1139" t="s">
        <v>595</v>
      </c>
      <c r="O14" s="1072" t="s">
        <v>1529</v>
      </c>
      <c r="P14" s="1183">
        <v>0</v>
      </c>
      <c r="Q14" s="1147">
        <v>1</v>
      </c>
      <c r="R14" s="1072" t="s">
        <v>17</v>
      </c>
      <c r="S14" s="1072" t="s">
        <v>26</v>
      </c>
      <c r="T14" s="1072" t="s">
        <v>631</v>
      </c>
      <c r="U14" s="1072" t="s">
        <v>633</v>
      </c>
      <c r="V14" s="1072" t="s">
        <v>1045</v>
      </c>
      <c r="W14" s="1154" t="s">
        <v>1269</v>
      </c>
      <c r="X14" s="827" t="s">
        <v>1526</v>
      </c>
      <c r="Y14" s="1072" t="s">
        <v>204</v>
      </c>
      <c r="Z14" s="84">
        <v>1</v>
      </c>
      <c r="AA14" s="1072" t="str">
        <f>+O14</f>
        <v>Determinar la cartera susceptible de venta a CISA S.A.</v>
      </c>
      <c r="AB14" s="1148">
        <f>+P14</f>
        <v>0</v>
      </c>
      <c r="AC14" s="860" t="s">
        <v>48</v>
      </c>
      <c r="AD14" s="826">
        <v>0</v>
      </c>
      <c r="AE14" s="1072" t="str">
        <f t="shared" si="0"/>
        <v>Determinar la cartera susceptible de venta a CISA S.A.</v>
      </c>
      <c r="AF14" s="1148">
        <v>0</v>
      </c>
      <c r="AG14" s="852">
        <v>0</v>
      </c>
      <c r="AH14" s="496">
        <v>0</v>
      </c>
      <c r="AI14" s="828" t="e">
        <f t="shared" si="1"/>
        <v>#DIV/0!</v>
      </c>
      <c r="AJ14" s="828" t="e">
        <f t="shared" si="2"/>
        <v>#DIV/0!</v>
      </c>
      <c r="AK14" s="828">
        <f t="shared" si="3"/>
        <v>0</v>
      </c>
      <c r="AL14" s="828" t="e">
        <f t="shared" si="4"/>
        <v>#DIV/0!</v>
      </c>
      <c r="AM14" s="482" t="s">
        <v>1361</v>
      </c>
      <c r="AN14" s="826">
        <v>0</v>
      </c>
      <c r="AO14" s="1072" t="str">
        <f t="shared" si="5"/>
        <v>Determinar la cartera susceptible de venta a CISA S.A.</v>
      </c>
      <c r="AP14" s="1148">
        <v>0</v>
      </c>
      <c r="AQ14" s="848">
        <v>0</v>
      </c>
      <c r="AR14" s="831">
        <v>0</v>
      </c>
      <c r="AS14" s="828" t="e">
        <f t="shared" si="6"/>
        <v>#DIV/0!</v>
      </c>
      <c r="AT14" s="828" t="e">
        <f t="shared" si="7"/>
        <v>#DIV/0!</v>
      </c>
      <c r="AU14" s="828">
        <f t="shared" si="8"/>
        <v>0</v>
      </c>
      <c r="AV14" s="828" t="e">
        <f t="shared" si="9"/>
        <v>#DIV/0!</v>
      </c>
      <c r="AW14" s="472" t="s">
        <v>1706</v>
      </c>
      <c r="AX14" s="826">
        <v>0</v>
      </c>
      <c r="AY14" s="1072" t="str">
        <f t="shared" si="10"/>
        <v>Determinar la cartera susceptible de venta a CISA S.A.</v>
      </c>
      <c r="AZ14" s="1148">
        <v>0</v>
      </c>
      <c r="BA14" s="462">
        <v>0</v>
      </c>
      <c r="BB14" s="1005">
        <v>0</v>
      </c>
      <c r="BC14" s="828" t="e">
        <f t="shared" si="11"/>
        <v>#DIV/0!</v>
      </c>
      <c r="BD14" s="828" t="e">
        <f t="shared" si="12"/>
        <v>#DIV/0!</v>
      </c>
      <c r="BE14" s="828">
        <f t="shared" si="13"/>
        <v>0</v>
      </c>
      <c r="BF14" s="828" t="e">
        <f t="shared" si="14"/>
        <v>#DIV/0!</v>
      </c>
      <c r="BG14" s="472" t="s">
        <v>1706</v>
      </c>
      <c r="BH14" s="826">
        <v>1</v>
      </c>
      <c r="BI14" s="1072" t="str">
        <f t="shared" si="15"/>
        <v>Determinar la cartera susceptible de venta a CISA S.A.</v>
      </c>
      <c r="BJ14" s="1148">
        <v>0</v>
      </c>
      <c r="BK14" s="840"/>
      <c r="BL14" s="840"/>
      <c r="BM14" s="826">
        <f t="shared" si="16"/>
        <v>0</v>
      </c>
      <c r="BN14" s="826" t="e">
        <f t="shared" si="17"/>
        <v>#DIV/0!</v>
      </c>
      <c r="BO14" s="826">
        <f t="shared" si="18"/>
        <v>0</v>
      </c>
      <c r="BP14" s="826" t="e">
        <f t="shared" si="19"/>
        <v>#DIV/0!</v>
      </c>
      <c r="BQ14" s="826"/>
      <c r="BR14" s="640" t="str">
        <f t="shared" si="20"/>
        <v>No Prog ni Ejec</v>
      </c>
      <c r="BS14" s="640" t="str">
        <f t="shared" si="21"/>
        <v>No Prog ni Ejec</v>
      </c>
      <c r="BT14" s="640" t="str">
        <f t="shared" si="22"/>
        <v>No Prog ni Ejec</v>
      </c>
      <c r="BU14" s="640" t="str">
        <f t="shared" si="23"/>
        <v>No Prog ni Ejec</v>
      </c>
      <c r="BV14" s="640" t="str">
        <f t="shared" si="24"/>
        <v>No Prog ni Ejec</v>
      </c>
      <c r="BW14" s="640" t="str">
        <f t="shared" si="25"/>
        <v>No Prog ni Ejec</v>
      </c>
      <c r="BX14" s="640">
        <f t="shared" si="26"/>
        <v>0</v>
      </c>
      <c r="BY14" s="698" t="str">
        <f t="shared" si="27"/>
        <v>No Prog ni Ejec</v>
      </c>
      <c r="BZ14" s="128">
        <f t="shared" si="28"/>
        <v>0</v>
      </c>
    </row>
    <row r="15" spans="1:229" s="70" customFormat="1" ht="38.25" customHeight="1" x14ac:dyDescent="0.2">
      <c r="A15" s="834">
        <v>11900</v>
      </c>
      <c r="B15" s="827" t="s">
        <v>125</v>
      </c>
      <c r="C15" s="827" t="s">
        <v>330</v>
      </c>
      <c r="D15" s="845" t="s">
        <v>1020</v>
      </c>
      <c r="E15" s="845"/>
      <c r="F15" s="835" t="s">
        <v>126</v>
      </c>
      <c r="G15" s="827" t="s">
        <v>60</v>
      </c>
      <c r="H15" s="827" t="s">
        <v>204</v>
      </c>
      <c r="I15" s="827" t="s">
        <v>204</v>
      </c>
      <c r="J15" s="835" t="s">
        <v>599</v>
      </c>
      <c r="K15" s="1072"/>
      <c r="L15" s="838" t="s">
        <v>51</v>
      </c>
      <c r="M15" s="906">
        <v>1.35E-2</v>
      </c>
      <c r="N15" s="1139"/>
      <c r="O15" s="1072"/>
      <c r="P15" s="1183"/>
      <c r="Q15" s="1147"/>
      <c r="R15" s="1072"/>
      <c r="S15" s="1072"/>
      <c r="T15" s="1072"/>
      <c r="U15" s="1072"/>
      <c r="V15" s="1072"/>
      <c r="W15" s="1154"/>
      <c r="X15" s="827" t="s">
        <v>1527</v>
      </c>
      <c r="Y15" s="1072"/>
      <c r="Z15" s="906">
        <v>1.35E-2</v>
      </c>
      <c r="AA15" s="1072"/>
      <c r="AB15" s="1148"/>
      <c r="AC15" s="860" t="s">
        <v>48</v>
      </c>
      <c r="AD15" s="826">
        <v>0</v>
      </c>
      <c r="AE15" s="1072">
        <f t="shared" si="0"/>
        <v>0</v>
      </c>
      <c r="AF15" s="1148"/>
      <c r="AG15" s="469">
        <v>0</v>
      </c>
      <c r="AH15" s="496">
        <v>0</v>
      </c>
      <c r="AI15" s="828" t="e">
        <f t="shared" si="1"/>
        <v>#DIV/0!</v>
      </c>
      <c r="AJ15" s="828" t="e">
        <f>+(AH15/AF14)</f>
        <v>#DIV/0!</v>
      </c>
      <c r="AK15" s="828">
        <f t="shared" si="3"/>
        <v>0</v>
      </c>
      <c r="AL15" s="828" t="e">
        <f>+(AH15/AB14)</f>
        <v>#DIV/0!</v>
      </c>
      <c r="AM15" s="482" t="s">
        <v>1362</v>
      </c>
      <c r="AN15" s="826">
        <v>0</v>
      </c>
      <c r="AO15" s="1072">
        <f t="shared" si="5"/>
        <v>0</v>
      </c>
      <c r="AP15" s="1148"/>
      <c r="AQ15" s="848">
        <v>0</v>
      </c>
      <c r="AR15" s="831">
        <v>0</v>
      </c>
      <c r="AS15" s="828" t="e">
        <f t="shared" si="6"/>
        <v>#DIV/0!</v>
      </c>
      <c r="AT15" s="828" t="e">
        <f>+(AR15/AP14)</f>
        <v>#DIV/0!</v>
      </c>
      <c r="AU15" s="828">
        <f>+(AQ15+AG15)/Z15</f>
        <v>0</v>
      </c>
      <c r="AV15" s="1006" t="e">
        <f>+(AR15+AH15)/AB14</f>
        <v>#DIV/0!</v>
      </c>
      <c r="AW15" s="472" t="s">
        <v>1706</v>
      </c>
      <c r="AX15" s="826">
        <v>0</v>
      </c>
      <c r="AY15" s="1072">
        <f t="shared" si="10"/>
        <v>0</v>
      </c>
      <c r="AZ15" s="1148"/>
      <c r="BA15" s="462">
        <v>0</v>
      </c>
      <c r="BB15" s="1005">
        <v>0</v>
      </c>
      <c r="BC15" s="828" t="e">
        <f>+(BA15/AX15)</f>
        <v>#DIV/0!</v>
      </c>
      <c r="BD15" s="828" t="e">
        <f>+(BB15/AZ14)</f>
        <v>#DIV/0!</v>
      </c>
      <c r="BE15" s="828">
        <f>+(AQ15+AG15+BA15)/Z15</f>
        <v>0</v>
      </c>
      <c r="BF15" s="1006" t="e">
        <f>+(AR15+AH15+BB15)/AB14</f>
        <v>#DIV/0!</v>
      </c>
      <c r="BG15" s="472" t="s">
        <v>1706</v>
      </c>
      <c r="BH15" s="532">
        <v>1.35E-2</v>
      </c>
      <c r="BI15" s="1072">
        <f t="shared" si="15"/>
        <v>0</v>
      </c>
      <c r="BJ15" s="1148"/>
      <c r="BK15" s="840"/>
      <c r="BL15" s="840"/>
      <c r="BM15" s="826">
        <f t="shared" si="16"/>
        <v>0</v>
      </c>
      <c r="BN15" s="826" t="e">
        <f>+(BL15/BJ14)</f>
        <v>#DIV/0!</v>
      </c>
      <c r="BO15" s="826">
        <f t="shared" si="18"/>
        <v>0</v>
      </c>
      <c r="BP15" s="1011" t="e">
        <f>+(AR15+AH15+BB15+BL15)/AB14</f>
        <v>#DIV/0!</v>
      </c>
      <c r="BQ15" s="826"/>
      <c r="BR15" s="640" t="str">
        <f t="shared" si="20"/>
        <v>No Prog ni Ejec</v>
      </c>
      <c r="BS15" s="640" t="str">
        <f t="shared" si="21"/>
        <v>No Prog ni Ejec</v>
      </c>
      <c r="BT15" s="640" t="str">
        <f t="shared" si="22"/>
        <v>No Prog ni Ejec</v>
      </c>
      <c r="BU15" s="640" t="str">
        <f t="shared" si="23"/>
        <v>No Prog ni Ejec</v>
      </c>
      <c r="BV15" s="640" t="str">
        <f t="shared" si="24"/>
        <v>No Prog ni Ejec</v>
      </c>
      <c r="BW15" s="640" t="str">
        <f t="shared" si="25"/>
        <v>No Prog ni Ejec</v>
      </c>
      <c r="BX15" s="640">
        <f t="shared" si="26"/>
        <v>0</v>
      </c>
      <c r="BY15" s="698" t="str">
        <f t="shared" si="27"/>
        <v>No Prog ni Ejec</v>
      </c>
      <c r="BZ15" s="128">
        <f t="shared" si="28"/>
        <v>0</v>
      </c>
    </row>
    <row r="16" spans="1:229" s="83" customFormat="1" ht="216.75" x14ac:dyDescent="0.2">
      <c r="A16" s="834">
        <v>11300</v>
      </c>
      <c r="B16" s="827" t="s">
        <v>2</v>
      </c>
      <c r="C16" s="827" t="s">
        <v>330</v>
      </c>
      <c r="D16" s="845" t="s">
        <v>1020</v>
      </c>
      <c r="E16" s="845"/>
      <c r="F16" s="835" t="s">
        <v>62</v>
      </c>
      <c r="G16" s="827" t="s">
        <v>59</v>
      </c>
      <c r="H16" s="827" t="s">
        <v>204</v>
      </c>
      <c r="I16" s="827" t="s">
        <v>204</v>
      </c>
      <c r="J16" s="835" t="s">
        <v>113</v>
      </c>
      <c r="K16" s="827" t="s">
        <v>153</v>
      </c>
      <c r="L16" s="838" t="s">
        <v>52</v>
      </c>
      <c r="M16" s="835">
        <v>12</v>
      </c>
      <c r="N16" s="835" t="s">
        <v>1306</v>
      </c>
      <c r="O16" s="827" t="s">
        <v>88</v>
      </c>
      <c r="P16" s="849">
        <v>0</v>
      </c>
      <c r="Q16" s="832">
        <v>1</v>
      </c>
      <c r="R16" s="827" t="s">
        <v>17</v>
      </c>
      <c r="S16" s="827" t="s">
        <v>26</v>
      </c>
      <c r="T16" s="827" t="s">
        <v>631</v>
      </c>
      <c r="U16" s="827" t="s">
        <v>634</v>
      </c>
      <c r="V16" s="827" t="s">
        <v>72</v>
      </c>
      <c r="W16" s="827"/>
      <c r="X16" s="827" t="s">
        <v>163</v>
      </c>
      <c r="Y16" s="827" t="s">
        <v>40</v>
      </c>
      <c r="Z16" s="835">
        <v>12</v>
      </c>
      <c r="AA16" s="827" t="str">
        <f t="shared" ref="AA16:AB20" si="29">+O16</f>
        <v>Realizar Informes de Ejecución Presupuestal</v>
      </c>
      <c r="AB16" s="833">
        <f t="shared" si="29"/>
        <v>0</v>
      </c>
      <c r="AC16" s="860" t="s">
        <v>48</v>
      </c>
      <c r="AD16" s="67">
        <v>3</v>
      </c>
      <c r="AE16" s="827" t="str">
        <f t="shared" ref="AE16:AE21" si="30">+AA16</f>
        <v>Realizar Informes de Ejecución Presupuestal</v>
      </c>
      <c r="AF16" s="831">
        <v>0</v>
      </c>
      <c r="AG16" s="474">
        <v>3</v>
      </c>
      <c r="AH16" s="864">
        <v>0</v>
      </c>
      <c r="AI16" s="828">
        <f t="shared" ref="AI16:AI21" si="31">+(AG16/AD16)</f>
        <v>1</v>
      </c>
      <c r="AJ16" s="828" t="e">
        <f t="shared" ref="AJ16:AJ21" si="32">+(AH16/AF16)</f>
        <v>#DIV/0!</v>
      </c>
      <c r="AK16" s="828">
        <f t="shared" ref="AK16:AK21" si="33">+(AG16/Z16)</f>
        <v>0.25</v>
      </c>
      <c r="AL16" s="828" t="e">
        <f t="shared" ref="AL16:AL21" si="34">+(AH16/AB16)</f>
        <v>#DIV/0!</v>
      </c>
      <c r="AM16" s="476" t="s">
        <v>1733</v>
      </c>
      <c r="AN16" s="67">
        <v>3</v>
      </c>
      <c r="AO16" s="827" t="str">
        <f t="shared" ref="AO16:AO21" si="35">+AA16</f>
        <v>Realizar Informes de Ejecución Presupuestal</v>
      </c>
      <c r="AP16" s="831">
        <v>0</v>
      </c>
      <c r="AQ16" s="838">
        <v>3</v>
      </c>
      <c r="AR16" s="864">
        <v>0</v>
      </c>
      <c r="AS16" s="828">
        <f t="shared" ref="AS16:AS21" si="36">+(AQ16/AN16)</f>
        <v>1</v>
      </c>
      <c r="AT16" s="828" t="e">
        <f t="shared" ref="AT16:AT21" si="37">+(AR16/AP16)</f>
        <v>#DIV/0!</v>
      </c>
      <c r="AU16" s="828">
        <f t="shared" ref="AU16:AU21" si="38">+(AQ16+AG16)/Z16</f>
        <v>0.5</v>
      </c>
      <c r="AV16" s="828" t="e">
        <f t="shared" ref="AV16:AV21" si="39">+(AR16+AH16)/AB16</f>
        <v>#DIV/0!</v>
      </c>
      <c r="AW16" s="829" t="s">
        <v>1734</v>
      </c>
      <c r="AX16" s="67">
        <v>3</v>
      </c>
      <c r="AY16" s="827" t="str">
        <f t="shared" ref="AY16:AY21" si="40">+AA16</f>
        <v>Realizar Informes de Ejecución Presupuestal</v>
      </c>
      <c r="AZ16" s="831">
        <v>0</v>
      </c>
      <c r="BA16" s="977">
        <v>3</v>
      </c>
      <c r="BB16" s="975">
        <v>0</v>
      </c>
      <c r="BC16" s="828">
        <f t="shared" ref="BC16:BC21" si="41">+(BA16/AX16)</f>
        <v>1</v>
      </c>
      <c r="BD16" s="828" t="e">
        <f t="shared" ref="BD16:BD21" si="42">+(BB16/AZ16)</f>
        <v>#DIV/0!</v>
      </c>
      <c r="BE16" s="828">
        <f t="shared" ref="BE16:BE21" si="43">+(AQ16+AG16+BA16)/Z16</f>
        <v>0.75</v>
      </c>
      <c r="BF16" s="828" t="e">
        <f t="shared" ref="BF16:BF21" si="44">+(AR16+AH16+BB16)/AB16</f>
        <v>#DIV/0!</v>
      </c>
      <c r="BG16" s="466" t="s">
        <v>1854</v>
      </c>
      <c r="BH16" s="67">
        <v>3</v>
      </c>
      <c r="BI16" s="827" t="str">
        <f t="shared" ref="BI16:BI21" si="45">+AA16</f>
        <v>Realizar Informes de Ejecución Presupuestal</v>
      </c>
      <c r="BJ16" s="831">
        <v>0</v>
      </c>
      <c r="BK16" s="840"/>
      <c r="BL16" s="840"/>
      <c r="BM16" s="826">
        <f t="shared" ref="BM16:BM21" si="46">+(BK16/BH16)</f>
        <v>0</v>
      </c>
      <c r="BN16" s="826" t="e">
        <f t="shared" ref="BN16:BN21" si="47">+(BL16/BJ16)</f>
        <v>#DIV/0!</v>
      </c>
      <c r="BO16" s="826">
        <f t="shared" ref="BO16:BO21" si="48">+(AQ16+AG16+BA16+BK16)/Z16</f>
        <v>0.75</v>
      </c>
      <c r="BP16" s="826" t="e">
        <f t="shared" ref="BP16:BP21" si="49">+(AR16+AH16+BB16+BL16)/AB16</f>
        <v>#DIV/0!</v>
      </c>
      <c r="BQ16" s="826"/>
      <c r="BR16" s="82">
        <f t="shared" ref="BR16:BR21" si="50">IF(AND(AD16=0,AG16=0),"No Prog ni Ejec",IF(AD16=0,CONCATENATE("No Prog, Ejec=  ",AG16),AG16/AD16))</f>
        <v>1</v>
      </c>
      <c r="BS16" s="82" t="str">
        <f t="shared" ref="BS16:BS21" si="51">IF(AND(AF16=0,AH16=0),"No Prog ni Ejec",IF(AF16=0,CONCATENATE("No Prog, Ejec=  ",AH16),AH16/AF16))</f>
        <v>No Prog ni Ejec</v>
      </c>
      <c r="BT16" s="82">
        <f t="shared" ref="BT16:BT21" si="52">IF(AND(AN16=0,AQ16=0),"No Prog ni Ejec",IF(AN16=0,CONCATENATE("No Prog, Ejec=  ",AQ16),AQ16/AN16))</f>
        <v>1</v>
      </c>
      <c r="BU16" s="82" t="str">
        <f t="shared" ref="BU16:BU21" si="53">IF(AND(AP16=0,AR16=0),"No Prog ni Ejec",IF(AP16=0,CONCATENATE("No Prog, Ejec=  ",AR16),AR16/AP16))</f>
        <v>No Prog ni Ejec</v>
      </c>
      <c r="BV16" s="82">
        <f t="shared" ref="BV16:BV21" si="54">IF(AND(AX16=0,BA16=0),"No Prog ni Ejec",IF(AX16=0,CONCATENATE("No Prog, Ejec=  ",BA16),BA16/AX16))</f>
        <v>1</v>
      </c>
      <c r="BW16" s="82" t="str">
        <f t="shared" ref="BW16:BW21" si="55">IF(AND(AZ16=0,BB16=0),"No Prog ni Ejec",IF(AZ16=0,CONCATENATE("No Prog, Ejec=  ",BB16),BB16/AZ16))</f>
        <v>No Prog ni Ejec</v>
      </c>
      <c r="BX16" s="82">
        <f t="shared" ref="BX16:BX21" si="56">IF(AND(BH16=0,BK16=0),"No Prog ni Ejec",IF(BH16=0,CONCATENATE("No Prog, Ejec=  ",BK16),BK16/BH16))</f>
        <v>0</v>
      </c>
      <c r="BY16" s="727" t="str">
        <f t="shared" ref="BY16:BY21" si="57">IF(AND(BJ16=0,BL16=0),"No Prog ni Ejec",IF(BJ16=0,CONCATENATE("No Prog, Ejec=  ",BL16),BL16/BJ16))</f>
        <v>No Prog ni Ejec</v>
      </c>
      <c r="BZ16" s="128">
        <f t="shared" si="28"/>
        <v>0</v>
      </c>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row>
    <row r="17" spans="1:229" s="83" customFormat="1" ht="267.75" x14ac:dyDescent="0.2">
      <c r="A17" s="834">
        <v>11300</v>
      </c>
      <c r="B17" s="827" t="s">
        <v>2</v>
      </c>
      <c r="C17" s="827" t="s">
        <v>330</v>
      </c>
      <c r="D17" s="845" t="s">
        <v>1020</v>
      </c>
      <c r="E17" s="845" t="s">
        <v>1020</v>
      </c>
      <c r="F17" s="835" t="s">
        <v>62</v>
      </c>
      <c r="G17" s="827" t="s">
        <v>59</v>
      </c>
      <c r="H17" s="827" t="s">
        <v>204</v>
      </c>
      <c r="I17" s="827" t="s">
        <v>204</v>
      </c>
      <c r="J17" s="835" t="s">
        <v>907</v>
      </c>
      <c r="K17" s="827" t="s">
        <v>89</v>
      </c>
      <c r="L17" s="838" t="s">
        <v>51</v>
      </c>
      <c r="M17" s="832">
        <v>1</v>
      </c>
      <c r="N17" s="835" t="s">
        <v>1307</v>
      </c>
      <c r="O17" s="827" t="s">
        <v>90</v>
      </c>
      <c r="P17" s="849">
        <v>215224404</v>
      </c>
      <c r="Q17" s="832">
        <v>1</v>
      </c>
      <c r="R17" s="827" t="s">
        <v>17</v>
      </c>
      <c r="S17" s="827" t="s">
        <v>26</v>
      </c>
      <c r="T17" s="827" t="s">
        <v>631</v>
      </c>
      <c r="U17" s="827" t="s">
        <v>634</v>
      </c>
      <c r="V17" s="827" t="s">
        <v>73</v>
      </c>
      <c r="W17" s="827" t="s">
        <v>1273</v>
      </c>
      <c r="X17" s="827" t="s">
        <v>156</v>
      </c>
      <c r="Y17" s="827" t="s">
        <v>204</v>
      </c>
      <c r="Z17" s="832">
        <v>1</v>
      </c>
      <c r="AA17" s="827" t="str">
        <f t="shared" si="29"/>
        <v>Seguimiento e identificación del Recaudo</v>
      </c>
      <c r="AB17" s="833">
        <f t="shared" si="29"/>
        <v>215224404</v>
      </c>
      <c r="AC17" s="860" t="s">
        <v>46</v>
      </c>
      <c r="AD17" s="826">
        <v>0.25</v>
      </c>
      <c r="AE17" s="827" t="str">
        <f t="shared" si="30"/>
        <v>Seguimiento e identificación del Recaudo</v>
      </c>
      <c r="AF17" s="831">
        <f>AB17/4</f>
        <v>53806101</v>
      </c>
      <c r="AG17" s="475">
        <f>(110346/110415)*AD17</f>
        <v>0.24984377122673551</v>
      </c>
      <c r="AH17" s="864">
        <v>44240572</v>
      </c>
      <c r="AI17" s="828">
        <f t="shared" si="31"/>
        <v>0.99937508490694205</v>
      </c>
      <c r="AJ17" s="828">
        <f t="shared" si="32"/>
        <v>0.82222222346123908</v>
      </c>
      <c r="AK17" s="828">
        <f t="shared" si="33"/>
        <v>0.24984377122673551</v>
      </c>
      <c r="AL17" s="828">
        <f t="shared" si="34"/>
        <v>0.20555555586530977</v>
      </c>
      <c r="AM17" s="476" t="s">
        <v>1330</v>
      </c>
      <c r="AN17" s="826">
        <v>0.25</v>
      </c>
      <c r="AO17" s="827" t="str">
        <f t="shared" si="35"/>
        <v>Seguimiento e identificación del Recaudo</v>
      </c>
      <c r="AP17" s="831">
        <f>AB17/4</f>
        <v>53806101</v>
      </c>
      <c r="AQ17" s="851">
        <f>(117702/117726)*AN17</f>
        <v>0.24994903419805312</v>
      </c>
      <c r="AR17" s="831">
        <v>53806101</v>
      </c>
      <c r="AS17" s="828">
        <f t="shared" si="36"/>
        <v>0.99979613679221246</v>
      </c>
      <c r="AT17" s="828">
        <f t="shared" si="37"/>
        <v>1</v>
      </c>
      <c r="AU17" s="828">
        <f t="shared" si="38"/>
        <v>0.49979280542478866</v>
      </c>
      <c r="AV17" s="828">
        <f t="shared" si="39"/>
        <v>0.45555555586530977</v>
      </c>
      <c r="AW17" s="829" t="s">
        <v>1670</v>
      </c>
      <c r="AX17" s="826">
        <v>0.25</v>
      </c>
      <c r="AY17" s="827" t="str">
        <f t="shared" si="40"/>
        <v>Seguimiento e identificación del Recaudo</v>
      </c>
      <c r="AZ17" s="831">
        <f>AB17/4</f>
        <v>53806101</v>
      </c>
      <c r="BA17" s="978">
        <f>(126375/126402)*AX17</f>
        <v>0.24994659894621921</v>
      </c>
      <c r="BB17" s="975">
        <v>53806101</v>
      </c>
      <c r="BC17" s="813">
        <f t="shared" si="41"/>
        <v>0.99978639578487682</v>
      </c>
      <c r="BD17" s="828">
        <f t="shared" si="42"/>
        <v>1</v>
      </c>
      <c r="BE17" s="828">
        <f t="shared" si="43"/>
        <v>0.74973940437100783</v>
      </c>
      <c r="BF17" s="828">
        <f t="shared" si="44"/>
        <v>0.70555555586530982</v>
      </c>
      <c r="BG17" s="466" t="s">
        <v>1855</v>
      </c>
      <c r="BH17" s="826">
        <v>0.25</v>
      </c>
      <c r="BI17" s="827" t="str">
        <f t="shared" si="45"/>
        <v>Seguimiento e identificación del Recaudo</v>
      </c>
      <c r="BJ17" s="831">
        <f>AB17/4</f>
        <v>53806101</v>
      </c>
      <c r="BK17" s="840"/>
      <c r="BL17" s="840"/>
      <c r="BM17" s="826">
        <f t="shared" si="46"/>
        <v>0</v>
      </c>
      <c r="BN17" s="826">
        <f t="shared" si="47"/>
        <v>0</v>
      </c>
      <c r="BO17" s="826">
        <f t="shared" si="48"/>
        <v>0.74973940437100783</v>
      </c>
      <c r="BP17" s="826">
        <f t="shared" si="49"/>
        <v>0.70555555586530982</v>
      </c>
      <c r="BQ17" s="826"/>
      <c r="BR17" s="82">
        <f t="shared" si="50"/>
        <v>0.99937508490694205</v>
      </c>
      <c r="BS17" s="82">
        <f t="shared" si="51"/>
        <v>0.82222222346123908</v>
      </c>
      <c r="BT17" s="82">
        <f t="shared" si="52"/>
        <v>0.99979613679221246</v>
      </c>
      <c r="BU17" s="82">
        <f t="shared" si="53"/>
        <v>1</v>
      </c>
      <c r="BV17" s="82">
        <f t="shared" si="54"/>
        <v>0.99978639578487682</v>
      </c>
      <c r="BW17" s="82">
        <f t="shared" si="55"/>
        <v>1</v>
      </c>
      <c r="BX17" s="82">
        <f t="shared" si="56"/>
        <v>0</v>
      </c>
      <c r="BY17" s="727">
        <f t="shared" si="57"/>
        <v>0</v>
      </c>
      <c r="BZ17" s="128">
        <f t="shared" si="28"/>
        <v>0</v>
      </c>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row>
    <row r="18" spans="1:229" s="83" customFormat="1" ht="255" x14ac:dyDescent="0.2">
      <c r="A18" s="834">
        <v>11300</v>
      </c>
      <c r="B18" s="827" t="s">
        <v>2</v>
      </c>
      <c r="C18" s="827" t="s">
        <v>330</v>
      </c>
      <c r="D18" s="845" t="s">
        <v>1020</v>
      </c>
      <c r="E18" s="845" t="s">
        <v>1020</v>
      </c>
      <c r="F18" s="835" t="s">
        <v>62</v>
      </c>
      <c r="G18" s="827" t="s">
        <v>59</v>
      </c>
      <c r="H18" s="827" t="s">
        <v>204</v>
      </c>
      <c r="I18" s="827" t="s">
        <v>204</v>
      </c>
      <c r="J18" s="835" t="s">
        <v>908</v>
      </c>
      <c r="K18" s="827" t="s">
        <v>92</v>
      </c>
      <c r="L18" s="838" t="s">
        <v>51</v>
      </c>
      <c r="M18" s="832">
        <v>1</v>
      </c>
      <c r="N18" s="835" t="s">
        <v>1308</v>
      </c>
      <c r="O18" s="827" t="s">
        <v>460</v>
      </c>
      <c r="P18" s="849">
        <v>313146156</v>
      </c>
      <c r="Q18" s="832">
        <v>1</v>
      </c>
      <c r="R18" s="827" t="s">
        <v>17</v>
      </c>
      <c r="S18" s="827" t="s">
        <v>26</v>
      </c>
      <c r="T18" s="827" t="s">
        <v>631</v>
      </c>
      <c r="U18" s="827" t="s">
        <v>634</v>
      </c>
      <c r="V18" s="827" t="s">
        <v>74</v>
      </c>
      <c r="W18" s="827" t="s">
        <v>1274</v>
      </c>
      <c r="X18" s="827" t="s">
        <v>455</v>
      </c>
      <c r="Y18" s="827" t="s">
        <v>204</v>
      </c>
      <c r="Z18" s="832">
        <v>1</v>
      </c>
      <c r="AA18" s="827" t="str">
        <f t="shared" si="29"/>
        <v>Tramitar Ordenes de Giro</v>
      </c>
      <c r="AB18" s="833">
        <f t="shared" si="29"/>
        <v>313146156</v>
      </c>
      <c r="AC18" s="860" t="s">
        <v>46</v>
      </c>
      <c r="AD18" s="826">
        <v>0.25</v>
      </c>
      <c r="AE18" s="827" t="str">
        <f t="shared" si="30"/>
        <v>Tramitar Ordenes de Giro</v>
      </c>
      <c r="AF18" s="831">
        <f>AB18/4</f>
        <v>78286539</v>
      </c>
      <c r="AG18" s="475">
        <f>(57892/57892)*AD18</f>
        <v>0.25</v>
      </c>
      <c r="AH18" s="864">
        <v>61187081</v>
      </c>
      <c r="AI18" s="828">
        <f t="shared" si="31"/>
        <v>1</v>
      </c>
      <c r="AJ18" s="828">
        <f t="shared" si="32"/>
        <v>0.78157856742140563</v>
      </c>
      <c r="AK18" s="828">
        <f t="shared" si="33"/>
        <v>0.25</v>
      </c>
      <c r="AL18" s="828">
        <f t="shared" si="34"/>
        <v>0.19539464185535141</v>
      </c>
      <c r="AM18" s="476" t="s">
        <v>1599</v>
      </c>
      <c r="AN18" s="826">
        <v>0.25</v>
      </c>
      <c r="AO18" s="827" t="str">
        <f t="shared" si="35"/>
        <v>Tramitar Ordenes de Giro</v>
      </c>
      <c r="AP18" s="831">
        <f>AB18/4</f>
        <v>78286539</v>
      </c>
      <c r="AQ18" s="686">
        <f>(62431/62431)*AN18</f>
        <v>0.25</v>
      </c>
      <c r="AR18" s="831">
        <v>78286539</v>
      </c>
      <c r="AS18" s="828">
        <f t="shared" si="36"/>
        <v>1</v>
      </c>
      <c r="AT18" s="828">
        <f t="shared" si="37"/>
        <v>1</v>
      </c>
      <c r="AU18" s="828">
        <f t="shared" si="38"/>
        <v>0.5</v>
      </c>
      <c r="AV18" s="828">
        <f t="shared" si="39"/>
        <v>0.44539464185535138</v>
      </c>
      <c r="AW18" s="829" t="s">
        <v>1735</v>
      </c>
      <c r="AX18" s="826">
        <v>0.25</v>
      </c>
      <c r="AY18" s="827" t="str">
        <f t="shared" si="40"/>
        <v>Tramitar Ordenes de Giro</v>
      </c>
      <c r="AZ18" s="831">
        <f>AB18/4</f>
        <v>78286539</v>
      </c>
      <c r="BA18" s="978">
        <f>(60847/60847)*AX18</f>
        <v>0.25</v>
      </c>
      <c r="BB18" s="975">
        <v>78286539</v>
      </c>
      <c r="BC18" s="828">
        <f t="shared" si="41"/>
        <v>1</v>
      </c>
      <c r="BD18" s="828">
        <f t="shared" si="42"/>
        <v>1</v>
      </c>
      <c r="BE18" s="828">
        <f t="shared" si="43"/>
        <v>0.75</v>
      </c>
      <c r="BF18" s="828">
        <f t="shared" si="44"/>
        <v>0.69539464185535138</v>
      </c>
      <c r="BG18" s="466" t="s">
        <v>1856</v>
      </c>
      <c r="BH18" s="826">
        <v>0.25</v>
      </c>
      <c r="BI18" s="827" t="str">
        <f t="shared" si="45"/>
        <v>Tramitar Ordenes de Giro</v>
      </c>
      <c r="BJ18" s="831">
        <f>AB18/4</f>
        <v>78286539</v>
      </c>
      <c r="BK18" s="840"/>
      <c r="BL18" s="840"/>
      <c r="BM18" s="826">
        <f t="shared" si="46"/>
        <v>0</v>
      </c>
      <c r="BN18" s="826">
        <f t="shared" si="47"/>
        <v>0</v>
      </c>
      <c r="BO18" s="826">
        <f t="shared" si="48"/>
        <v>0.75</v>
      </c>
      <c r="BP18" s="826">
        <f t="shared" si="49"/>
        <v>0.69539464185535138</v>
      </c>
      <c r="BQ18" s="826"/>
      <c r="BR18" s="82">
        <f t="shared" si="50"/>
        <v>1</v>
      </c>
      <c r="BS18" s="82">
        <f t="shared" si="51"/>
        <v>0.78157856742140563</v>
      </c>
      <c r="BT18" s="82">
        <f t="shared" si="52"/>
        <v>1</v>
      </c>
      <c r="BU18" s="82">
        <f t="shared" si="53"/>
        <v>1</v>
      </c>
      <c r="BV18" s="82">
        <f t="shared" si="54"/>
        <v>1</v>
      </c>
      <c r="BW18" s="82">
        <f t="shared" si="55"/>
        <v>1</v>
      </c>
      <c r="BX18" s="82">
        <f t="shared" si="56"/>
        <v>0</v>
      </c>
      <c r="BY18" s="727">
        <f t="shared" si="57"/>
        <v>0</v>
      </c>
      <c r="BZ18" s="128">
        <f t="shared" si="28"/>
        <v>0</v>
      </c>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row>
    <row r="19" spans="1:229" s="83" customFormat="1" ht="204" x14ac:dyDescent="0.2">
      <c r="A19" s="834">
        <v>11300</v>
      </c>
      <c r="B19" s="827" t="s">
        <v>2</v>
      </c>
      <c r="C19" s="827" t="s">
        <v>330</v>
      </c>
      <c r="D19" s="845" t="s">
        <v>1020</v>
      </c>
      <c r="E19" s="845" t="s">
        <v>1020</v>
      </c>
      <c r="F19" s="835" t="s">
        <v>62</v>
      </c>
      <c r="G19" s="827" t="s">
        <v>59</v>
      </c>
      <c r="H19" s="827" t="s">
        <v>204</v>
      </c>
      <c r="I19" s="827" t="s">
        <v>204</v>
      </c>
      <c r="J19" s="835" t="s">
        <v>909</v>
      </c>
      <c r="K19" s="827" t="s">
        <v>458</v>
      </c>
      <c r="L19" s="838" t="s">
        <v>51</v>
      </c>
      <c r="M19" s="832">
        <v>1</v>
      </c>
      <c r="N19" s="835" t="s">
        <v>1309</v>
      </c>
      <c r="O19" s="827" t="s">
        <v>459</v>
      </c>
      <c r="P19" s="849">
        <v>48960000</v>
      </c>
      <c r="Q19" s="832">
        <v>1</v>
      </c>
      <c r="R19" s="827" t="s">
        <v>17</v>
      </c>
      <c r="S19" s="827" t="s">
        <v>26</v>
      </c>
      <c r="T19" s="827" t="s">
        <v>631</v>
      </c>
      <c r="U19" s="827" t="s">
        <v>634</v>
      </c>
      <c r="V19" s="827" t="s">
        <v>74</v>
      </c>
      <c r="W19" s="827" t="s">
        <v>204</v>
      </c>
      <c r="X19" s="827" t="s">
        <v>158</v>
      </c>
      <c r="Y19" s="827" t="s">
        <v>204</v>
      </c>
      <c r="Z19" s="832">
        <v>1</v>
      </c>
      <c r="AA19" s="827" t="str">
        <f t="shared" si="29"/>
        <v>Realizar informes de portafolio</v>
      </c>
      <c r="AB19" s="833">
        <f t="shared" si="29"/>
        <v>48960000</v>
      </c>
      <c r="AC19" s="860" t="s">
        <v>46</v>
      </c>
      <c r="AD19" s="826">
        <v>0.25</v>
      </c>
      <c r="AE19" s="827" t="str">
        <f t="shared" si="30"/>
        <v>Realizar informes de portafolio</v>
      </c>
      <c r="AF19" s="831">
        <f>AB19/4</f>
        <v>12240000</v>
      </c>
      <c r="AG19" s="475">
        <f>(61/61)*AD19</f>
        <v>0.25</v>
      </c>
      <c r="AH19" s="864">
        <v>10064000</v>
      </c>
      <c r="AI19" s="828">
        <f t="shared" si="31"/>
        <v>1</v>
      </c>
      <c r="AJ19" s="828">
        <f t="shared" si="32"/>
        <v>0.82222222222222219</v>
      </c>
      <c r="AK19" s="828">
        <f t="shared" si="33"/>
        <v>0.25</v>
      </c>
      <c r="AL19" s="828">
        <f t="shared" si="34"/>
        <v>0.20555555555555555</v>
      </c>
      <c r="AM19" s="476" t="s">
        <v>1331</v>
      </c>
      <c r="AN19" s="826">
        <v>0.25</v>
      </c>
      <c r="AO19" s="827" t="str">
        <f t="shared" si="35"/>
        <v>Realizar informes de portafolio</v>
      </c>
      <c r="AP19" s="831">
        <f>AB19/4</f>
        <v>12240000</v>
      </c>
      <c r="AQ19" s="851">
        <f>(60/60)*AN19</f>
        <v>0.25</v>
      </c>
      <c r="AR19" s="831">
        <v>12240000</v>
      </c>
      <c r="AS19" s="828">
        <f t="shared" si="36"/>
        <v>1</v>
      </c>
      <c r="AT19" s="828">
        <f t="shared" si="37"/>
        <v>1</v>
      </c>
      <c r="AU19" s="828">
        <f t="shared" si="38"/>
        <v>0.5</v>
      </c>
      <c r="AV19" s="828">
        <f t="shared" si="39"/>
        <v>0.45555555555555555</v>
      </c>
      <c r="AW19" s="829" t="s">
        <v>1671</v>
      </c>
      <c r="AX19" s="826">
        <v>0.25</v>
      </c>
      <c r="AY19" s="827" t="str">
        <f t="shared" si="40"/>
        <v>Realizar informes de portafolio</v>
      </c>
      <c r="AZ19" s="831">
        <f>AB19/4</f>
        <v>12240000</v>
      </c>
      <c r="BA19" s="978">
        <f>(63/63)*AX19</f>
        <v>0.25</v>
      </c>
      <c r="BB19" s="975">
        <v>12240000</v>
      </c>
      <c r="BC19" s="828">
        <f t="shared" si="41"/>
        <v>1</v>
      </c>
      <c r="BD19" s="828">
        <f t="shared" si="42"/>
        <v>1</v>
      </c>
      <c r="BE19" s="828">
        <f t="shared" si="43"/>
        <v>0.75</v>
      </c>
      <c r="BF19" s="828">
        <f t="shared" si="44"/>
        <v>0.7055555555555556</v>
      </c>
      <c r="BG19" s="466" t="s">
        <v>1857</v>
      </c>
      <c r="BH19" s="826">
        <v>0.25</v>
      </c>
      <c r="BI19" s="827" t="str">
        <f t="shared" si="45"/>
        <v>Realizar informes de portafolio</v>
      </c>
      <c r="BJ19" s="831">
        <f>AB19/4</f>
        <v>12240000</v>
      </c>
      <c r="BK19" s="840"/>
      <c r="BL19" s="840"/>
      <c r="BM19" s="826">
        <f t="shared" si="46"/>
        <v>0</v>
      </c>
      <c r="BN19" s="826">
        <f t="shared" si="47"/>
        <v>0</v>
      </c>
      <c r="BO19" s="826">
        <f t="shared" si="48"/>
        <v>0.75</v>
      </c>
      <c r="BP19" s="826">
        <f t="shared" si="49"/>
        <v>0.7055555555555556</v>
      </c>
      <c r="BQ19" s="826"/>
      <c r="BR19" s="82">
        <f t="shared" si="50"/>
        <v>1</v>
      </c>
      <c r="BS19" s="82">
        <f t="shared" si="51"/>
        <v>0.82222222222222219</v>
      </c>
      <c r="BT19" s="82">
        <f t="shared" si="52"/>
        <v>1</v>
      </c>
      <c r="BU19" s="82">
        <f t="shared" si="53"/>
        <v>1</v>
      </c>
      <c r="BV19" s="82">
        <f t="shared" si="54"/>
        <v>1</v>
      </c>
      <c r="BW19" s="82">
        <f t="shared" si="55"/>
        <v>1</v>
      </c>
      <c r="BX19" s="82">
        <f t="shared" si="56"/>
        <v>0</v>
      </c>
      <c r="BY19" s="727">
        <f t="shared" si="57"/>
        <v>0</v>
      </c>
      <c r="BZ19" s="128">
        <f t="shared" si="28"/>
        <v>0</v>
      </c>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row>
    <row r="20" spans="1:229" s="81" customFormat="1" ht="242.25" x14ac:dyDescent="0.2">
      <c r="A20" s="834">
        <v>11300</v>
      </c>
      <c r="B20" s="827" t="s">
        <v>2</v>
      </c>
      <c r="C20" s="827" t="s">
        <v>330</v>
      </c>
      <c r="D20" s="845" t="s">
        <v>1020</v>
      </c>
      <c r="E20" s="845" t="s">
        <v>1020</v>
      </c>
      <c r="F20" s="835" t="s">
        <v>62</v>
      </c>
      <c r="G20" s="827" t="s">
        <v>59</v>
      </c>
      <c r="H20" s="827" t="s">
        <v>204</v>
      </c>
      <c r="I20" s="827" t="s">
        <v>204</v>
      </c>
      <c r="J20" s="835" t="s">
        <v>910</v>
      </c>
      <c r="K20" s="827" t="s">
        <v>93</v>
      </c>
      <c r="L20" s="838" t="s">
        <v>52</v>
      </c>
      <c r="M20" s="835">
        <v>4</v>
      </c>
      <c r="N20" s="835" t="s">
        <v>1310</v>
      </c>
      <c r="O20" s="827" t="s">
        <v>457</v>
      </c>
      <c r="P20" s="831">
        <v>223720404</v>
      </c>
      <c r="Q20" s="832">
        <v>1</v>
      </c>
      <c r="R20" s="827" t="s">
        <v>18</v>
      </c>
      <c r="S20" s="827" t="s">
        <v>24</v>
      </c>
      <c r="T20" s="827" t="s">
        <v>204</v>
      </c>
      <c r="U20" s="827" t="s">
        <v>635</v>
      </c>
      <c r="V20" s="827" t="s">
        <v>1038</v>
      </c>
      <c r="W20" s="827" t="s">
        <v>1275</v>
      </c>
      <c r="X20" s="827" t="s">
        <v>456</v>
      </c>
      <c r="Y20" s="827" t="s">
        <v>40</v>
      </c>
      <c r="Z20" s="835">
        <v>4</v>
      </c>
      <c r="AA20" s="827" t="str">
        <f t="shared" si="29"/>
        <v>Reportar Estados Financieros</v>
      </c>
      <c r="AB20" s="833">
        <f t="shared" si="29"/>
        <v>223720404</v>
      </c>
      <c r="AC20" s="860" t="s">
        <v>46</v>
      </c>
      <c r="AD20" s="67">
        <v>1</v>
      </c>
      <c r="AE20" s="827" t="str">
        <f t="shared" si="30"/>
        <v>Reportar Estados Financieros</v>
      </c>
      <c r="AF20" s="831">
        <f>AB20/4</f>
        <v>55930101</v>
      </c>
      <c r="AG20" s="852">
        <v>1</v>
      </c>
      <c r="AH20" s="864">
        <v>43423744</v>
      </c>
      <c r="AI20" s="828">
        <f t="shared" si="31"/>
        <v>1</v>
      </c>
      <c r="AJ20" s="828">
        <f t="shared" si="32"/>
        <v>0.77639309108345789</v>
      </c>
      <c r="AK20" s="828">
        <f t="shared" si="33"/>
        <v>0.25</v>
      </c>
      <c r="AL20" s="828">
        <f t="shared" si="34"/>
        <v>0.19409827277086447</v>
      </c>
      <c r="AM20" s="476" t="s">
        <v>1595</v>
      </c>
      <c r="AN20" s="67">
        <v>1</v>
      </c>
      <c r="AO20" s="827" t="str">
        <f t="shared" si="35"/>
        <v>Reportar Estados Financieros</v>
      </c>
      <c r="AP20" s="831">
        <f>AB20/4</f>
        <v>55930101</v>
      </c>
      <c r="AQ20" s="838">
        <v>1</v>
      </c>
      <c r="AR20" s="831">
        <v>55930101</v>
      </c>
      <c r="AS20" s="828">
        <f t="shared" si="36"/>
        <v>1</v>
      </c>
      <c r="AT20" s="828">
        <f t="shared" si="37"/>
        <v>1</v>
      </c>
      <c r="AU20" s="828">
        <f t="shared" si="38"/>
        <v>0.5</v>
      </c>
      <c r="AV20" s="828">
        <f t="shared" si="39"/>
        <v>0.4440982727708645</v>
      </c>
      <c r="AW20" s="829" t="s">
        <v>1736</v>
      </c>
      <c r="AX20" s="67">
        <v>1</v>
      </c>
      <c r="AY20" s="827" t="str">
        <f t="shared" si="40"/>
        <v>Reportar Estados Financieros</v>
      </c>
      <c r="AZ20" s="831">
        <f>AB20/4</f>
        <v>55930101</v>
      </c>
      <c r="BA20" s="977">
        <v>1</v>
      </c>
      <c r="BB20" s="975">
        <v>55930101</v>
      </c>
      <c r="BC20" s="828">
        <f t="shared" si="41"/>
        <v>1</v>
      </c>
      <c r="BD20" s="828">
        <f t="shared" si="42"/>
        <v>1</v>
      </c>
      <c r="BE20" s="828">
        <f t="shared" si="43"/>
        <v>0.75</v>
      </c>
      <c r="BF20" s="828">
        <f t="shared" si="44"/>
        <v>0.69409827277086444</v>
      </c>
      <c r="BG20" s="466" t="s">
        <v>1858</v>
      </c>
      <c r="BH20" s="67">
        <v>1</v>
      </c>
      <c r="BI20" s="827" t="str">
        <f t="shared" si="45"/>
        <v>Reportar Estados Financieros</v>
      </c>
      <c r="BJ20" s="831">
        <f>AB20/4</f>
        <v>55930101</v>
      </c>
      <c r="BK20" s="840"/>
      <c r="BL20" s="840"/>
      <c r="BM20" s="826">
        <f t="shared" si="46"/>
        <v>0</v>
      </c>
      <c r="BN20" s="826">
        <f t="shared" si="47"/>
        <v>0</v>
      </c>
      <c r="BO20" s="826">
        <f t="shared" si="48"/>
        <v>0.75</v>
      </c>
      <c r="BP20" s="826">
        <f t="shared" si="49"/>
        <v>0.69409827277086444</v>
      </c>
      <c r="BQ20" s="826"/>
      <c r="BR20" s="80">
        <f t="shared" si="50"/>
        <v>1</v>
      </c>
      <c r="BS20" s="80">
        <f t="shared" si="51"/>
        <v>0.77639309108345789</v>
      </c>
      <c r="BT20" s="80">
        <f t="shared" si="52"/>
        <v>1</v>
      </c>
      <c r="BU20" s="80">
        <f t="shared" si="53"/>
        <v>1</v>
      </c>
      <c r="BV20" s="80">
        <f t="shared" si="54"/>
        <v>1</v>
      </c>
      <c r="BW20" s="80">
        <f t="shared" si="55"/>
        <v>1</v>
      </c>
      <c r="BX20" s="80">
        <f t="shared" si="56"/>
        <v>0</v>
      </c>
      <c r="BY20" s="728">
        <f t="shared" si="57"/>
        <v>0</v>
      </c>
      <c r="BZ20" s="128">
        <f t="shared" si="28"/>
        <v>0</v>
      </c>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row>
    <row r="21" spans="1:229" ht="114.75" x14ac:dyDescent="0.2">
      <c r="A21" s="923">
        <v>11900</v>
      </c>
      <c r="B21" s="924" t="s">
        <v>125</v>
      </c>
      <c r="C21" s="924" t="s">
        <v>330</v>
      </c>
      <c r="D21" s="925" t="s">
        <v>1020</v>
      </c>
      <c r="E21" s="925" t="s">
        <v>1020</v>
      </c>
      <c r="F21" s="926" t="s">
        <v>126</v>
      </c>
      <c r="G21" s="924" t="s">
        <v>60</v>
      </c>
      <c r="H21" s="924" t="s">
        <v>204</v>
      </c>
      <c r="I21" s="924" t="s">
        <v>204</v>
      </c>
      <c r="J21" s="926" t="s">
        <v>149</v>
      </c>
      <c r="K21" s="924" t="s">
        <v>1514</v>
      </c>
      <c r="L21" s="927" t="s">
        <v>493</v>
      </c>
      <c r="M21" s="928">
        <v>103000</v>
      </c>
      <c r="N21" s="926" t="s">
        <v>128</v>
      </c>
      <c r="O21" s="929" t="s">
        <v>347</v>
      </c>
      <c r="P21" s="930">
        <v>53164884</v>
      </c>
      <c r="Q21" s="931">
        <v>1</v>
      </c>
      <c r="R21" s="924" t="s">
        <v>17</v>
      </c>
      <c r="S21" s="924" t="s">
        <v>26</v>
      </c>
      <c r="T21" s="924" t="s">
        <v>631</v>
      </c>
      <c r="U21" s="924" t="s">
        <v>633</v>
      </c>
      <c r="V21" s="924" t="s">
        <v>1045</v>
      </c>
      <c r="W21" s="924" t="s">
        <v>1269</v>
      </c>
      <c r="X21" s="924" t="s">
        <v>1515</v>
      </c>
      <c r="Y21" s="924" t="s">
        <v>204</v>
      </c>
      <c r="Z21" s="928">
        <v>103000</v>
      </c>
      <c r="AA21" s="924" t="str">
        <f>+O21</f>
        <v>Adelantar las actuaciones administrativas y operativas del proceso de Cobro Coactivo, encaminadas a lograr el cobro efectivo de las acreencias por todo concepto a favor de la Administradora de los Recursos del Sistema General de Seguridad Social en Salud – ADRES.</v>
      </c>
      <c r="AB21" s="932">
        <f>+P21</f>
        <v>53164884</v>
      </c>
      <c r="AC21" s="929" t="s">
        <v>46</v>
      </c>
      <c r="AD21" s="933">
        <v>0</v>
      </c>
      <c r="AE21" s="924" t="str">
        <f t="shared" si="30"/>
        <v>Adelantar las actuaciones administrativas y operativas del proceso de Cobro Coactivo, encaminadas a lograr el cobro efectivo de las acreencias por todo concepto a favor de la Administradora de los Recursos del Sistema General de Seguridad Social en Salud – ADRES.</v>
      </c>
      <c r="AF21" s="930">
        <f>AB21/4</f>
        <v>13291221</v>
      </c>
      <c r="AG21" s="934"/>
      <c r="AH21" s="935">
        <v>9746895</v>
      </c>
      <c r="AI21" s="936" t="e">
        <f t="shared" si="31"/>
        <v>#DIV/0!</v>
      </c>
      <c r="AJ21" s="936">
        <f t="shared" si="32"/>
        <v>0.73333330323828039</v>
      </c>
      <c r="AK21" s="936">
        <f t="shared" si="33"/>
        <v>0</v>
      </c>
      <c r="AL21" s="936">
        <f t="shared" si="34"/>
        <v>0.1833333258095701</v>
      </c>
      <c r="AM21" s="937"/>
      <c r="AN21" s="933">
        <v>0</v>
      </c>
      <c r="AO21" s="924" t="str">
        <f t="shared" si="35"/>
        <v>Adelantar las actuaciones administrativas y operativas del proceso de Cobro Coactivo, encaminadas a lograr el cobro efectivo de las acreencias por todo concepto a favor de la Administradora de los Recursos del Sistema General de Seguridad Social en Salud – ADRES.</v>
      </c>
      <c r="AP21" s="930">
        <f>AB21/4</f>
        <v>13291221</v>
      </c>
      <c r="AQ21" s="927">
        <v>0</v>
      </c>
      <c r="AR21" s="938">
        <v>13291221</v>
      </c>
      <c r="AS21" s="936" t="e">
        <f t="shared" si="36"/>
        <v>#DIV/0!</v>
      </c>
      <c r="AT21" s="936">
        <f t="shared" si="37"/>
        <v>1</v>
      </c>
      <c r="AU21" s="936">
        <f t="shared" si="38"/>
        <v>0</v>
      </c>
      <c r="AV21" s="936">
        <f t="shared" si="39"/>
        <v>0.43333332580957007</v>
      </c>
      <c r="AW21" s="939" t="s">
        <v>1707</v>
      </c>
      <c r="AX21" s="933">
        <v>0</v>
      </c>
      <c r="AY21" s="924" t="str">
        <f t="shared" si="40"/>
        <v>Adelantar las actuaciones administrativas y operativas del proceso de Cobro Coactivo, encaminadas a lograr el cobro efectivo de las acreencias por todo concepto a favor de la Administradora de los Recursos del Sistema General de Seguridad Social en Salud – ADRES.</v>
      </c>
      <c r="AZ21" s="930">
        <f>AB21/4</f>
        <v>13291221</v>
      </c>
      <c r="BA21" s="927">
        <v>0</v>
      </c>
      <c r="BB21" s="1021">
        <v>13291221</v>
      </c>
      <c r="BC21" s="936" t="e">
        <f t="shared" si="41"/>
        <v>#DIV/0!</v>
      </c>
      <c r="BD21" s="936">
        <f t="shared" si="42"/>
        <v>1</v>
      </c>
      <c r="BE21" s="936">
        <f t="shared" si="43"/>
        <v>0</v>
      </c>
      <c r="BF21" s="936">
        <f t="shared" si="44"/>
        <v>0.68333332580957007</v>
      </c>
      <c r="BG21" s="472" t="s">
        <v>1706</v>
      </c>
      <c r="BH21" s="933">
        <v>103000</v>
      </c>
      <c r="BI21" s="924" t="str">
        <f t="shared" si="45"/>
        <v>Adelantar las actuaciones administrativas y operativas del proceso de Cobro Coactivo, encaminadas a lograr el cobro efectivo de las acreencias por todo concepto a favor de la Administradora de los Recursos del Sistema General de Seguridad Social en Salud – ADRES.</v>
      </c>
      <c r="BJ21" s="930">
        <f>AB21/4</f>
        <v>13291221</v>
      </c>
      <c r="BK21" s="940"/>
      <c r="BL21" s="940"/>
      <c r="BM21" s="941">
        <f t="shared" si="46"/>
        <v>0</v>
      </c>
      <c r="BN21" s="941">
        <f t="shared" si="47"/>
        <v>0</v>
      </c>
      <c r="BO21" s="941">
        <f t="shared" si="48"/>
        <v>0</v>
      </c>
      <c r="BP21" s="941">
        <f t="shared" si="49"/>
        <v>0.68333332580957007</v>
      </c>
      <c r="BQ21" s="941"/>
      <c r="BR21" s="942" t="str">
        <f t="shared" si="50"/>
        <v>No Prog ni Ejec</v>
      </c>
      <c r="BS21" s="942">
        <f t="shared" si="51"/>
        <v>0.73333330323828039</v>
      </c>
      <c r="BT21" s="942" t="str">
        <f t="shared" si="52"/>
        <v>No Prog ni Ejec</v>
      </c>
      <c r="BU21" s="942">
        <f t="shared" si="53"/>
        <v>1</v>
      </c>
      <c r="BV21" s="942" t="str">
        <f t="shared" si="54"/>
        <v>No Prog ni Ejec</v>
      </c>
      <c r="BW21" s="942">
        <f t="shared" si="55"/>
        <v>1</v>
      </c>
      <c r="BX21" s="942">
        <f t="shared" si="56"/>
        <v>0</v>
      </c>
      <c r="BY21" s="943">
        <f t="shared" si="57"/>
        <v>0</v>
      </c>
    </row>
    <row r="22" spans="1:229" s="952" customFormat="1" ht="64.5" customHeight="1" x14ac:dyDescent="0.2">
      <c r="A22" s="566">
        <v>11400</v>
      </c>
      <c r="B22" s="944" t="s">
        <v>12</v>
      </c>
      <c r="C22" s="944" t="s">
        <v>330</v>
      </c>
      <c r="D22" s="673" t="s">
        <v>1020</v>
      </c>
      <c r="E22" s="945"/>
      <c r="F22" s="566" t="s">
        <v>65</v>
      </c>
      <c r="G22" s="944" t="s">
        <v>345</v>
      </c>
      <c r="H22" s="944" t="s">
        <v>204</v>
      </c>
      <c r="I22" s="944" t="s">
        <v>204</v>
      </c>
      <c r="J22" s="946" t="s">
        <v>114</v>
      </c>
      <c r="K22" s="944" t="s">
        <v>1787</v>
      </c>
      <c r="L22" s="947" t="s">
        <v>493</v>
      </c>
      <c r="M22" s="948">
        <v>1</v>
      </c>
      <c r="N22" s="1185" t="s">
        <v>66</v>
      </c>
      <c r="O22" s="1184" t="s">
        <v>1791</v>
      </c>
      <c r="P22" s="1186">
        <v>0</v>
      </c>
      <c r="Q22" s="1187">
        <v>1</v>
      </c>
      <c r="R22" s="944" t="s">
        <v>17</v>
      </c>
      <c r="S22" s="944" t="s">
        <v>26</v>
      </c>
      <c r="T22" s="944" t="s">
        <v>631</v>
      </c>
      <c r="U22" s="944" t="s">
        <v>633</v>
      </c>
      <c r="V22" s="1184" t="s">
        <v>71</v>
      </c>
      <c r="W22" s="1191" t="s">
        <v>1269</v>
      </c>
      <c r="X22" s="944" t="s">
        <v>1796</v>
      </c>
      <c r="Y22" s="944" t="s">
        <v>204</v>
      </c>
      <c r="Z22" s="948">
        <v>1</v>
      </c>
      <c r="AA22" s="1184" t="str">
        <f>+O22</f>
        <v>Apoyar al Ministerio de Salud y Protección Social en la estructuración del saneamiento definitivo de las cuentas de recobro relacionadas con los servicios y tecnologías de salud no financiados con cargo a la UPC del régimen contributivo.</v>
      </c>
      <c r="AB22" s="1192">
        <f>+P22</f>
        <v>0</v>
      </c>
      <c r="AC22" s="1191" t="s">
        <v>48</v>
      </c>
      <c r="AD22" s="949">
        <v>0</v>
      </c>
      <c r="AE22" s="1184" t="str">
        <f t="shared" ref="AE22:AE25" si="58">+AA22</f>
        <v>Apoyar al Ministerio de Salud y Protección Social en la estructuración del saneamiento definitivo de las cuentas de recobro relacionadas con los servicios y tecnologías de salud no financiados con cargo a la UPC del régimen contributivo.</v>
      </c>
      <c r="AF22" s="1188">
        <f t="shared" ref="AF22:AF24" si="59">AB22/4</f>
        <v>0</v>
      </c>
      <c r="AG22" s="950"/>
      <c r="AH22" s="1189"/>
      <c r="AI22" s="1190" t="e">
        <f t="shared" ref="AI22:AI24" si="60">+(AG22/AD22)</f>
        <v>#DIV/0!</v>
      </c>
      <c r="AJ22" s="1190" t="e">
        <f t="shared" ref="AJ22:AJ24" si="61">+(AH22/AF22)</f>
        <v>#DIV/0!</v>
      </c>
      <c r="AK22" s="1190">
        <f t="shared" ref="AK22:AK24" si="62">+(AG22/Z22)</f>
        <v>0</v>
      </c>
      <c r="AL22" s="1190" t="e">
        <f t="shared" ref="AL22:AL24" si="63">+(AH22/AB22)</f>
        <v>#DIV/0!</v>
      </c>
      <c r="AM22" s="1193"/>
      <c r="AN22" s="949">
        <v>0</v>
      </c>
      <c r="AO22" s="1184" t="str">
        <f t="shared" ref="AO22:AO25" si="64">+AA22</f>
        <v>Apoyar al Ministerio de Salud y Protección Social en la estructuración del saneamiento definitivo de las cuentas de recobro relacionadas con los servicios y tecnologías de salud no financiados con cargo a la UPC del régimen contributivo.</v>
      </c>
      <c r="AP22" s="1188">
        <f t="shared" ref="AP22:AP25" si="65">AB22/4</f>
        <v>0</v>
      </c>
      <c r="AQ22" s="950"/>
      <c r="AR22" s="1189"/>
      <c r="AS22" s="1190" t="e">
        <f t="shared" ref="AS22:AS25" si="66">+(AQ22/AN22)</f>
        <v>#DIV/0!</v>
      </c>
      <c r="AT22" s="1190" t="e">
        <f t="shared" ref="AT22:AT25" si="67">+(AR22/AP22)</f>
        <v>#DIV/0!</v>
      </c>
      <c r="AU22" s="1190">
        <f t="shared" ref="AU22:AU25" si="68">+(AQ22+AG22)/Z22</f>
        <v>0</v>
      </c>
      <c r="AV22" s="1190" t="e">
        <f t="shared" ref="AV22:AV25" si="69">+(AR22+AH22)/AB22</f>
        <v>#DIV/0!</v>
      </c>
      <c r="AW22" s="1193"/>
      <c r="AX22" s="949">
        <v>0</v>
      </c>
      <c r="AY22" s="1184" t="str">
        <f t="shared" ref="AY22:AY25" si="70">+AA22</f>
        <v>Apoyar al Ministerio de Salud y Protección Social en la estructuración del saneamiento definitivo de las cuentas de recobro relacionadas con los servicios y tecnologías de salud no financiados con cargo a la UPC del régimen contributivo.</v>
      </c>
      <c r="AZ22" s="1188">
        <f t="shared" ref="AZ22:AZ25" si="71">AB22/4</f>
        <v>0</v>
      </c>
      <c r="BA22" s="1018">
        <v>0</v>
      </c>
      <c r="BB22" s="1059">
        <v>0</v>
      </c>
      <c r="BC22" s="1190" t="e">
        <f t="shared" ref="BC22:BC25" si="72">+(BA22/AX22)</f>
        <v>#DIV/0!</v>
      </c>
      <c r="BD22" s="1190" t="e">
        <f t="shared" ref="BD22:BD25" si="73">+(BB22/AZ22)</f>
        <v>#DIV/0!</v>
      </c>
      <c r="BE22" s="1190">
        <f t="shared" ref="BE22:BE25" si="74">+(AQ22+AG22+BA22)/Z22</f>
        <v>0</v>
      </c>
      <c r="BF22" s="1190" t="e">
        <f t="shared" ref="BF22:BF25" si="75">+(AR22+AH22+BB22)/AB22</f>
        <v>#DIV/0!</v>
      </c>
      <c r="BG22" s="1193"/>
      <c r="BH22" s="592">
        <v>1</v>
      </c>
      <c r="BI22" s="1184" t="str">
        <f t="shared" ref="BI22:BI25" si="76">+AA22</f>
        <v>Apoyar al Ministerio de Salud y Protección Social en la estructuración del saneamiento definitivo de las cuentas de recobro relacionadas con los servicios y tecnologías de salud no financiados con cargo a la UPC del régimen contributivo.</v>
      </c>
      <c r="BJ22" s="1188">
        <f t="shared" ref="BJ22:BJ25" si="77">AB22/4</f>
        <v>0</v>
      </c>
      <c r="BK22" s="950"/>
      <c r="BL22" s="1189"/>
      <c r="BM22" s="1190">
        <f t="shared" ref="BM22:BM25" si="78">+(BK22/BH22)</f>
        <v>0</v>
      </c>
      <c r="BN22" s="1190" t="e">
        <f t="shared" ref="BN22:BN25" si="79">+(BL22/BJ22)</f>
        <v>#DIV/0!</v>
      </c>
      <c r="BO22" s="1190">
        <f t="shared" ref="BO22:BO25" si="80">+(AQ22+AG22+BA22+BK22)/Z22</f>
        <v>0</v>
      </c>
      <c r="BP22" s="1190" t="e">
        <f t="shared" ref="BP22:BP25" si="81">+(AR22+AH22+BB22+BL22)/AB22</f>
        <v>#DIV/0!</v>
      </c>
      <c r="BQ22" s="1193"/>
      <c r="BR22" s="951" t="str">
        <f t="shared" ref="BR22:BR25" si="82">IF(AND(AD22=0,AG22=0),"No Prog ni Ejec",IF(AD22=0,CONCATENATE("No Prog, Ejec=  ",AG22),AG22/AD22))</f>
        <v>No Prog ni Ejec</v>
      </c>
      <c r="BS22" s="951" t="str">
        <f t="shared" ref="BS22:BS25" si="83">IF(AND(AF22=0,AH22=0),"No Prog ni Ejec",IF(AF22=0,CONCATENATE("No Prog, Ejec=  ",AH22),AH22/AF22))</f>
        <v>No Prog ni Ejec</v>
      </c>
      <c r="BT22" s="951" t="str">
        <f t="shared" ref="BT22:BT25" si="84">IF(AND(AN22=0,AQ22=0),"No Prog ni Ejec",IF(AN22=0,CONCATENATE("No Prog, Ejec=  ",AQ22),AQ22/AN22))</f>
        <v>No Prog ni Ejec</v>
      </c>
      <c r="BU22" s="951" t="str">
        <f t="shared" ref="BU22:BU25" si="85">IF(AND(AP22=0,AR22=0),"No Prog ni Ejec",IF(AP22=0,CONCATENATE("No Prog, Ejec=  ",AR22),AR22/AP22))</f>
        <v>No Prog ni Ejec</v>
      </c>
      <c r="BV22" s="951" t="str">
        <f t="shared" ref="BV22:BV25" si="86">IF(AND(AX22=0,BA22=0),"No Prog ni Ejec",IF(AX22=0,CONCATENATE("No Prog, Ejec=  ",BA22),BA22/AX22))</f>
        <v>No Prog ni Ejec</v>
      </c>
      <c r="BW22" s="951" t="str">
        <f t="shared" ref="BW22:BW25" si="87">IF(AND(AZ22=0,BB22=0),"No Prog ni Ejec",IF(AZ22=0,CONCATENATE("No Prog, Ejec=  ",BB22),BB22/AZ22))</f>
        <v>No Prog ni Ejec</v>
      </c>
      <c r="BX22" s="951">
        <f t="shared" ref="BX22:BX25" si="88">IF(AND(BH22=0,BK22=0),"No Prog ni Ejec",IF(BH22=0,CONCATENATE("No Prog, Ejec=  ",BK22),BK22/BH22))</f>
        <v>0</v>
      </c>
      <c r="BY22" s="951" t="str">
        <f t="shared" ref="BY22:BY25" si="89">IF(AND(BJ22=0,BL22=0),"No Prog ni Ejec",IF(BJ22=0,CONCATENATE("No Prog, Ejec=  ",BL22),BL22/BJ22))</f>
        <v>No Prog ni Ejec</v>
      </c>
    </row>
    <row r="23" spans="1:229" s="952" customFormat="1" ht="76.5" x14ac:dyDescent="0.2">
      <c r="A23" s="566">
        <v>11400</v>
      </c>
      <c r="B23" s="944" t="s">
        <v>12</v>
      </c>
      <c r="C23" s="944" t="s">
        <v>330</v>
      </c>
      <c r="D23" s="673" t="s">
        <v>1020</v>
      </c>
      <c r="E23" s="945"/>
      <c r="F23" s="566" t="s">
        <v>65</v>
      </c>
      <c r="G23" s="944" t="s">
        <v>345</v>
      </c>
      <c r="H23" s="944" t="s">
        <v>204</v>
      </c>
      <c r="I23" s="944" t="s">
        <v>204</v>
      </c>
      <c r="J23" s="946" t="s">
        <v>973</v>
      </c>
      <c r="K23" s="944" t="s">
        <v>1788</v>
      </c>
      <c r="L23" s="947" t="s">
        <v>493</v>
      </c>
      <c r="M23" s="948">
        <v>2</v>
      </c>
      <c r="N23" s="1185"/>
      <c r="O23" s="1184"/>
      <c r="P23" s="1186"/>
      <c r="Q23" s="1187"/>
      <c r="R23" s="944" t="s">
        <v>17</v>
      </c>
      <c r="S23" s="944" t="s">
        <v>304</v>
      </c>
      <c r="T23" s="944" t="s">
        <v>631</v>
      </c>
      <c r="U23" s="944" t="s">
        <v>633</v>
      </c>
      <c r="V23" s="1184"/>
      <c r="W23" s="1191"/>
      <c r="X23" s="944" t="s">
        <v>1797</v>
      </c>
      <c r="Y23" s="944" t="s">
        <v>204</v>
      </c>
      <c r="Z23" s="948">
        <v>2</v>
      </c>
      <c r="AA23" s="1184"/>
      <c r="AB23" s="1192"/>
      <c r="AC23" s="1191"/>
      <c r="AD23" s="949">
        <v>0</v>
      </c>
      <c r="AE23" s="1184">
        <f t="shared" si="58"/>
        <v>0</v>
      </c>
      <c r="AF23" s="1188"/>
      <c r="AG23" s="950"/>
      <c r="AH23" s="1189"/>
      <c r="AI23" s="1190"/>
      <c r="AJ23" s="1190"/>
      <c r="AK23" s="1190"/>
      <c r="AL23" s="1190"/>
      <c r="AM23" s="1193"/>
      <c r="AN23" s="949">
        <v>0</v>
      </c>
      <c r="AO23" s="1184">
        <f t="shared" si="64"/>
        <v>0</v>
      </c>
      <c r="AP23" s="1188">
        <f t="shared" si="65"/>
        <v>0</v>
      </c>
      <c r="AQ23" s="950"/>
      <c r="AR23" s="1189"/>
      <c r="AS23" s="1190" t="e">
        <f t="shared" si="66"/>
        <v>#DIV/0!</v>
      </c>
      <c r="AT23" s="1190" t="e">
        <f t="shared" si="67"/>
        <v>#DIV/0!</v>
      </c>
      <c r="AU23" s="1190">
        <f t="shared" si="68"/>
        <v>0</v>
      </c>
      <c r="AV23" s="1190" t="e">
        <f t="shared" si="69"/>
        <v>#DIV/0!</v>
      </c>
      <c r="AW23" s="1193"/>
      <c r="AX23" s="949">
        <v>0</v>
      </c>
      <c r="AY23" s="1184">
        <f t="shared" si="70"/>
        <v>0</v>
      </c>
      <c r="AZ23" s="1188">
        <f t="shared" si="71"/>
        <v>0</v>
      </c>
      <c r="BA23" s="1018">
        <v>0</v>
      </c>
      <c r="BB23" s="1059"/>
      <c r="BC23" s="1190" t="e">
        <f t="shared" si="72"/>
        <v>#DIV/0!</v>
      </c>
      <c r="BD23" s="1190" t="e">
        <f t="shared" si="73"/>
        <v>#DIV/0!</v>
      </c>
      <c r="BE23" s="1190">
        <f t="shared" si="74"/>
        <v>0</v>
      </c>
      <c r="BF23" s="1190" t="e">
        <f t="shared" si="75"/>
        <v>#DIV/0!</v>
      </c>
      <c r="BG23" s="1193"/>
      <c r="BH23" s="592">
        <v>2</v>
      </c>
      <c r="BI23" s="1184">
        <f t="shared" si="76"/>
        <v>0</v>
      </c>
      <c r="BJ23" s="1188">
        <f t="shared" si="77"/>
        <v>0</v>
      </c>
      <c r="BK23" s="950"/>
      <c r="BL23" s="1189"/>
      <c r="BM23" s="1190">
        <f t="shared" si="78"/>
        <v>0</v>
      </c>
      <c r="BN23" s="1190" t="e">
        <f t="shared" si="79"/>
        <v>#DIV/0!</v>
      </c>
      <c r="BO23" s="1190">
        <f t="shared" si="80"/>
        <v>0</v>
      </c>
      <c r="BP23" s="1190" t="e">
        <f t="shared" si="81"/>
        <v>#DIV/0!</v>
      </c>
      <c r="BQ23" s="1193"/>
      <c r="BR23" s="951" t="str">
        <f t="shared" si="82"/>
        <v>No Prog ni Ejec</v>
      </c>
      <c r="BS23" s="951" t="str">
        <f t="shared" si="83"/>
        <v>No Prog ni Ejec</v>
      </c>
      <c r="BT23" s="951" t="str">
        <f t="shared" si="84"/>
        <v>No Prog ni Ejec</v>
      </c>
      <c r="BU23" s="951" t="str">
        <f t="shared" si="85"/>
        <v>No Prog ni Ejec</v>
      </c>
      <c r="BV23" s="951" t="str">
        <f t="shared" si="86"/>
        <v>No Prog ni Ejec</v>
      </c>
      <c r="BW23" s="951" t="str">
        <f t="shared" si="87"/>
        <v>No Prog ni Ejec</v>
      </c>
      <c r="BX23" s="951">
        <f t="shared" si="88"/>
        <v>0</v>
      </c>
      <c r="BY23" s="951" t="str">
        <f t="shared" si="89"/>
        <v>No Prog ni Ejec</v>
      </c>
    </row>
    <row r="24" spans="1:229" s="952" customFormat="1" ht="89.25" x14ac:dyDescent="0.2">
      <c r="A24" s="566">
        <v>11400</v>
      </c>
      <c r="B24" s="944" t="s">
        <v>12</v>
      </c>
      <c r="C24" s="944" t="s">
        <v>330</v>
      </c>
      <c r="D24" s="673" t="s">
        <v>1020</v>
      </c>
      <c r="E24" s="945"/>
      <c r="F24" s="566" t="s">
        <v>65</v>
      </c>
      <c r="G24" s="944" t="s">
        <v>345</v>
      </c>
      <c r="H24" s="944" t="s">
        <v>204</v>
      </c>
      <c r="I24" s="944" t="s">
        <v>204</v>
      </c>
      <c r="J24" s="946" t="s">
        <v>1795</v>
      </c>
      <c r="K24" s="944" t="s">
        <v>1789</v>
      </c>
      <c r="L24" s="947" t="s">
        <v>493</v>
      </c>
      <c r="M24" s="948">
        <v>2</v>
      </c>
      <c r="N24" s="1185" t="s">
        <v>1793</v>
      </c>
      <c r="O24" s="1184" t="s">
        <v>1792</v>
      </c>
      <c r="P24" s="1186">
        <v>0</v>
      </c>
      <c r="Q24" s="1187">
        <v>1</v>
      </c>
      <c r="R24" s="944" t="s">
        <v>17</v>
      </c>
      <c r="S24" s="944" t="s">
        <v>26</v>
      </c>
      <c r="T24" s="944" t="s">
        <v>631</v>
      </c>
      <c r="U24" s="944" t="s">
        <v>633</v>
      </c>
      <c r="V24" s="1184" t="s">
        <v>71</v>
      </c>
      <c r="W24" s="1191" t="s">
        <v>1269</v>
      </c>
      <c r="X24" s="944" t="s">
        <v>1798</v>
      </c>
      <c r="Y24" s="944" t="s">
        <v>204</v>
      </c>
      <c r="Z24" s="948">
        <v>2</v>
      </c>
      <c r="AA24" s="1184" t="str">
        <f>+O24</f>
        <v>Apoyar al Ministerio de Salud y Protección Social en la definición de los techos o presupuesto máximos que la ADRES transferirá a las EPS para financiar y gestionar los servicios y tecnologías en salud no financiados con la UPC.</v>
      </c>
      <c r="AB24" s="1192">
        <f>+P24</f>
        <v>0</v>
      </c>
      <c r="AC24" s="1191" t="s">
        <v>48</v>
      </c>
      <c r="AD24" s="949">
        <v>0</v>
      </c>
      <c r="AE24" s="1184" t="str">
        <f t="shared" si="58"/>
        <v>Apoyar al Ministerio de Salud y Protección Social en la definición de los techos o presupuesto máximos que la ADRES transferirá a las EPS para financiar y gestionar los servicios y tecnologías en salud no financiados con la UPC.</v>
      </c>
      <c r="AF24" s="1188">
        <f t="shared" si="59"/>
        <v>0</v>
      </c>
      <c r="AG24" s="950"/>
      <c r="AH24" s="1189"/>
      <c r="AI24" s="1190" t="e">
        <f t="shared" si="60"/>
        <v>#DIV/0!</v>
      </c>
      <c r="AJ24" s="1190" t="e">
        <f t="shared" si="61"/>
        <v>#DIV/0!</v>
      </c>
      <c r="AK24" s="1190">
        <f t="shared" si="62"/>
        <v>0</v>
      </c>
      <c r="AL24" s="1190" t="e">
        <f t="shared" si="63"/>
        <v>#DIV/0!</v>
      </c>
      <c r="AM24" s="1193"/>
      <c r="AN24" s="949">
        <v>0</v>
      </c>
      <c r="AO24" s="1184" t="str">
        <f t="shared" si="64"/>
        <v>Apoyar al Ministerio de Salud y Protección Social en la definición de los techos o presupuesto máximos que la ADRES transferirá a las EPS para financiar y gestionar los servicios y tecnologías en salud no financiados con la UPC.</v>
      </c>
      <c r="AP24" s="1188">
        <f t="shared" si="65"/>
        <v>0</v>
      </c>
      <c r="AQ24" s="950"/>
      <c r="AR24" s="1189"/>
      <c r="AS24" s="1190" t="e">
        <f t="shared" si="66"/>
        <v>#DIV/0!</v>
      </c>
      <c r="AT24" s="1190" t="e">
        <f t="shared" si="67"/>
        <v>#DIV/0!</v>
      </c>
      <c r="AU24" s="1190">
        <f t="shared" si="68"/>
        <v>0</v>
      </c>
      <c r="AV24" s="1190" t="e">
        <f t="shared" si="69"/>
        <v>#DIV/0!</v>
      </c>
      <c r="AW24" s="1193"/>
      <c r="AX24" s="949">
        <v>0</v>
      </c>
      <c r="AY24" s="1184" t="str">
        <f t="shared" si="70"/>
        <v>Apoyar al Ministerio de Salud y Protección Social en la definición de los techos o presupuesto máximos que la ADRES transferirá a las EPS para financiar y gestionar los servicios y tecnologías en salud no financiados con la UPC.</v>
      </c>
      <c r="AZ24" s="1188">
        <f t="shared" si="71"/>
        <v>0</v>
      </c>
      <c r="BA24" s="1018">
        <v>0</v>
      </c>
      <c r="BB24" s="1059">
        <v>0</v>
      </c>
      <c r="BC24" s="1190" t="e">
        <f t="shared" si="72"/>
        <v>#DIV/0!</v>
      </c>
      <c r="BD24" s="1190" t="e">
        <f t="shared" si="73"/>
        <v>#DIV/0!</v>
      </c>
      <c r="BE24" s="1190">
        <f t="shared" si="74"/>
        <v>0</v>
      </c>
      <c r="BF24" s="1190" t="e">
        <f t="shared" si="75"/>
        <v>#DIV/0!</v>
      </c>
      <c r="BG24" s="1193"/>
      <c r="BH24" s="592">
        <v>2</v>
      </c>
      <c r="BI24" s="1184" t="str">
        <f t="shared" si="76"/>
        <v>Apoyar al Ministerio de Salud y Protección Social en la definición de los techos o presupuesto máximos que la ADRES transferirá a las EPS para financiar y gestionar los servicios y tecnologías en salud no financiados con la UPC.</v>
      </c>
      <c r="BJ24" s="1188">
        <f t="shared" si="77"/>
        <v>0</v>
      </c>
      <c r="BK24" s="950"/>
      <c r="BL24" s="1189"/>
      <c r="BM24" s="1190">
        <f t="shared" si="78"/>
        <v>0</v>
      </c>
      <c r="BN24" s="1190" t="e">
        <f t="shared" si="79"/>
        <v>#DIV/0!</v>
      </c>
      <c r="BO24" s="1190">
        <f t="shared" si="80"/>
        <v>0</v>
      </c>
      <c r="BP24" s="1190" t="e">
        <f t="shared" si="81"/>
        <v>#DIV/0!</v>
      </c>
      <c r="BQ24" s="1193"/>
      <c r="BR24" s="951" t="str">
        <f t="shared" si="82"/>
        <v>No Prog ni Ejec</v>
      </c>
      <c r="BS24" s="951" t="str">
        <f t="shared" si="83"/>
        <v>No Prog ni Ejec</v>
      </c>
      <c r="BT24" s="951" t="str">
        <f t="shared" si="84"/>
        <v>No Prog ni Ejec</v>
      </c>
      <c r="BU24" s="951" t="str">
        <f t="shared" si="85"/>
        <v>No Prog ni Ejec</v>
      </c>
      <c r="BV24" s="951" t="str">
        <f t="shared" si="86"/>
        <v>No Prog ni Ejec</v>
      </c>
      <c r="BW24" s="951" t="str">
        <f t="shared" si="87"/>
        <v>No Prog ni Ejec</v>
      </c>
      <c r="BX24" s="951">
        <f t="shared" si="88"/>
        <v>0</v>
      </c>
      <c r="BY24" s="951" t="str">
        <f t="shared" si="89"/>
        <v>No Prog ni Ejec</v>
      </c>
    </row>
    <row r="25" spans="1:229" s="952" customFormat="1" ht="89.25" x14ac:dyDescent="0.2">
      <c r="A25" s="566">
        <v>11400</v>
      </c>
      <c r="B25" s="944" t="s">
        <v>12</v>
      </c>
      <c r="C25" s="944" t="s">
        <v>330</v>
      </c>
      <c r="D25" s="673" t="s">
        <v>1020</v>
      </c>
      <c r="E25" s="945"/>
      <c r="F25" s="566" t="s">
        <v>65</v>
      </c>
      <c r="G25" s="944" t="s">
        <v>345</v>
      </c>
      <c r="H25" s="944" t="s">
        <v>204</v>
      </c>
      <c r="I25" s="944" t="s">
        <v>204</v>
      </c>
      <c r="J25" s="946" t="s">
        <v>1794</v>
      </c>
      <c r="K25" s="944" t="s">
        <v>1790</v>
      </c>
      <c r="L25" s="947" t="s">
        <v>493</v>
      </c>
      <c r="M25" s="948">
        <v>1</v>
      </c>
      <c r="N25" s="1185"/>
      <c r="O25" s="1184"/>
      <c r="P25" s="1186"/>
      <c r="Q25" s="1187"/>
      <c r="R25" s="944" t="s">
        <v>17</v>
      </c>
      <c r="S25" s="944" t="s">
        <v>304</v>
      </c>
      <c r="T25" s="944" t="s">
        <v>631</v>
      </c>
      <c r="U25" s="944" t="s">
        <v>633</v>
      </c>
      <c r="V25" s="1184"/>
      <c r="W25" s="1191"/>
      <c r="X25" s="944" t="s">
        <v>1799</v>
      </c>
      <c r="Y25" s="944" t="s">
        <v>204</v>
      </c>
      <c r="Z25" s="948">
        <v>1</v>
      </c>
      <c r="AA25" s="1184"/>
      <c r="AB25" s="1192"/>
      <c r="AC25" s="1191"/>
      <c r="AD25" s="949">
        <v>0</v>
      </c>
      <c r="AE25" s="1184">
        <f t="shared" si="58"/>
        <v>0</v>
      </c>
      <c r="AF25" s="1188"/>
      <c r="AG25" s="950"/>
      <c r="AH25" s="1189"/>
      <c r="AI25" s="1190"/>
      <c r="AJ25" s="1190"/>
      <c r="AK25" s="1190"/>
      <c r="AL25" s="1190"/>
      <c r="AM25" s="1193"/>
      <c r="AN25" s="949">
        <v>0</v>
      </c>
      <c r="AO25" s="1184">
        <f t="shared" si="64"/>
        <v>0</v>
      </c>
      <c r="AP25" s="1188">
        <f t="shared" si="65"/>
        <v>0</v>
      </c>
      <c r="AQ25" s="950"/>
      <c r="AR25" s="1189"/>
      <c r="AS25" s="1190" t="e">
        <f t="shared" si="66"/>
        <v>#DIV/0!</v>
      </c>
      <c r="AT25" s="1190" t="e">
        <f t="shared" si="67"/>
        <v>#DIV/0!</v>
      </c>
      <c r="AU25" s="1190">
        <f t="shared" si="68"/>
        <v>0</v>
      </c>
      <c r="AV25" s="1190" t="e">
        <f t="shared" si="69"/>
        <v>#DIV/0!</v>
      </c>
      <c r="AW25" s="1193"/>
      <c r="AX25" s="949">
        <v>0</v>
      </c>
      <c r="AY25" s="1184">
        <f t="shared" si="70"/>
        <v>0</v>
      </c>
      <c r="AZ25" s="1188">
        <f t="shared" si="71"/>
        <v>0</v>
      </c>
      <c r="BA25" s="1018">
        <v>0</v>
      </c>
      <c r="BB25" s="1059"/>
      <c r="BC25" s="1190" t="e">
        <f t="shared" si="72"/>
        <v>#DIV/0!</v>
      </c>
      <c r="BD25" s="1190" t="e">
        <f t="shared" si="73"/>
        <v>#DIV/0!</v>
      </c>
      <c r="BE25" s="1190">
        <f t="shared" si="74"/>
        <v>0</v>
      </c>
      <c r="BF25" s="1190" t="e">
        <f t="shared" si="75"/>
        <v>#DIV/0!</v>
      </c>
      <c r="BG25" s="1193"/>
      <c r="BH25" s="592">
        <v>1</v>
      </c>
      <c r="BI25" s="1184">
        <f t="shared" si="76"/>
        <v>0</v>
      </c>
      <c r="BJ25" s="1188">
        <f t="shared" si="77"/>
        <v>0</v>
      </c>
      <c r="BK25" s="950"/>
      <c r="BL25" s="1189"/>
      <c r="BM25" s="1190">
        <f t="shared" si="78"/>
        <v>0</v>
      </c>
      <c r="BN25" s="1190" t="e">
        <f t="shared" si="79"/>
        <v>#DIV/0!</v>
      </c>
      <c r="BO25" s="1190">
        <f t="shared" si="80"/>
        <v>0</v>
      </c>
      <c r="BP25" s="1190" t="e">
        <f t="shared" si="81"/>
        <v>#DIV/0!</v>
      </c>
      <c r="BQ25" s="1193"/>
      <c r="BR25" s="951" t="str">
        <f t="shared" si="82"/>
        <v>No Prog ni Ejec</v>
      </c>
      <c r="BS25" s="951" t="str">
        <f t="shared" si="83"/>
        <v>No Prog ni Ejec</v>
      </c>
      <c r="BT25" s="951" t="str">
        <f t="shared" si="84"/>
        <v>No Prog ni Ejec</v>
      </c>
      <c r="BU25" s="951" t="str">
        <f t="shared" si="85"/>
        <v>No Prog ni Ejec</v>
      </c>
      <c r="BV25" s="951" t="str">
        <f t="shared" si="86"/>
        <v>No Prog ni Ejec</v>
      </c>
      <c r="BW25" s="951" t="str">
        <f t="shared" si="87"/>
        <v>No Prog ni Ejec</v>
      </c>
      <c r="BX25" s="951">
        <f t="shared" si="88"/>
        <v>0</v>
      </c>
      <c r="BY25" s="951" t="str">
        <f t="shared" si="89"/>
        <v>No Prog ni Ejec</v>
      </c>
    </row>
    <row r="26" spans="1:229" x14ac:dyDescent="0.2">
      <c r="A26" s="78"/>
      <c r="B26" s="78"/>
      <c r="C26" s="78"/>
      <c r="D26" s="78"/>
      <c r="E26" s="78"/>
      <c r="F26" s="78"/>
      <c r="G26" s="78"/>
      <c r="H26" s="78"/>
      <c r="I26" s="78"/>
      <c r="J26" s="78"/>
      <c r="K26" s="78"/>
      <c r="L26" s="143"/>
      <c r="M26" s="78"/>
      <c r="N26" s="78"/>
      <c r="O26" s="78"/>
      <c r="P26" s="144"/>
      <c r="Q26" s="78"/>
      <c r="R26" s="78"/>
      <c r="S26" s="78"/>
      <c r="T26" s="78"/>
      <c r="U26" s="78"/>
      <c r="V26" s="78"/>
      <c r="W26" s="78"/>
      <c r="X26" s="78"/>
      <c r="Y26" s="78"/>
      <c r="Z26" s="78"/>
      <c r="AA26" s="78"/>
      <c r="AB26" s="78"/>
      <c r="AC26" s="78"/>
      <c r="AO26" s="145"/>
    </row>
    <row r="27" spans="1:229" x14ac:dyDescent="0.2">
      <c r="A27" s="78"/>
      <c r="B27" s="78"/>
      <c r="C27" s="78"/>
      <c r="D27" s="78"/>
      <c r="E27" s="78"/>
      <c r="F27" s="78"/>
      <c r="G27" s="78"/>
      <c r="H27" s="78"/>
      <c r="I27" s="78"/>
      <c r="J27" s="78"/>
      <c r="K27" s="78"/>
      <c r="L27" s="143"/>
      <c r="M27" s="78"/>
      <c r="N27" s="78"/>
      <c r="O27" s="78">
        <v>14</v>
      </c>
      <c r="P27" s="144"/>
      <c r="Q27" s="78"/>
      <c r="R27" s="78"/>
      <c r="S27" s="78"/>
      <c r="T27" s="78"/>
      <c r="U27" s="78"/>
      <c r="V27" s="78"/>
      <c r="W27" s="78"/>
      <c r="X27" s="78"/>
      <c r="Y27" s="78"/>
      <c r="Z27" s="78"/>
      <c r="AA27" s="78"/>
      <c r="AB27" s="78"/>
      <c r="AC27" s="78"/>
      <c r="AO27" s="145"/>
    </row>
    <row r="28" spans="1:229" x14ac:dyDescent="0.2">
      <c r="A28" s="78"/>
      <c r="B28" s="78"/>
      <c r="C28" s="78"/>
      <c r="D28" s="78"/>
      <c r="E28" s="78"/>
      <c r="F28" s="78"/>
      <c r="G28" s="78"/>
      <c r="H28" s="78"/>
      <c r="I28" s="78"/>
      <c r="J28" s="78"/>
      <c r="K28" s="78"/>
      <c r="L28" s="143"/>
      <c r="M28" s="78"/>
      <c r="N28" s="78"/>
      <c r="O28" s="78"/>
      <c r="P28" s="144"/>
      <c r="Q28" s="78"/>
      <c r="R28" s="78"/>
      <c r="S28" s="78"/>
      <c r="T28" s="78"/>
      <c r="U28" s="78"/>
      <c r="V28" s="78"/>
      <c r="W28" s="78"/>
      <c r="X28" s="78"/>
      <c r="Y28" s="78"/>
      <c r="Z28" s="78"/>
      <c r="AA28" s="78"/>
      <c r="AB28" s="78"/>
      <c r="AC28" s="78"/>
      <c r="AO28" s="145"/>
    </row>
    <row r="29" spans="1:229" x14ac:dyDescent="0.2">
      <c r="A29" s="78"/>
      <c r="B29" s="78"/>
      <c r="C29" s="78"/>
      <c r="D29" s="78"/>
      <c r="E29" s="78"/>
      <c r="F29" s="78"/>
      <c r="G29" s="78"/>
      <c r="H29" s="78"/>
      <c r="I29" s="78"/>
      <c r="J29" s="78"/>
      <c r="K29" s="78"/>
      <c r="L29" s="143"/>
      <c r="M29" s="78"/>
      <c r="N29" s="78"/>
      <c r="O29" s="78"/>
      <c r="P29" s="144"/>
      <c r="Q29" s="78"/>
      <c r="R29" s="78"/>
      <c r="S29" s="78"/>
      <c r="T29" s="78"/>
      <c r="U29" s="78"/>
      <c r="V29" s="78"/>
      <c r="W29" s="78"/>
      <c r="X29" s="78"/>
      <c r="Y29" s="78"/>
      <c r="Z29" s="78"/>
      <c r="AA29" s="78"/>
      <c r="AB29" s="78"/>
      <c r="AC29" s="78"/>
      <c r="AO29" s="145"/>
    </row>
    <row r="30" spans="1:229" x14ac:dyDescent="0.2">
      <c r="A30" s="78"/>
      <c r="B30" s="78"/>
      <c r="C30" s="78"/>
      <c r="D30" s="78"/>
      <c r="E30" s="78"/>
      <c r="F30" s="78"/>
      <c r="G30" s="78"/>
      <c r="H30" s="78"/>
      <c r="I30" s="78"/>
      <c r="J30" s="78"/>
      <c r="K30" s="78"/>
      <c r="L30" s="143"/>
      <c r="M30" s="78"/>
      <c r="N30" s="78"/>
      <c r="O30" s="78"/>
      <c r="P30" s="144"/>
      <c r="Q30" s="78"/>
      <c r="R30" s="78"/>
      <c r="S30" s="78"/>
      <c r="T30" s="78"/>
      <c r="U30" s="78"/>
      <c r="V30" s="78"/>
      <c r="W30" s="78"/>
      <c r="X30" s="78"/>
      <c r="Y30" s="78"/>
      <c r="Z30" s="78"/>
      <c r="AA30" s="78"/>
      <c r="AB30" s="78"/>
      <c r="AC30" s="78"/>
      <c r="AO30" s="145"/>
    </row>
    <row r="31" spans="1:229" ht="33" customHeight="1" x14ac:dyDescent="0.2">
      <c r="A31" s="1153" t="s">
        <v>1593</v>
      </c>
      <c r="B31" s="1153"/>
      <c r="C31" s="1153"/>
      <c r="D31" s="1153"/>
      <c r="E31" s="1153"/>
      <c r="F31" s="1153"/>
      <c r="G31" s="1153"/>
      <c r="H31" s="1153"/>
      <c r="I31" s="1153"/>
      <c r="J31" s="1153"/>
      <c r="K31" s="1153"/>
      <c r="L31" s="1153"/>
      <c r="M31" s="1153"/>
      <c r="N31" s="146"/>
      <c r="P31" s="147"/>
      <c r="BR31" s="1158" t="s">
        <v>179</v>
      </c>
      <c r="BS31" s="1159"/>
      <c r="BT31" s="1159"/>
      <c r="BU31" s="1159"/>
      <c r="BV31" s="1159"/>
      <c r="BW31" s="1160"/>
    </row>
    <row r="32" spans="1:229" x14ac:dyDescent="0.2">
      <c r="A32" s="78"/>
      <c r="B32" s="78"/>
      <c r="C32" s="78"/>
      <c r="D32" s="78"/>
      <c r="E32" s="78"/>
      <c r="F32" s="78"/>
      <c r="G32" s="78"/>
      <c r="H32" s="78"/>
      <c r="I32" s="78"/>
      <c r="J32" s="78"/>
      <c r="K32" s="78"/>
      <c r="L32" s="143"/>
      <c r="P32" s="135"/>
      <c r="BR32" s="1171" t="s">
        <v>180</v>
      </c>
      <c r="BS32" s="1172"/>
      <c r="BT32" s="1164" t="s">
        <v>181</v>
      </c>
      <c r="BU32" s="1165"/>
      <c r="BV32" s="1165"/>
      <c r="BW32" s="1166"/>
    </row>
    <row r="33" spans="1:75" ht="15" x14ac:dyDescent="0.25">
      <c r="A33" s="582"/>
      <c r="B33" s="22" t="s">
        <v>1494</v>
      </c>
      <c r="C33" s="78"/>
      <c r="D33" s="78"/>
      <c r="E33" s="78"/>
      <c r="F33" s="78"/>
      <c r="G33" s="78"/>
      <c r="H33" s="78"/>
      <c r="I33" s="78"/>
      <c r="J33" s="78"/>
      <c r="K33" s="78"/>
      <c r="L33" s="143"/>
      <c r="P33" s="148"/>
      <c r="BR33" s="1173" t="s">
        <v>196</v>
      </c>
      <c r="BS33" s="1174"/>
      <c r="BT33" s="1164" t="s">
        <v>198</v>
      </c>
      <c r="BU33" s="1165"/>
      <c r="BV33" s="1165"/>
      <c r="BW33" s="1166"/>
    </row>
    <row r="34" spans="1:75" x14ac:dyDescent="0.2">
      <c r="A34" s="78"/>
      <c r="B34" s="78"/>
      <c r="C34" s="78"/>
      <c r="D34" s="78"/>
      <c r="E34" s="78"/>
      <c r="F34" s="78"/>
      <c r="G34" s="78"/>
      <c r="H34" s="78"/>
      <c r="I34" s="78"/>
      <c r="J34" s="78"/>
      <c r="K34" s="78"/>
      <c r="L34" s="143"/>
      <c r="BR34" s="1175" t="s">
        <v>197</v>
      </c>
      <c r="BS34" s="1176"/>
      <c r="BT34" s="1164" t="s">
        <v>182</v>
      </c>
      <c r="BU34" s="1165"/>
      <c r="BV34" s="1165"/>
      <c r="BW34" s="1166"/>
    </row>
    <row r="35" spans="1:75" x14ac:dyDescent="0.2">
      <c r="A35" s="78"/>
      <c r="B35" s="78"/>
      <c r="C35" s="78"/>
      <c r="D35" s="78"/>
      <c r="E35" s="78"/>
      <c r="F35" s="78"/>
      <c r="G35" s="78"/>
      <c r="H35" s="78"/>
      <c r="I35" s="78"/>
      <c r="J35" s="78"/>
      <c r="K35" s="78"/>
      <c r="L35" s="143"/>
      <c r="P35" s="135"/>
      <c r="BR35" s="1162" t="s">
        <v>194</v>
      </c>
      <c r="BS35" s="1163"/>
      <c r="BT35" s="1164" t="s">
        <v>183</v>
      </c>
      <c r="BU35" s="1165"/>
      <c r="BV35" s="1165"/>
      <c r="BW35" s="1166"/>
    </row>
    <row r="36" spans="1:75" x14ac:dyDescent="0.2">
      <c r="A36" s="78"/>
      <c r="B36" s="78"/>
      <c r="C36" s="78"/>
      <c r="D36" s="78"/>
      <c r="E36" s="78"/>
      <c r="F36" s="78"/>
      <c r="G36" s="78"/>
      <c r="H36" s="78"/>
      <c r="I36" s="78"/>
      <c r="J36" s="78"/>
      <c r="K36" s="78"/>
      <c r="L36" s="143"/>
      <c r="BR36" s="1167" t="s">
        <v>241</v>
      </c>
      <c r="BS36" s="1168"/>
      <c r="BT36" s="1164" t="s">
        <v>184</v>
      </c>
      <c r="BU36" s="1165"/>
      <c r="BV36" s="1165"/>
      <c r="BW36" s="1166"/>
    </row>
    <row r="37" spans="1:75" x14ac:dyDescent="0.2">
      <c r="A37" s="78"/>
      <c r="B37" s="78"/>
      <c r="C37" s="78"/>
      <c r="D37" s="78"/>
      <c r="E37" s="78"/>
      <c r="F37" s="78"/>
      <c r="G37" s="78"/>
      <c r="H37" s="78"/>
      <c r="I37" s="78"/>
      <c r="J37" s="78"/>
      <c r="K37" s="78"/>
      <c r="L37" s="143"/>
      <c r="BR37" s="1169" t="s">
        <v>185</v>
      </c>
      <c r="BS37" s="1169"/>
      <c r="BT37" s="1170" t="s">
        <v>186</v>
      </c>
      <c r="BU37" s="1170"/>
      <c r="BV37" s="1170"/>
      <c r="BW37" s="1170"/>
    </row>
    <row r="38" spans="1:75" x14ac:dyDescent="0.2">
      <c r="A38" s="78"/>
      <c r="B38" s="78"/>
      <c r="C38" s="78"/>
      <c r="D38" s="78"/>
      <c r="E38" s="78"/>
      <c r="F38" s="78"/>
      <c r="G38" s="78"/>
      <c r="H38" s="78"/>
      <c r="I38" s="78"/>
      <c r="J38" s="78"/>
      <c r="K38" s="78"/>
      <c r="L38" s="143"/>
    </row>
    <row r="39" spans="1:75" x14ac:dyDescent="0.2">
      <c r="A39" s="78"/>
      <c r="B39" s="78"/>
      <c r="C39" s="78"/>
      <c r="D39" s="78"/>
      <c r="E39" s="78"/>
      <c r="F39" s="78"/>
      <c r="G39" s="78"/>
      <c r="H39" s="78"/>
      <c r="I39" s="78"/>
      <c r="J39" s="78"/>
      <c r="K39" s="78"/>
      <c r="L39" s="143"/>
    </row>
    <row r="40" spans="1:75" x14ac:dyDescent="0.2">
      <c r="A40" s="78"/>
      <c r="B40" s="78"/>
      <c r="C40" s="78"/>
      <c r="D40" s="78"/>
      <c r="E40" s="78"/>
      <c r="F40" s="78"/>
      <c r="G40" s="78"/>
      <c r="H40" s="78"/>
      <c r="I40" s="78"/>
      <c r="J40" s="78"/>
      <c r="K40" s="78"/>
      <c r="L40" s="143"/>
    </row>
    <row r="41" spans="1:75" x14ac:dyDescent="0.2">
      <c r="A41" s="78"/>
      <c r="B41" s="78"/>
      <c r="C41" s="78"/>
      <c r="D41" s="78"/>
      <c r="E41" s="78"/>
      <c r="F41" s="78"/>
      <c r="G41" s="78"/>
      <c r="H41" s="78"/>
      <c r="I41" s="78"/>
      <c r="J41" s="78"/>
      <c r="K41" s="78"/>
      <c r="L41" s="143"/>
    </row>
    <row r="42" spans="1:75" x14ac:dyDescent="0.2">
      <c r="A42" s="78"/>
      <c r="B42" s="78"/>
      <c r="C42" s="78"/>
      <c r="D42" s="78"/>
      <c r="E42" s="78"/>
      <c r="F42" s="78"/>
      <c r="G42" s="78"/>
      <c r="H42" s="78"/>
      <c r="I42" s="78"/>
      <c r="J42" s="78"/>
      <c r="K42" s="78"/>
      <c r="L42" s="143"/>
    </row>
    <row r="43" spans="1:75" x14ac:dyDescent="0.2">
      <c r="A43" s="78"/>
      <c r="B43" s="78"/>
      <c r="C43" s="78"/>
      <c r="D43" s="78"/>
      <c r="E43" s="78"/>
      <c r="F43" s="78"/>
      <c r="G43" s="78"/>
      <c r="H43" s="78"/>
      <c r="I43" s="78"/>
      <c r="J43" s="78"/>
      <c r="K43" s="78"/>
      <c r="L43" s="143"/>
    </row>
    <row r="44" spans="1:75" x14ac:dyDescent="0.2">
      <c r="A44" s="78"/>
      <c r="B44" s="78"/>
      <c r="C44" s="78"/>
      <c r="D44" s="78"/>
      <c r="E44" s="78"/>
      <c r="F44" s="78"/>
      <c r="G44" s="78"/>
      <c r="H44" s="78"/>
      <c r="I44" s="78"/>
      <c r="J44" s="78"/>
      <c r="K44" s="78"/>
      <c r="L44" s="143"/>
    </row>
    <row r="45" spans="1:75" x14ac:dyDescent="0.2">
      <c r="A45" s="78"/>
      <c r="B45" s="78"/>
      <c r="C45" s="78"/>
      <c r="D45" s="78"/>
      <c r="E45" s="78"/>
      <c r="F45" s="78"/>
      <c r="G45" s="78"/>
      <c r="H45" s="78"/>
      <c r="I45" s="78"/>
      <c r="J45" s="78"/>
      <c r="K45" s="78"/>
      <c r="L45" s="143"/>
    </row>
  </sheetData>
  <sheetProtection algorithmName="SHA-512" hashValue="wJgkKkxjNJezYzEtdBu3bvaszDg9t6NmERAukq4VZb/PUruIUnix2z2WgrNI8/wrMTLcEtnOvoQw9CGImo4uVA==" saltValue="vATMUT8rmkzzrf+dsfmC/A==" spinCount="100000" sheet="1" objects="1" scenarios="1"/>
  <autoFilter ref="A8:HU25" xr:uid="{951C54C2-BCAE-4986-9B9E-0A53A8A66372}"/>
  <mergeCells count="193">
    <mergeCell ref="BI24:BI25"/>
    <mergeCell ref="BJ24:BJ25"/>
    <mergeCell ref="BL24:BL25"/>
    <mergeCell ref="BM24:BM25"/>
    <mergeCell ref="BN24:BN25"/>
    <mergeCell ref="BO24:BO25"/>
    <mergeCell ref="BP24:BP25"/>
    <mergeCell ref="BQ24:BQ25"/>
    <mergeCell ref="BI22:BI23"/>
    <mergeCell ref="BJ22:BJ23"/>
    <mergeCell ref="BL22:BL23"/>
    <mergeCell ref="BM22:BM23"/>
    <mergeCell ref="BN22:BN23"/>
    <mergeCell ref="BO22:BO23"/>
    <mergeCell ref="BP22:BP23"/>
    <mergeCell ref="BQ22:BQ23"/>
    <mergeCell ref="BG22:BG23"/>
    <mergeCell ref="AY24:AY25"/>
    <mergeCell ref="AZ24:AZ25"/>
    <mergeCell ref="BB24:BB25"/>
    <mergeCell ref="BC24:BC25"/>
    <mergeCell ref="BD24:BD25"/>
    <mergeCell ref="BE24:BE25"/>
    <mergeCell ref="BF24:BF25"/>
    <mergeCell ref="BG24:BG25"/>
    <mergeCell ref="AY22:AY23"/>
    <mergeCell ref="AZ22:AZ23"/>
    <mergeCell ref="BB22:BB23"/>
    <mergeCell ref="BC22:BC23"/>
    <mergeCell ref="BD22:BD23"/>
    <mergeCell ref="BE22:BE23"/>
    <mergeCell ref="BF22:BF23"/>
    <mergeCell ref="AO24:AO25"/>
    <mergeCell ref="AP24:AP25"/>
    <mergeCell ref="AR24:AR25"/>
    <mergeCell ref="AS24:AS25"/>
    <mergeCell ref="AT24:AT25"/>
    <mergeCell ref="AU24:AU25"/>
    <mergeCell ref="AV24:AV25"/>
    <mergeCell ref="AW24:AW25"/>
    <mergeCell ref="AO22:AO23"/>
    <mergeCell ref="AP22:AP23"/>
    <mergeCell ref="AR22:AR23"/>
    <mergeCell ref="AS22:AS23"/>
    <mergeCell ref="AT22:AT23"/>
    <mergeCell ref="AU22:AU23"/>
    <mergeCell ref="AV22:AV23"/>
    <mergeCell ref="AW22:AW23"/>
    <mergeCell ref="AJ22:AJ23"/>
    <mergeCell ref="AK22:AK23"/>
    <mergeCell ref="AL22:AL23"/>
    <mergeCell ref="AI24:AI25"/>
    <mergeCell ref="AJ24:AJ25"/>
    <mergeCell ref="AK24:AK25"/>
    <mergeCell ref="AL24:AL25"/>
    <mergeCell ref="AM22:AM23"/>
    <mergeCell ref="AM24:AM25"/>
    <mergeCell ref="AE22:AE23"/>
    <mergeCell ref="AE24:AE25"/>
    <mergeCell ref="AF22:AF23"/>
    <mergeCell ref="AF24:AF25"/>
    <mergeCell ref="AH22:AH23"/>
    <mergeCell ref="AH24:AH25"/>
    <mergeCell ref="AI22:AI23"/>
    <mergeCell ref="W22:W23"/>
    <mergeCell ref="W24:W25"/>
    <mergeCell ref="AA22:AA23"/>
    <mergeCell ref="AA24:AA25"/>
    <mergeCell ref="AB22:AB23"/>
    <mergeCell ref="AB24:AB25"/>
    <mergeCell ref="AC22:AC23"/>
    <mergeCell ref="AC24:AC25"/>
    <mergeCell ref="O22:O23"/>
    <mergeCell ref="N22:N23"/>
    <mergeCell ref="O24:O25"/>
    <mergeCell ref="N24:N25"/>
    <mergeCell ref="V22:V23"/>
    <mergeCell ref="V24:V25"/>
    <mergeCell ref="P22:P23"/>
    <mergeCell ref="P24:P25"/>
    <mergeCell ref="Q22:Q23"/>
    <mergeCell ref="Q24:Q25"/>
    <mergeCell ref="X7:X8"/>
    <mergeCell ref="Y7:Y8"/>
    <mergeCell ref="Z7:Z8"/>
    <mergeCell ref="AA7:AA8"/>
    <mergeCell ref="W7:W8"/>
    <mergeCell ref="U10:U12"/>
    <mergeCell ref="D7:E7"/>
    <mergeCell ref="A7:A8"/>
    <mergeCell ref="B7:B8"/>
    <mergeCell ref="C7:C8"/>
    <mergeCell ref="F7:F8"/>
    <mergeCell ref="G7:G8"/>
    <mergeCell ref="H7:H8"/>
    <mergeCell ref="I7:I8"/>
    <mergeCell ref="J7:J8"/>
    <mergeCell ref="U7:U8"/>
    <mergeCell ref="S7:S8"/>
    <mergeCell ref="AX7:BG7"/>
    <mergeCell ref="BH7:BQ7"/>
    <mergeCell ref="BR7:BY7"/>
    <mergeCell ref="AZ10:AZ12"/>
    <mergeCell ref="BJ10:BJ12"/>
    <mergeCell ref="O14:O15"/>
    <mergeCell ref="Q10:Q12"/>
    <mergeCell ref="Q14:Q15"/>
    <mergeCell ref="R10:R12"/>
    <mergeCell ref="S10:S12"/>
    <mergeCell ref="T10:T12"/>
    <mergeCell ref="Y10:Y12"/>
    <mergeCell ref="Y14:Y15"/>
    <mergeCell ref="BI14:BI15"/>
    <mergeCell ref="BJ14:BJ15"/>
    <mergeCell ref="AF14:AF15"/>
    <mergeCell ref="AO14:AO15"/>
    <mergeCell ref="AP14:AP15"/>
    <mergeCell ref="AY14:AY15"/>
    <mergeCell ref="AZ14:AZ15"/>
    <mergeCell ref="P14:P15"/>
    <mergeCell ref="AB7:AB8"/>
    <mergeCell ref="AC7:AC8"/>
    <mergeCell ref="V7:V8"/>
    <mergeCell ref="A1:B3"/>
    <mergeCell ref="C1:J1"/>
    <mergeCell ref="K1:BU1"/>
    <mergeCell ref="BV1:BY3"/>
    <mergeCell ref="C2:J2"/>
    <mergeCell ref="K2:K3"/>
    <mergeCell ref="L2:BS3"/>
    <mergeCell ref="BT2:BT3"/>
    <mergeCell ref="BU2:BU3"/>
    <mergeCell ref="C3:J3"/>
    <mergeCell ref="G5:R5"/>
    <mergeCell ref="AD7:AM7"/>
    <mergeCell ref="AN7:AW7"/>
    <mergeCell ref="P10:P12"/>
    <mergeCell ref="AB10:AB12"/>
    <mergeCell ref="AF10:AF12"/>
    <mergeCell ref="AP10:AP12"/>
    <mergeCell ref="N10:N12"/>
    <mergeCell ref="N14:N15"/>
    <mergeCell ref="V10:V12"/>
    <mergeCell ref="R14:R15"/>
    <mergeCell ref="S14:S15"/>
    <mergeCell ref="T14:T15"/>
    <mergeCell ref="U14:U15"/>
    <mergeCell ref="V14:V15"/>
    <mergeCell ref="K7:K8"/>
    <mergeCell ref="L7:L8"/>
    <mergeCell ref="M7:M8"/>
    <mergeCell ref="N7:N8"/>
    <mergeCell ref="O7:O8"/>
    <mergeCell ref="P7:P8"/>
    <mergeCell ref="Q7:Q8"/>
    <mergeCell ref="R7:R8"/>
    <mergeCell ref="T7:T8"/>
    <mergeCell ref="BR35:BS35"/>
    <mergeCell ref="BT35:BW35"/>
    <mergeCell ref="BR36:BS36"/>
    <mergeCell ref="BT36:BW36"/>
    <mergeCell ref="BR37:BS37"/>
    <mergeCell ref="BT37:BW37"/>
    <mergeCell ref="BR32:BS32"/>
    <mergeCell ref="BT32:BW32"/>
    <mergeCell ref="BR33:BS33"/>
    <mergeCell ref="BT33:BW33"/>
    <mergeCell ref="BR34:BS34"/>
    <mergeCell ref="BT34:BW34"/>
    <mergeCell ref="A31:M31"/>
    <mergeCell ref="W14:W15"/>
    <mergeCell ref="K14:K15"/>
    <mergeCell ref="AA14:AA15"/>
    <mergeCell ref="AB14:AB15"/>
    <mergeCell ref="AE14:AE15"/>
    <mergeCell ref="W10:W12"/>
    <mergeCell ref="BY10:BY12"/>
    <mergeCell ref="BN10:BN12"/>
    <mergeCell ref="BP10:BP12"/>
    <mergeCell ref="BS10:BS12"/>
    <mergeCell ref="BU10:BU12"/>
    <mergeCell ref="BW10:BW12"/>
    <mergeCell ref="AV10:AV12"/>
    <mergeCell ref="BB10:BB12"/>
    <mergeCell ref="BD10:BD12"/>
    <mergeCell ref="BF10:BF12"/>
    <mergeCell ref="BL10:BL12"/>
    <mergeCell ref="AJ10:AJ12"/>
    <mergeCell ref="AL10:AL12"/>
    <mergeCell ref="AH10:AH12"/>
    <mergeCell ref="AT10:AT12"/>
    <mergeCell ref="BR31:BW31"/>
    <mergeCell ref="AR10:AR12"/>
  </mergeCells>
  <conditionalFormatting sqref="BR9:BY10 BR13:BY20 BR11:BR12 BT11:BT12 BV11:BV12 BX11:BX12">
    <cfRule type="cellIs" dxfId="13247" priority="55" operator="equal">
      <formula>#REF!</formula>
    </cfRule>
    <cfRule type="cellIs" dxfId="13246" priority="56" operator="greaterThan">
      <formula>1</formula>
    </cfRule>
    <cfRule type="cellIs" dxfId="13245" priority="57" operator="equal">
      <formula>100%</formula>
    </cfRule>
    <cfRule type="cellIs" dxfId="13244" priority="58" operator="between">
      <formula>80%</formula>
      <formula>99%</formula>
    </cfRule>
    <cfRule type="cellIs" dxfId="13243" priority="59" operator="between">
      <formula>0%</formula>
      <formula>79%</formula>
    </cfRule>
  </conditionalFormatting>
  <conditionalFormatting sqref="BR21:BY21">
    <cfRule type="cellIs" dxfId="13242" priority="7" operator="equal">
      <formula>#REF!</formula>
    </cfRule>
    <cfRule type="cellIs" dxfId="13241" priority="8" operator="greaterThan">
      <formula>1</formula>
    </cfRule>
    <cfRule type="cellIs" dxfId="13240" priority="9" operator="equal">
      <formula>100%</formula>
    </cfRule>
    <cfRule type="cellIs" dxfId="13239" priority="10" operator="between">
      <formula>80%</formula>
      <formula>99%</formula>
    </cfRule>
    <cfRule type="cellIs" dxfId="13238" priority="11" operator="between">
      <formula>0%</formula>
      <formula>79%</formula>
    </cfRule>
  </conditionalFormatting>
  <conditionalFormatting sqref="BR22:BY25">
    <cfRule type="cellIs" dxfId="13237" priority="1" operator="equal">
      <formula>#REF!</formula>
    </cfRule>
    <cfRule type="cellIs" dxfId="13236" priority="2" operator="greaterThan">
      <formula>1</formula>
    </cfRule>
    <cfRule type="cellIs" dxfId="13235" priority="3" operator="equal">
      <formula>100%</formula>
    </cfRule>
    <cfRule type="cellIs" dxfId="13234" priority="4" operator="between">
      <formula>80%</formula>
      <formula>99%</formula>
    </cfRule>
    <cfRule type="cellIs" dxfId="13233" priority="5" operator="between">
      <formula>0%</formula>
      <formula>79%</formula>
    </cfRule>
  </conditionalFormatting>
  <pageMargins left="0.23622047244094491" right="0.23622047244094491" top="0.74803149606299213" bottom="0.74803149606299213" header="0.31496062992125984" footer="0.31496062992125984"/>
  <pageSetup scale="40" fitToHeight="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0" operator="containsText" id="{2D6CADB3-2232-44C5-898E-B7816289378D}">
            <xm:f>NOT(ISERROR(SEARCH(#REF!,BR9)))</xm:f>
            <xm:f>#REF!</xm:f>
            <x14:dxf>
              <font>
                <color theme="4"/>
              </font>
              <fill>
                <patternFill>
                  <bgColor theme="5" tint="0.59996337778862885"/>
                </patternFill>
              </fill>
            </x14:dxf>
          </x14:cfRule>
          <xm:sqref>BR9:BY10 BR13:BY20 BR11:BR12 BT11:BT12 BV11:BV12 BX11:BX12</xm:sqref>
        </x14:conditionalFormatting>
        <x14:conditionalFormatting xmlns:xm="http://schemas.microsoft.com/office/excel/2006/main">
          <x14:cfRule type="containsText" priority="12" operator="containsText" id="{9FE7BD00-A49A-42DF-AA64-BDD2B7210D34}">
            <xm:f>NOT(ISERROR(SEARCH(#REF!,BR21)))</xm:f>
            <xm:f>#REF!</xm:f>
            <x14:dxf>
              <font>
                <color theme="4"/>
              </font>
              <fill>
                <patternFill>
                  <bgColor theme="5" tint="0.59996337778862885"/>
                </patternFill>
              </fill>
            </x14:dxf>
          </x14:cfRule>
          <xm:sqref>BR21:BY21</xm:sqref>
        </x14:conditionalFormatting>
        <x14:conditionalFormatting xmlns:xm="http://schemas.microsoft.com/office/excel/2006/main">
          <x14:cfRule type="containsText" priority="6" operator="containsText" id="{3E416D28-D9FC-4B90-80C5-0435128A10E7}">
            <xm:f>NOT(ISERROR(SEARCH(#REF!,BR22)))</xm:f>
            <xm:f>#REF!</xm:f>
            <x14:dxf>
              <font>
                <color theme="4"/>
              </font>
              <fill>
                <patternFill>
                  <bgColor theme="5" tint="0.59996337778862885"/>
                </patternFill>
              </fill>
            </x14:dxf>
          </x14:cfRule>
          <xm:sqref>BR22:BY25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300-000000000000}">
          <x14:formula1>
            <xm:f>'TAB. REF. PA'!$X$4:$X$9</xm:f>
          </x14:formula1>
          <xm:sqref>H17:H19 H12:H13 I9:I25</xm:sqref>
        </x14:dataValidation>
        <x14:dataValidation type="list" allowBlank="1" showInputMessage="1" showErrorMessage="1" xr:uid="{00000000-0002-0000-0300-000004000000}">
          <x14:formula1>
            <xm:f>'TAB. REF. PA'!$J$4:$J$6</xm:f>
          </x14:formula1>
          <xm:sqref>T9:T10 T13:T14 T16:T21</xm:sqref>
        </x14:dataValidation>
        <x14:dataValidation type="list" allowBlank="1" showInputMessage="1" showErrorMessage="1" xr:uid="{00000000-0002-0000-0300-000005000000}">
          <x14:formula1>
            <xm:f>'TAB. REF. PA'!$H$4:$H$21</xm:f>
          </x14:formula1>
          <xm:sqref>S9:S10 S13:S14 S16:S21</xm:sqref>
        </x14:dataValidation>
        <x14:dataValidation type="list" allowBlank="1" showInputMessage="1" showErrorMessage="1" xr:uid="{00000000-0002-0000-0300-000006000000}">
          <x14:formula1>
            <xm:f>'TAB. REF. PA'!$F$4:$F$10</xm:f>
          </x14:formula1>
          <xm:sqref>R9:R10 R13:R14 R16:R21</xm:sqref>
        </x14:dataValidation>
        <x14:dataValidation type="list" allowBlank="1" showInputMessage="1" showErrorMessage="1" xr:uid="{00000000-0002-0000-0300-000007000000}">
          <x14:formula1>
            <xm:f>'TAB. REF. PA'!$D$4:$D$9</xm:f>
          </x14:formula1>
          <xm:sqref>G9:G25</xm:sqref>
        </x14:dataValidation>
        <x14:dataValidation type="list" allowBlank="1" showInputMessage="1" showErrorMessage="1" xr:uid="{00000000-0002-0000-0300-000008000000}">
          <x14:formula1>
            <xm:f>'TAB. REF. PA'!$W$3:$W$7</xm:f>
          </x14:formula1>
          <xm:sqref>AC9:AC22 AC24</xm:sqref>
        </x14:dataValidation>
        <x14:dataValidation type="list" allowBlank="1" showInputMessage="1" showErrorMessage="1" xr:uid="{00000000-0002-0000-0300-000009000000}">
          <x14:formula1>
            <xm:f>'TAB. REF. PA'!$Y$4:$Y$14</xm:f>
          </x14:formula1>
          <xm:sqref>A9:A25</xm:sqref>
        </x14:dataValidation>
        <x14:dataValidation type="list" allowBlank="1" showInputMessage="1" showErrorMessage="1" xr:uid="{00000000-0002-0000-0300-00000A000000}">
          <x14:formula1>
            <xm:f>'TAB. REF. PA'!$R$4:$R$12</xm:f>
          </x14:formula1>
          <xm:sqref>C9:C25</xm:sqref>
        </x14:dataValidation>
        <x14:dataValidation type="list" allowBlank="1" showInputMessage="1" showErrorMessage="1" xr:uid="{00000000-0002-0000-0300-00000B000000}">
          <x14:formula1>
            <xm:f>'TAB. REF. PA'!$B$4:$B$14</xm:f>
          </x14:formula1>
          <xm:sqref>B9:B25</xm:sqref>
        </x14:dataValidation>
        <x14:dataValidation type="list" allowBlank="1" showInputMessage="1" showErrorMessage="1" xr:uid="{00000000-0002-0000-0300-000003000000}">
          <x14:formula1>
            <xm:f>'TAB. REF. PA'!$L$4:$L$11</xm:f>
          </x14:formula1>
          <xm:sqref>U9:U10 U13:U14 U16:U21</xm:sqref>
        </x14:dataValidation>
        <x14:dataValidation type="list" allowBlank="1" showInputMessage="1" showErrorMessage="1" xr:uid="{00000000-0002-0000-0300-000002000000}">
          <x14:formula1>
            <xm:f>'TAB. REF. PA'!$N$4:$N$28</xm:f>
          </x14:formula1>
          <xm:sqref>V16:V20</xm:sqref>
        </x14:dataValidation>
        <x14:dataValidation type="list" allowBlank="1" showInputMessage="1" showErrorMessage="1" xr:uid="{9A0BEEC7-C688-48E2-B48B-849170C59FF2}">
          <x14:formula1>
            <xm:f>'TAB. REF. PA'!$N$4:$N$33</xm:f>
          </x14:formula1>
          <xm:sqref>V13:V14 V9:V10 V21</xm:sqref>
        </x14:dataValidation>
        <x14:dataValidation type="list" allowBlank="1" showInputMessage="1" showErrorMessage="1" xr:uid="{C28D3A0C-7956-4A84-943D-EEECF69FE110}">
          <x14:formula1>
            <xm:f>'TAB. REF. PA'!$U$4:$U$25</xm:f>
          </x14:formula1>
          <xm:sqref>Y9:Y10 Y13:Y14 Y16:Y21</xm:sqref>
        </x14:dataValidation>
        <x14:dataValidation type="list" allowBlank="1" showInputMessage="1" showErrorMessage="1" xr:uid="{3C2E2638-1334-4DC3-BFA0-03BC411C96A0}">
          <x14:formula1>
            <xm:f>'C:\Users\fernando.castro\Documents\Fcastro\Plan de acción 2019\[DIES-F07-08_Plan_Accion_2019_V01 aprobado publicación (2).xlsx]TAB. REF. PA'!#REF!</xm:f>
          </x14:formula1>
          <xm:sqref>R22:U25 V22 V24 Y22:Y25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filterMode="1"/>
  <dimension ref="A1:DC195"/>
  <sheetViews>
    <sheetView showGridLines="0" zoomScale="80" zoomScaleNormal="80" workbookViewId="0">
      <pane ySplit="8" topLeftCell="A9" activePane="bottomLeft" state="frozen"/>
      <selection activeCell="I2" sqref="A2:L4"/>
      <selection pane="bottomLeft" activeCell="C1" sqref="C1:W1"/>
    </sheetView>
  </sheetViews>
  <sheetFormatPr baseColWidth="10" defaultRowHeight="15" x14ac:dyDescent="0.25"/>
  <cols>
    <col min="1" max="1" width="17.85546875" bestFit="1" customWidth="1"/>
    <col min="2" max="2" width="18.28515625" customWidth="1"/>
    <col min="3" max="3" width="16.42578125" customWidth="1"/>
    <col min="4" max="4" width="4.85546875" customWidth="1"/>
    <col min="5" max="13" width="3.85546875" customWidth="1"/>
    <col min="14" max="14" width="4" customWidth="1"/>
    <col min="15" max="16" width="3.85546875" customWidth="1"/>
    <col min="17" max="17" width="17.85546875" customWidth="1"/>
    <col min="18" max="18" width="21.5703125" customWidth="1"/>
    <col min="19" max="19" width="19.140625" customWidth="1"/>
    <col min="20" max="20" width="37.5703125" customWidth="1"/>
    <col min="21" max="21" width="18.5703125" customWidth="1"/>
    <col min="22" max="22" width="40.5703125" customWidth="1"/>
    <col min="23" max="23" width="15.7109375" customWidth="1"/>
    <col min="24" max="24" width="33" customWidth="1"/>
    <col min="25" max="25" width="14.140625" style="4" hidden="1" customWidth="1"/>
    <col min="26" max="26" width="13.5703125" hidden="1" customWidth="1"/>
    <col min="27" max="27" width="14.5703125" hidden="1" customWidth="1"/>
    <col min="28" max="28" width="35.42578125" hidden="1" customWidth="1"/>
    <col min="29" max="29" width="26.7109375" hidden="1" customWidth="1"/>
    <col min="30" max="30" width="17.28515625" hidden="1" customWidth="1"/>
    <col min="31" max="31" width="21.42578125" hidden="1" customWidth="1"/>
    <col min="32" max="32" width="23.7109375" hidden="1" customWidth="1"/>
    <col min="33" max="33" width="25.7109375" hidden="1" customWidth="1"/>
    <col min="34" max="34" width="35" hidden="1" customWidth="1"/>
    <col min="35" max="35" width="19.140625" hidden="1" customWidth="1"/>
    <col min="36" max="36" width="33.7109375" hidden="1" customWidth="1"/>
    <col min="37" max="37" width="31" hidden="1" customWidth="1"/>
    <col min="38" max="38" width="28.28515625" hidden="1" customWidth="1"/>
    <col min="39" max="39" width="14.140625" hidden="1" customWidth="1"/>
    <col min="40" max="40" width="35.7109375" hidden="1" customWidth="1"/>
    <col min="41" max="41" width="27.7109375" hidden="1" customWidth="1"/>
    <col min="42" max="42" width="21.140625" hidden="1" customWidth="1"/>
    <col min="43" max="43" width="13.85546875" style="6" hidden="1" customWidth="1"/>
    <col min="44" max="44" width="35.7109375" style="6" hidden="1" customWidth="1"/>
    <col min="45" max="45" width="27.7109375" style="6" hidden="1" customWidth="1"/>
    <col min="46" max="46" width="13.5703125" style="6" hidden="1" customWidth="1"/>
    <col min="47" max="47" width="27.7109375" style="6" hidden="1" customWidth="1"/>
    <col min="48" max="48" width="11.42578125" style="6" hidden="1" customWidth="1"/>
    <col min="49" max="49" width="15.7109375" style="6" hidden="1" customWidth="1"/>
    <col min="50" max="50" width="11.42578125" style="6" hidden="1" customWidth="1"/>
    <col min="51" max="51" width="15.7109375" style="6" hidden="1" customWidth="1"/>
    <col min="52" max="52" width="50.7109375" style="6" hidden="1" customWidth="1"/>
    <col min="53" max="53" width="13.7109375" style="6" hidden="1" customWidth="1"/>
    <col min="54" max="54" width="35.7109375" style="6" hidden="1" customWidth="1"/>
    <col min="55" max="55" width="27.7109375" style="6" hidden="1" customWidth="1"/>
    <col min="56" max="56" width="17.140625" style="6" hidden="1" customWidth="1"/>
    <col min="57" max="57" width="27.7109375" style="6" hidden="1" customWidth="1"/>
    <col min="58" max="58" width="13.7109375" style="6" hidden="1" customWidth="1"/>
    <col min="59" max="59" width="15.7109375" style="6" hidden="1" customWidth="1"/>
    <col min="60" max="60" width="13.7109375" style="6" hidden="1" customWidth="1"/>
    <col min="61" max="61" width="15.7109375" style="6" hidden="1" customWidth="1"/>
    <col min="62" max="62" width="50.7109375" style="6" hidden="1" customWidth="1"/>
    <col min="63" max="63" width="13.7109375" style="6" customWidth="1"/>
    <col min="64" max="64" width="35.7109375" style="6" customWidth="1"/>
    <col min="65" max="65" width="27.7109375" style="6" customWidth="1"/>
    <col min="66" max="66" width="18" style="6" customWidth="1"/>
    <col min="67" max="67" width="27.7109375" style="6" customWidth="1"/>
    <col min="68" max="68" width="13.7109375" style="6" customWidth="1"/>
    <col min="69" max="69" width="15.7109375" style="6" customWidth="1"/>
    <col min="70" max="70" width="13.7109375" style="6" customWidth="1"/>
    <col min="71" max="71" width="15.7109375" style="6" customWidth="1"/>
    <col min="72" max="72" width="50.7109375" style="6" customWidth="1"/>
    <col min="73" max="73" width="13.7109375" style="6" customWidth="1"/>
    <col min="74" max="74" width="35.7109375" style="6" customWidth="1"/>
    <col min="75" max="75" width="27.7109375" style="6" customWidth="1"/>
    <col min="76" max="76" width="13.7109375" style="6" customWidth="1"/>
    <col min="77" max="77" width="27.7109375" style="6" customWidth="1"/>
    <col min="78" max="78" width="13.7109375" style="6" customWidth="1"/>
    <col min="79" max="79" width="15.7109375" style="6" customWidth="1"/>
    <col min="80" max="80" width="13.7109375" style="6" customWidth="1"/>
    <col min="81" max="81" width="15.7109375" style="6" customWidth="1"/>
    <col min="82" max="82" width="50.7109375" style="6" customWidth="1"/>
    <col min="83" max="83" width="13.7109375" style="6" customWidth="1"/>
    <col min="84" max="84" width="15.7109375" style="6" customWidth="1"/>
    <col min="85" max="85" width="15.42578125" style="6" customWidth="1"/>
    <col min="86" max="86" width="15.7109375" style="6" customWidth="1"/>
    <col min="87" max="87" width="13.7109375" style="6" customWidth="1"/>
    <col min="88" max="88" width="15.7109375" style="6" customWidth="1"/>
    <col min="89" max="89" width="13.7109375" style="6" customWidth="1"/>
    <col min="90" max="90" width="15.7109375" style="6" customWidth="1"/>
    <col min="91" max="91" width="22.5703125" style="6" customWidth="1"/>
    <col min="92" max="95" width="11.42578125" style="6" customWidth="1"/>
    <col min="96" max="96" width="43.85546875" style="6" hidden="1" customWidth="1"/>
    <col min="97" max="97" width="90.28515625" style="6" hidden="1" customWidth="1"/>
    <col min="98" max="98" width="113.85546875" style="6" hidden="1" customWidth="1"/>
    <col min="99" max="99" width="76.7109375" style="6" hidden="1" customWidth="1"/>
    <col min="100" max="100" width="21.85546875" style="6" hidden="1" customWidth="1"/>
    <col min="101" max="101" width="14.42578125" style="6" hidden="1" customWidth="1"/>
    <col min="102" max="102" width="41.85546875" style="6" hidden="1" customWidth="1"/>
    <col min="103" max="103" width="51.85546875" style="6" hidden="1" customWidth="1"/>
    <col min="104" max="104" width="69.85546875" style="6" hidden="1" customWidth="1"/>
    <col min="105" max="105" width="47" style="6" hidden="1" customWidth="1"/>
    <col min="106" max="106" width="33.28515625" style="6" hidden="1" customWidth="1"/>
    <col min="107" max="107" width="36.7109375" style="6" hidden="1" customWidth="1"/>
    <col min="108" max="16384" width="11.42578125" style="6"/>
  </cols>
  <sheetData>
    <row r="1" spans="1:107" ht="22.5" customHeight="1" x14ac:dyDescent="0.25">
      <c r="A1" s="1099">
        <v>0</v>
      </c>
      <c r="B1" s="1100"/>
      <c r="C1" s="1105" t="s">
        <v>246</v>
      </c>
      <c r="D1" s="1106"/>
      <c r="E1" s="1106"/>
      <c r="F1" s="1106"/>
      <c r="G1" s="1106"/>
      <c r="H1" s="1106"/>
      <c r="I1" s="1106"/>
      <c r="J1" s="1106"/>
      <c r="K1" s="1106"/>
      <c r="L1" s="1106"/>
      <c r="M1" s="1106"/>
      <c r="N1" s="1106"/>
      <c r="O1" s="1106"/>
      <c r="P1" s="1106"/>
      <c r="Q1" s="1106"/>
      <c r="R1" s="1106"/>
      <c r="S1" s="1106"/>
      <c r="T1" s="1106"/>
      <c r="U1" s="1106"/>
      <c r="V1" s="1106"/>
      <c r="W1" s="1107"/>
      <c r="X1" s="1108" t="s">
        <v>247</v>
      </c>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8"/>
      <c r="BT1" s="1108"/>
      <c r="BU1" s="1108"/>
      <c r="BV1" s="1108"/>
      <c r="BW1" s="1108"/>
      <c r="BX1" s="1108"/>
      <c r="BY1" s="1108"/>
      <c r="BZ1" s="1108"/>
      <c r="CA1" s="1108"/>
      <c r="CB1" s="1108"/>
      <c r="CC1" s="1108"/>
      <c r="CD1" s="1108"/>
      <c r="CE1" s="1108"/>
      <c r="CF1" s="1108"/>
      <c r="CG1" s="1108"/>
      <c r="CH1" s="1109"/>
      <c r="CI1" s="1227"/>
      <c r="CJ1" s="1228"/>
      <c r="CK1" s="1228"/>
      <c r="CL1" s="1228"/>
    </row>
    <row r="2" spans="1:107" ht="24" customHeight="1" x14ac:dyDescent="0.25">
      <c r="A2" s="1101"/>
      <c r="B2" s="1102"/>
      <c r="C2" s="1126" t="s">
        <v>248</v>
      </c>
      <c r="D2" s="1127"/>
      <c r="E2" s="1127"/>
      <c r="F2" s="1127"/>
      <c r="G2" s="1127"/>
      <c r="H2" s="1127"/>
      <c r="I2" s="1127"/>
      <c r="J2" s="1127"/>
      <c r="K2" s="1127"/>
      <c r="L2" s="1127"/>
      <c r="M2" s="1127"/>
      <c r="N2" s="1127"/>
      <c r="O2" s="1127"/>
      <c r="P2" s="1127"/>
      <c r="Q2" s="1127"/>
      <c r="R2" s="1127"/>
      <c r="S2" s="1127"/>
      <c r="T2" s="1127"/>
      <c r="U2" s="1127"/>
      <c r="V2" s="1127"/>
      <c r="W2" s="1128"/>
      <c r="X2" s="1129" t="s">
        <v>254</v>
      </c>
      <c r="Y2" s="1131" t="s">
        <v>250</v>
      </c>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W2" s="1131"/>
      <c r="BX2" s="1131"/>
      <c r="BY2" s="1131"/>
      <c r="BZ2" s="1131"/>
      <c r="CA2" s="1131"/>
      <c r="CB2" s="1131"/>
      <c r="CC2" s="1131"/>
      <c r="CD2" s="1131"/>
      <c r="CE2" s="1131"/>
      <c r="CF2" s="1131"/>
      <c r="CG2" s="1131" t="s">
        <v>249</v>
      </c>
      <c r="CH2" s="1133">
        <v>2</v>
      </c>
      <c r="CI2" s="1229"/>
      <c r="CJ2" s="1230"/>
      <c r="CK2" s="1230"/>
      <c r="CL2" s="1230"/>
    </row>
    <row r="3" spans="1:107" ht="25.5" customHeight="1" thickBot="1" x14ac:dyDescent="0.3">
      <c r="A3" s="1103"/>
      <c r="B3" s="1104"/>
      <c r="C3" s="1135" t="s">
        <v>242</v>
      </c>
      <c r="D3" s="1136"/>
      <c r="E3" s="1136"/>
      <c r="F3" s="1136"/>
      <c r="G3" s="1136"/>
      <c r="H3" s="1136"/>
      <c r="I3" s="1136"/>
      <c r="J3" s="1136"/>
      <c r="K3" s="1136"/>
      <c r="L3" s="1136"/>
      <c r="M3" s="1136"/>
      <c r="N3" s="1136"/>
      <c r="O3" s="1136"/>
      <c r="P3" s="1136"/>
      <c r="Q3" s="1136"/>
      <c r="R3" s="1136"/>
      <c r="S3" s="1136"/>
      <c r="T3" s="1136"/>
      <c r="U3" s="1136"/>
      <c r="V3" s="1136"/>
      <c r="W3" s="1137"/>
      <c r="X3" s="1130"/>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2"/>
      <c r="BT3" s="1132"/>
      <c r="BU3" s="1132"/>
      <c r="BV3" s="1132"/>
      <c r="BW3" s="1132"/>
      <c r="BX3" s="1132"/>
      <c r="BY3" s="1132"/>
      <c r="BZ3" s="1132"/>
      <c r="CA3" s="1132"/>
      <c r="CB3" s="1132"/>
      <c r="CC3" s="1132"/>
      <c r="CD3" s="1132"/>
      <c r="CE3" s="1132"/>
      <c r="CF3" s="1132"/>
      <c r="CG3" s="1132"/>
      <c r="CH3" s="1134"/>
      <c r="CI3" s="1231"/>
      <c r="CJ3" s="1232"/>
      <c r="CK3" s="1232"/>
      <c r="CL3" s="1232"/>
      <c r="CR3" s="123" t="s">
        <v>336</v>
      </c>
      <c r="CS3" s="123" t="s">
        <v>1017</v>
      </c>
      <c r="CT3" s="123" t="s">
        <v>1016</v>
      </c>
      <c r="CU3" s="123" t="s">
        <v>1018</v>
      </c>
      <c r="CV3" s="123" t="s">
        <v>845</v>
      </c>
      <c r="CW3" s="123" t="s">
        <v>999</v>
      </c>
      <c r="CX3" s="123" t="s">
        <v>1019</v>
      </c>
      <c r="CY3" s="123" t="s">
        <v>996</v>
      </c>
      <c r="CZ3" s="123" t="s">
        <v>331</v>
      </c>
      <c r="DA3" s="123" t="s">
        <v>991</v>
      </c>
      <c r="DB3" s="121" t="s">
        <v>994</v>
      </c>
      <c r="DC3" s="121" t="s">
        <v>993</v>
      </c>
    </row>
    <row r="4" spans="1:107" ht="15.75" x14ac:dyDescent="0.25">
      <c r="Q4" s="1238"/>
      <c r="R4" s="1238"/>
      <c r="T4" s="18"/>
      <c r="U4" s="27"/>
      <c r="V4" s="27"/>
      <c r="W4" s="18"/>
      <c r="X4" s="18"/>
      <c r="Y4" s="18"/>
      <c r="Z4" s="18"/>
      <c r="AA4" s="18"/>
      <c r="AB4" s="18"/>
      <c r="AC4" s="18"/>
      <c r="AD4" s="18"/>
      <c r="AE4" s="18"/>
    </row>
    <row r="5" spans="1:107" s="78" customFormat="1" ht="15.75" x14ac:dyDescent="0.25">
      <c r="A5" s="134" t="s">
        <v>346</v>
      </c>
      <c r="B5" s="22"/>
      <c r="C5" s="22"/>
      <c r="D5" s="22"/>
      <c r="E5" s="22"/>
      <c r="F5" s="22"/>
      <c r="G5" s="22"/>
      <c r="H5" s="22"/>
      <c r="I5" s="22"/>
      <c r="J5" s="22"/>
      <c r="K5" s="22"/>
      <c r="L5" s="22"/>
      <c r="M5" s="22"/>
      <c r="N5" s="22"/>
      <c r="O5" s="22"/>
      <c r="P5" s="22"/>
      <c r="Q5" s="1238"/>
      <c r="R5" s="1238"/>
      <c r="S5" s="22"/>
      <c r="T5" s="1238"/>
      <c r="U5" s="1238"/>
      <c r="V5" s="1238"/>
      <c r="W5" s="1238"/>
      <c r="X5" s="1238"/>
      <c r="Y5" s="1238"/>
      <c r="Z5" s="1238"/>
      <c r="AA5" s="1238"/>
      <c r="AB5" s="1238"/>
      <c r="AC5" s="1238"/>
      <c r="AD5" s="1238"/>
      <c r="AE5" s="1238"/>
      <c r="AF5" s="22">
        <f>114/305</f>
        <v>0.3737704918032787</v>
      </c>
      <c r="AG5" s="135"/>
      <c r="AH5" s="22"/>
      <c r="AI5" s="22"/>
      <c r="AJ5" s="22"/>
      <c r="AK5" s="22"/>
      <c r="AL5" s="22"/>
      <c r="AM5" s="460"/>
      <c r="AN5" s="22"/>
      <c r="AO5" s="22"/>
      <c r="AP5" s="22"/>
    </row>
    <row r="6" spans="1:107" s="78" customFormat="1" ht="16.5" thickBot="1" x14ac:dyDescent="0.3">
      <c r="A6" s="134"/>
      <c r="B6" s="22"/>
      <c r="C6" s="22"/>
      <c r="D6" s="22"/>
      <c r="E6" s="22"/>
      <c r="F6" s="22"/>
      <c r="G6" s="22"/>
      <c r="H6" s="22"/>
      <c r="I6" s="22"/>
      <c r="J6" s="22"/>
      <c r="K6" s="22"/>
      <c r="L6" s="22"/>
      <c r="M6" s="22"/>
      <c r="N6" s="22"/>
      <c r="O6" s="22"/>
      <c r="P6" s="22"/>
      <c r="Q6" s="22"/>
      <c r="R6" s="22"/>
      <c r="S6" s="22"/>
      <c r="T6" s="161"/>
      <c r="U6" s="161"/>
      <c r="V6" s="161"/>
      <c r="W6" s="161"/>
      <c r="X6" s="1238"/>
      <c r="Y6" s="1238"/>
      <c r="Z6" s="1238"/>
      <c r="AA6" s="1238"/>
      <c r="AB6" s="1238"/>
      <c r="AC6" s="1238"/>
      <c r="AD6" s="1238"/>
      <c r="AE6" s="1238"/>
      <c r="AF6" s="1238"/>
      <c r="AG6" s="1238"/>
      <c r="AH6" s="1238"/>
      <c r="AI6" s="1238"/>
      <c r="AJ6" s="458"/>
      <c r="AK6" s="22"/>
      <c r="AL6" s="22"/>
      <c r="AM6" s="22"/>
      <c r="AN6" s="22"/>
      <c r="AO6" s="22"/>
      <c r="AP6" s="22"/>
    </row>
    <row r="7" spans="1:107" s="78" customFormat="1" ht="24.75" customHeight="1" thickBot="1" x14ac:dyDescent="0.25">
      <c r="A7" s="1235" t="s">
        <v>30</v>
      </c>
      <c r="B7" s="1235" t="s">
        <v>31</v>
      </c>
      <c r="C7" s="1235" t="s">
        <v>255</v>
      </c>
      <c r="D7" s="1237" t="s">
        <v>255</v>
      </c>
      <c r="E7" s="1237"/>
      <c r="F7" s="1237"/>
      <c r="G7" s="1237"/>
      <c r="H7" s="1237"/>
      <c r="I7" s="1237"/>
      <c r="J7" s="1237"/>
      <c r="K7" s="1237"/>
      <c r="L7" s="1237"/>
      <c r="M7" s="1237"/>
      <c r="N7" s="1237"/>
      <c r="O7" s="1237"/>
      <c r="P7" s="1237"/>
      <c r="Q7" s="1235" t="s">
        <v>1124</v>
      </c>
      <c r="R7" s="1235" t="s">
        <v>1125</v>
      </c>
      <c r="S7" s="1235" t="s">
        <v>57</v>
      </c>
      <c r="T7" s="1235" t="s">
        <v>257</v>
      </c>
      <c r="U7" s="1235" t="s">
        <v>256</v>
      </c>
      <c r="V7" s="1235" t="s">
        <v>258</v>
      </c>
      <c r="W7" s="1235" t="s">
        <v>32</v>
      </c>
      <c r="X7" s="1235" t="s">
        <v>49</v>
      </c>
      <c r="Y7" s="1235" t="s">
        <v>35</v>
      </c>
      <c r="Z7" s="1235" t="s">
        <v>8</v>
      </c>
      <c r="AA7" s="1235" t="s">
        <v>33</v>
      </c>
      <c r="AB7" s="1235" t="s">
        <v>50</v>
      </c>
      <c r="AC7" s="1235" t="s">
        <v>151</v>
      </c>
      <c r="AD7" s="1235" t="s">
        <v>5</v>
      </c>
      <c r="AE7" s="1235" t="s">
        <v>37</v>
      </c>
      <c r="AF7" s="1235" t="s">
        <v>36</v>
      </c>
      <c r="AG7" s="1235" t="s">
        <v>38</v>
      </c>
      <c r="AH7" s="1235" t="s">
        <v>1061</v>
      </c>
      <c r="AI7" s="1235" t="s">
        <v>6</v>
      </c>
      <c r="AJ7" s="457" t="s">
        <v>1256</v>
      </c>
      <c r="AK7" s="1235" t="s">
        <v>0</v>
      </c>
      <c r="AL7" s="1235" t="s">
        <v>34</v>
      </c>
      <c r="AM7" s="1235" t="s">
        <v>8</v>
      </c>
      <c r="AN7" s="1235" t="s">
        <v>188</v>
      </c>
      <c r="AO7" s="1235" t="s">
        <v>151</v>
      </c>
      <c r="AP7" s="1235" t="s">
        <v>9</v>
      </c>
      <c r="AQ7" s="1110" t="s">
        <v>190</v>
      </c>
      <c r="AR7" s="1111"/>
      <c r="AS7" s="1111"/>
      <c r="AT7" s="1111"/>
      <c r="AU7" s="1111"/>
      <c r="AV7" s="1111"/>
      <c r="AW7" s="1111"/>
      <c r="AX7" s="1111"/>
      <c r="AY7" s="1111"/>
      <c r="AZ7" s="1112"/>
      <c r="BA7" s="1113" t="s">
        <v>192</v>
      </c>
      <c r="BB7" s="1114"/>
      <c r="BC7" s="1114"/>
      <c r="BD7" s="1114"/>
      <c r="BE7" s="1114"/>
      <c r="BF7" s="1114"/>
      <c r="BG7" s="1114"/>
      <c r="BH7" s="1114"/>
      <c r="BI7" s="1114"/>
      <c r="BJ7" s="1115"/>
      <c r="BK7" s="1110" t="s">
        <v>191</v>
      </c>
      <c r="BL7" s="1111"/>
      <c r="BM7" s="1111"/>
      <c r="BN7" s="1111"/>
      <c r="BO7" s="1111"/>
      <c r="BP7" s="1111"/>
      <c r="BQ7" s="1111"/>
      <c r="BR7" s="1111"/>
      <c r="BS7" s="1111"/>
      <c r="BT7" s="1112"/>
      <c r="BU7" s="1113" t="s">
        <v>193</v>
      </c>
      <c r="BV7" s="1114"/>
      <c r="BW7" s="1114"/>
      <c r="BX7" s="1114"/>
      <c r="BY7" s="1114"/>
      <c r="BZ7" s="1114"/>
      <c r="CA7" s="1114"/>
      <c r="CB7" s="1114"/>
      <c r="CC7" s="1114"/>
      <c r="CD7" s="1115"/>
      <c r="CE7" s="1117" t="s">
        <v>1150</v>
      </c>
      <c r="CF7" s="1118"/>
      <c r="CG7" s="1118"/>
      <c r="CH7" s="1118"/>
      <c r="CI7" s="1118"/>
      <c r="CJ7" s="1118"/>
      <c r="CK7" s="1118"/>
      <c r="CL7" s="1119"/>
    </row>
    <row r="8" spans="1:107" s="162" customFormat="1" ht="39.75" customHeight="1" thickBot="1" x14ac:dyDescent="0.25">
      <c r="A8" s="1236"/>
      <c r="B8" s="1236"/>
      <c r="C8" s="1236"/>
      <c r="D8" s="747">
        <v>1</v>
      </c>
      <c r="E8" s="748">
        <v>2</v>
      </c>
      <c r="F8" s="748">
        <v>3</v>
      </c>
      <c r="G8" s="748">
        <v>4</v>
      </c>
      <c r="H8" s="748">
        <v>5</v>
      </c>
      <c r="I8" s="748">
        <v>6</v>
      </c>
      <c r="J8" s="748">
        <v>7</v>
      </c>
      <c r="K8" s="748">
        <v>8</v>
      </c>
      <c r="L8" s="748">
        <v>9</v>
      </c>
      <c r="M8" s="748">
        <v>10</v>
      </c>
      <c r="N8" s="748">
        <v>11</v>
      </c>
      <c r="O8" s="748">
        <v>12</v>
      </c>
      <c r="P8" s="749">
        <v>13</v>
      </c>
      <c r="Q8" s="1236"/>
      <c r="R8" s="1236"/>
      <c r="S8" s="1236"/>
      <c r="T8" s="1236"/>
      <c r="U8" s="1236"/>
      <c r="V8" s="1236"/>
      <c r="W8" s="1236"/>
      <c r="X8" s="1236"/>
      <c r="Y8" s="1236"/>
      <c r="Z8" s="1236"/>
      <c r="AA8" s="1236"/>
      <c r="AB8" s="1236"/>
      <c r="AC8" s="1236"/>
      <c r="AD8" s="1236"/>
      <c r="AE8" s="1236"/>
      <c r="AF8" s="1236"/>
      <c r="AG8" s="1236"/>
      <c r="AH8" s="1236"/>
      <c r="AI8" s="1236"/>
      <c r="AJ8" s="750"/>
      <c r="AK8" s="1236"/>
      <c r="AL8" s="1236"/>
      <c r="AM8" s="1236"/>
      <c r="AN8" s="1236"/>
      <c r="AO8" s="1236"/>
      <c r="AP8" s="1236"/>
      <c r="AQ8" s="141" t="s">
        <v>8</v>
      </c>
      <c r="AR8" s="141" t="s">
        <v>50</v>
      </c>
      <c r="AS8" s="141" t="s">
        <v>151</v>
      </c>
      <c r="AT8" s="141" t="s">
        <v>8</v>
      </c>
      <c r="AU8" s="141" t="s">
        <v>151</v>
      </c>
      <c r="AV8" s="141" t="s">
        <v>7</v>
      </c>
      <c r="AW8" s="141" t="s">
        <v>10</v>
      </c>
      <c r="AX8" s="141" t="s">
        <v>7</v>
      </c>
      <c r="AY8" s="141" t="s">
        <v>10</v>
      </c>
      <c r="AZ8" s="141" t="s">
        <v>189</v>
      </c>
      <c r="BA8" s="138" t="s">
        <v>8</v>
      </c>
      <c r="BB8" s="138" t="s">
        <v>50</v>
      </c>
      <c r="BC8" s="138" t="s">
        <v>151</v>
      </c>
      <c r="BD8" s="138" t="s">
        <v>8</v>
      </c>
      <c r="BE8" s="138" t="s">
        <v>151</v>
      </c>
      <c r="BF8" s="138" t="s">
        <v>7</v>
      </c>
      <c r="BG8" s="138" t="s">
        <v>10</v>
      </c>
      <c r="BH8" s="138" t="s">
        <v>7</v>
      </c>
      <c r="BI8" s="138" t="s">
        <v>10</v>
      </c>
      <c r="BJ8" s="138" t="s">
        <v>189</v>
      </c>
      <c r="BK8" s="141" t="s">
        <v>8</v>
      </c>
      <c r="BL8" s="141" t="s">
        <v>50</v>
      </c>
      <c r="BM8" s="141" t="s">
        <v>151</v>
      </c>
      <c r="BN8" s="141" t="s">
        <v>8</v>
      </c>
      <c r="BO8" s="141" t="s">
        <v>151</v>
      </c>
      <c r="BP8" s="141" t="s">
        <v>7</v>
      </c>
      <c r="BQ8" s="141" t="s">
        <v>10</v>
      </c>
      <c r="BR8" s="141" t="s">
        <v>7</v>
      </c>
      <c r="BS8" s="141" t="s">
        <v>10</v>
      </c>
      <c r="BT8" s="141" t="s">
        <v>189</v>
      </c>
      <c r="BU8" s="138" t="s">
        <v>8</v>
      </c>
      <c r="BV8" s="138" t="s">
        <v>50</v>
      </c>
      <c r="BW8" s="138" t="s">
        <v>151</v>
      </c>
      <c r="BX8" s="138" t="s">
        <v>8</v>
      </c>
      <c r="BY8" s="138" t="s">
        <v>151</v>
      </c>
      <c r="BZ8" s="138" t="s">
        <v>7</v>
      </c>
      <c r="CA8" s="138" t="s">
        <v>10</v>
      </c>
      <c r="CB8" s="138" t="s">
        <v>7</v>
      </c>
      <c r="CC8" s="138" t="s">
        <v>10</v>
      </c>
      <c r="CD8" s="138" t="s">
        <v>189</v>
      </c>
      <c r="CE8" s="142" t="s">
        <v>7</v>
      </c>
      <c r="CF8" s="142" t="s">
        <v>10</v>
      </c>
      <c r="CG8" s="142" t="s">
        <v>7</v>
      </c>
      <c r="CH8" s="142" t="s">
        <v>10</v>
      </c>
      <c r="CI8" s="142" t="s">
        <v>7</v>
      </c>
      <c r="CJ8" s="142" t="s">
        <v>10</v>
      </c>
      <c r="CK8" s="142" t="s">
        <v>7</v>
      </c>
      <c r="CL8" s="142" t="s">
        <v>10</v>
      </c>
      <c r="CR8" s="153">
        <v>1</v>
      </c>
      <c r="CS8" s="153">
        <v>2</v>
      </c>
      <c r="CT8" s="153">
        <v>3</v>
      </c>
      <c r="CU8" s="153">
        <v>4</v>
      </c>
      <c r="CV8" s="153">
        <v>5</v>
      </c>
      <c r="CW8" s="153">
        <v>6</v>
      </c>
      <c r="CX8" s="153">
        <v>7</v>
      </c>
      <c r="CY8" s="153">
        <v>8</v>
      </c>
      <c r="CZ8" s="153">
        <v>9</v>
      </c>
      <c r="DA8" s="153">
        <v>10</v>
      </c>
      <c r="DB8" s="154">
        <v>11</v>
      </c>
      <c r="DC8" s="154">
        <v>12</v>
      </c>
    </row>
    <row r="9" spans="1:107" s="70" customFormat="1" ht="105.75" customHeight="1" x14ac:dyDescent="0.2">
      <c r="A9" s="692">
        <v>11200</v>
      </c>
      <c r="B9" s="843" t="s">
        <v>1</v>
      </c>
      <c r="C9" s="843" t="s">
        <v>336</v>
      </c>
      <c r="D9" s="843" t="s">
        <v>1020</v>
      </c>
      <c r="E9" s="843" t="s">
        <v>1020</v>
      </c>
      <c r="F9" s="843" t="s">
        <v>1020</v>
      </c>
      <c r="G9" s="843"/>
      <c r="H9" s="843"/>
      <c r="I9" s="843"/>
      <c r="J9" s="843"/>
      <c r="K9" s="843"/>
      <c r="L9" s="843"/>
      <c r="M9" s="843"/>
      <c r="N9" s="843"/>
      <c r="O9" s="843"/>
      <c r="P9" s="843"/>
      <c r="Q9" s="843" t="s">
        <v>1725</v>
      </c>
      <c r="R9" s="843" t="s">
        <v>1724</v>
      </c>
      <c r="S9" s="839" t="s">
        <v>111</v>
      </c>
      <c r="T9" s="843" t="s">
        <v>94</v>
      </c>
      <c r="U9" s="843" t="s">
        <v>204</v>
      </c>
      <c r="V9" s="843" t="s">
        <v>204</v>
      </c>
      <c r="W9" s="839" t="s">
        <v>112</v>
      </c>
      <c r="X9" s="843" t="s">
        <v>1423</v>
      </c>
      <c r="Y9" s="846" t="s">
        <v>436</v>
      </c>
      <c r="Z9" s="839">
        <v>1</v>
      </c>
      <c r="AA9" s="839" t="s">
        <v>220</v>
      </c>
      <c r="AB9" s="843" t="s">
        <v>1422</v>
      </c>
      <c r="AC9" s="754">
        <f>800000000</f>
        <v>800000000</v>
      </c>
      <c r="AD9" s="694">
        <v>1</v>
      </c>
      <c r="AE9" s="843" t="s">
        <v>18</v>
      </c>
      <c r="AF9" s="843" t="s">
        <v>24</v>
      </c>
      <c r="AG9" s="843" t="s">
        <v>204</v>
      </c>
      <c r="AH9" s="843" t="s">
        <v>204</v>
      </c>
      <c r="AI9" s="843" t="s">
        <v>81</v>
      </c>
      <c r="AJ9" s="843" t="s">
        <v>1281</v>
      </c>
      <c r="AK9" s="843" t="s">
        <v>1435</v>
      </c>
      <c r="AL9" s="843" t="s">
        <v>290</v>
      </c>
      <c r="AM9" s="839">
        <v>1</v>
      </c>
      <c r="AN9" s="843" t="str">
        <f>+AB9</f>
        <v xml:space="preserve">Estructurar los anexos técnicos y definir los requisitos para diseñar, desarrollar, implementar  y  dar soporte técnico al nuevo portal web e intranet de la ADRES </v>
      </c>
      <c r="AO9" s="755">
        <f>+AC9</f>
        <v>800000000</v>
      </c>
      <c r="AP9" s="693" t="s">
        <v>46</v>
      </c>
      <c r="AQ9" s="839">
        <v>0</v>
      </c>
      <c r="AR9" s="843" t="str">
        <f>+AN9</f>
        <v xml:space="preserve">Estructurar los anexos técnicos y definir los requisitos para diseñar, desarrollar, implementar  y  dar soporte técnico al nuevo portal web e intranet de la ADRES </v>
      </c>
      <c r="AS9" s="756">
        <v>0</v>
      </c>
      <c r="AT9" s="757">
        <v>0</v>
      </c>
      <c r="AU9" s="758">
        <v>0</v>
      </c>
      <c r="AV9" s="695" t="e">
        <f t="shared" ref="AV9:AV42" si="0">+(AT9/AQ9)</f>
        <v>#DIV/0!</v>
      </c>
      <c r="AW9" s="695" t="e">
        <f>+(AU9/AS9)</f>
        <v>#DIV/0!</v>
      </c>
      <c r="AX9" s="695">
        <f t="shared" ref="AX9:AX42" si="1">+(AT9/AM9)</f>
        <v>0</v>
      </c>
      <c r="AY9" s="695">
        <f>+(AU9/AO9)</f>
        <v>0</v>
      </c>
      <c r="AZ9" s="759" t="s">
        <v>1345</v>
      </c>
      <c r="BA9" s="839">
        <v>0</v>
      </c>
      <c r="BB9" s="843" t="str">
        <f>+AN9</f>
        <v xml:space="preserve">Estructurar los anexos técnicos y definir los requisitos para diseñar, desarrollar, implementar  y  dar soporte técnico al nuevo portal web e intranet de la ADRES </v>
      </c>
      <c r="BC9" s="756">
        <f>+AC9/3</f>
        <v>266666666.66666666</v>
      </c>
      <c r="BD9" s="846">
        <v>0</v>
      </c>
      <c r="BE9" s="756">
        <v>0</v>
      </c>
      <c r="BF9" s="695" t="e">
        <f>+(BD9/BA9)</f>
        <v>#DIV/0!</v>
      </c>
      <c r="BG9" s="695">
        <f>+(BE9/BC9)</f>
        <v>0</v>
      </c>
      <c r="BH9" s="695">
        <f>+(BD9+AT9)/AM9</f>
        <v>0</v>
      </c>
      <c r="BI9" s="695">
        <f>+(BE9+AU9)/AO9</f>
        <v>0</v>
      </c>
      <c r="BJ9" s="760"/>
      <c r="BK9" s="839">
        <v>0</v>
      </c>
      <c r="BL9" s="843" t="str">
        <f>+AN9</f>
        <v xml:space="preserve">Estructurar los anexos técnicos y definir los requisitos para diseñar, desarrollar, implementar  y  dar soporte técnico al nuevo portal web e intranet de la ADRES </v>
      </c>
      <c r="BM9" s="756">
        <f>+AO9/3</f>
        <v>266666666.66666666</v>
      </c>
      <c r="BN9" s="983">
        <v>0</v>
      </c>
      <c r="BO9" s="756">
        <v>0</v>
      </c>
      <c r="BP9" s="695" t="e">
        <f>+(BN9/BK9)</f>
        <v>#DIV/0!</v>
      </c>
      <c r="BQ9" s="695">
        <f>+(BO9/BM9)</f>
        <v>0</v>
      </c>
      <c r="BR9" s="695">
        <f>+(BD9+AT9+BN9)/AM9</f>
        <v>0</v>
      </c>
      <c r="BS9" s="695">
        <f>+(BE9+AU9+BO9)/AO9</f>
        <v>0</v>
      </c>
      <c r="BT9" s="992" t="s">
        <v>1861</v>
      </c>
      <c r="BU9" s="839">
        <v>1</v>
      </c>
      <c r="BV9" s="843" t="str">
        <f>+AN9</f>
        <v xml:space="preserve">Estructurar los anexos técnicos y definir los requisitos para diseñar, desarrollar, implementar  y  dar soporte técnico al nuevo portal web e intranet de la ADRES </v>
      </c>
      <c r="BW9" s="756">
        <f>+AO9/3</f>
        <v>266666666.66666666</v>
      </c>
      <c r="BX9" s="839"/>
      <c r="BY9" s="839"/>
      <c r="BZ9" s="695">
        <f>+(BX9/BU9)</f>
        <v>0</v>
      </c>
      <c r="CA9" s="695">
        <f>+(BY9/BW9)</f>
        <v>0</v>
      </c>
      <c r="CB9" s="695">
        <f>+(BD9+AT9+BN9+BX9)/AM9</f>
        <v>0</v>
      </c>
      <c r="CC9" s="695">
        <f>+(BE9+AU9+BO9+BY9)/AO9</f>
        <v>0</v>
      </c>
      <c r="CD9" s="695"/>
      <c r="CE9" s="696" t="str">
        <f t="shared" ref="CE9:CE42" si="2">IF(AND(AQ9=0,AT9=0),"No Prog ni Ejec",IF(AQ9=0,CONCATENATE("No Prog, Ejec=  ",AT9),AT9/AQ9))</f>
        <v>No Prog ni Ejec</v>
      </c>
      <c r="CF9" s="696" t="str">
        <f>IF(AND(AS9=0,AU9=0),"No Prog ni Ejec",IF(AS9=0,CONCATENATE("No Prog, Ejec=  ",AU9),AU9/AS9))</f>
        <v>No Prog ni Ejec</v>
      </c>
      <c r="CG9" s="696" t="str">
        <f t="shared" ref="CG9:CG42" si="3">IF(AND(BA9=0,BD9=0),"No Prog ni Ejec",IF(BA9=0,CONCATENATE("No Prog, Ejec=  ",BD9),BD9/BA9))</f>
        <v>No Prog ni Ejec</v>
      </c>
      <c r="CH9" s="696">
        <f>IF(AND(BC9=0,BE9=0),"No Prog ni Ejec",IF(BC9=0,CONCATENATE("No Prog, Ejec=  ",BE9),BE9/BC9))</f>
        <v>0</v>
      </c>
      <c r="CI9" s="696" t="str">
        <f t="shared" ref="CI9:CI42" si="4">IF(AND(BK9=0,BN9=0),"No Prog ni Ejec",IF(BK9=0,CONCATENATE("No Prog, Ejec=  ",BN9),BN9/BK9))</f>
        <v>No Prog ni Ejec</v>
      </c>
      <c r="CJ9" s="696">
        <f>IF(AND(BM9=0,BO9=0),"No Prog ni Ejec",IF(BM9=0,CONCATENATE("No Prog, Ejec=  ",BO9),BO9/BM9))</f>
        <v>0</v>
      </c>
      <c r="CK9" s="696">
        <f t="shared" ref="CK9:CK42" si="5">IF(AND(BU9=0,BX9=0),"No Prog ni Ejec",IF(BU9=0,CONCATENATE("No Prog, Ejec=  ",BX9),BX9/BU9))</f>
        <v>0</v>
      </c>
      <c r="CL9" s="761">
        <f>IF(AND(BW9=0,BY9=0),"No Prog ni Ejec",IF(BW9=0,CONCATENATE("No Prog, Ejec=  ",BY9),BY9/BW9))</f>
        <v>0</v>
      </c>
      <c r="CM9" s="128">
        <f>+AC9-AS9-BC9-BM9-BW9</f>
        <v>0</v>
      </c>
      <c r="CW9" s="122">
        <v>6</v>
      </c>
    </row>
    <row r="10" spans="1:107" s="70" customFormat="1" ht="103.5" customHeight="1" x14ac:dyDescent="0.2">
      <c r="A10" s="834">
        <v>11200</v>
      </c>
      <c r="B10" s="827" t="s">
        <v>1</v>
      </c>
      <c r="C10" s="827" t="s">
        <v>330</v>
      </c>
      <c r="D10" s="827"/>
      <c r="E10" s="827" t="s">
        <v>1020</v>
      </c>
      <c r="F10" s="827" t="s">
        <v>1020</v>
      </c>
      <c r="G10" s="827"/>
      <c r="H10" s="827"/>
      <c r="I10" s="827"/>
      <c r="J10" s="827"/>
      <c r="K10" s="827"/>
      <c r="L10" s="827"/>
      <c r="M10" s="827"/>
      <c r="N10" s="827"/>
      <c r="O10" s="827"/>
      <c r="P10" s="827"/>
      <c r="Q10" s="827" t="s">
        <v>204</v>
      </c>
      <c r="R10" s="827" t="s">
        <v>204</v>
      </c>
      <c r="S10" s="1139" t="s">
        <v>111</v>
      </c>
      <c r="T10" s="827" t="s">
        <v>94</v>
      </c>
      <c r="U10" s="827" t="s">
        <v>204</v>
      </c>
      <c r="V10" s="827" t="s">
        <v>204</v>
      </c>
      <c r="W10" s="835" t="s">
        <v>658</v>
      </c>
      <c r="X10" s="827" t="s">
        <v>1427</v>
      </c>
      <c r="Y10" s="838" t="s">
        <v>436</v>
      </c>
      <c r="Z10" s="835">
        <v>12</v>
      </c>
      <c r="AA10" s="1139" t="s">
        <v>656</v>
      </c>
      <c r="AB10" s="1072" t="s">
        <v>1426</v>
      </c>
      <c r="AC10" s="1156">
        <v>53164884</v>
      </c>
      <c r="AD10" s="1147">
        <v>1</v>
      </c>
      <c r="AE10" s="1072" t="s">
        <v>18</v>
      </c>
      <c r="AF10" s="1072" t="s">
        <v>24</v>
      </c>
      <c r="AG10" s="1072" t="s">
        <v>204</v>
      </c>
      <c r="AH10" s="1072" t="s">
        <v>204</v>
      </c>
      <c r="AI10" s="1072" t="s">
        <v>1052</v>
      </c>
      <c r="AJ10" s="1154" t="s">
        <v>1269</v>
      </c>
      <c r="AK10" s="827" t="s">
        <v>1428</v>
      </c>
      <c r="AL10" s="1072" t="s">
        <v>204</v>
      </c>
      <c r="AM10" s="67">
        <v>12</v>
      </c>
      <c r="AN10" s="1072" t="str">
        <f>+AB10</f>
        <v>Realizar el seguimiento de las publicaciones en redes sociales y diferentes medios de comunicación asociados a la ADRES y referenciar la información en los formatos dispuestos por la dirección general.</v>
      </c>
      <c r="AO10" s="1148">
        <f>+AC10</f>
        <v>53164884</v>
      </c>
      <c r="AP10" s="860" t="s">
        <v>46</v>
      </c>
      <c r="AQ10" s="67">
        <v>3</v>
      </c>
      <c r="AR10" s="1072" t="str">
        <f>+AN10</f>
        <v>Realizar el seguimiento de las publicaciones en redes sociales y diferentes medios de comunicación asociados a la ADRES y referenciar la información en los formatos dispuestos por la dirección general.</v>
      </c>
      <c r="AS10" s="1075">
        <f>+AO10/4</f>
        <v>13291221</v>
      </c>
      <c r="AT10" s="467">
        <v>3</v>
      </c>
      <c r="AU10" s="1075">
        <v>9303854</v>
      </c>
      <c r="AV10" s="828">
        <f t="shared" si="0"/>
        <v>1</v>
      </c>
      <c r="AW10" s="1073">
        <f>+(AU10/AS10)</f>
        <v>0.69999994733365734</v>
      </c>
      <c r="AX10" s="828">
        <f t="shared" si="1"/>
        <v>0.25</v>
      </c>
      <c r="AY10" s="1073">
        <f>+(AU10/AO10)</f>
        <v>0.17499998683341433</v>
      </c>
      <c r="AZ10" s="472" t="s">
        <v>1346</v>
      </c>
      <c r="BA10" s="67">
        <v>3</v>
      </c>
      <c r="BB10" s="1072" t="str">
        <f>+AN10</f>
        <v>Realizar el seguimiento de las publicaciones en redes sociales y diferentes medios de comunicación asociados a la ADRES y referenciar la información en los formatos dispuestos por la dirección general.</v>
      </c>
      <c r="BC10" s="1075">
        <f>+AO10/4</f>
        <v>13291221</v>
      </c>
      <c r="BD10" s="847">
        <v>3</v>
      </c>
      <c r="BE10" s="808">
        <v>13291221</v>
      </c>
      <c r="BF10" s="828">
        <f>+(BD10/BA10)</f>
        <v>1</v>
      </c>
      <c r="BG10" s="1073">
        <f>+(BE10/BC10)</f>
        <v>1</v>
      </c>
      <c r="BH10" s="828">
        <f>+(BD10+AT10)/AM10</f>
        <v>0.5</v>
      </c>
      <c r="BI10" s="1073">
        <f>+(BE10+AU10)/AO10</f>
        <v>0.42499998683341433</v>
      </c>
      <c r="BJ10" s="830"/>
      <c r="BK10" s="67">
        <v>3</v>
      </c>
      <c r="BL10" s="1072" t="str">
        <f>+AN10</f>
        <v>Realizar el seguimiento de las publicaciones en redes sociales y diferentes medios de comunicación asociados a la ADRES y referenciar la información en los formatos dispuestos por la dirección general.</v>
      </c>
      <c r="BM10" s="1075">
        <f>+AO10/4</f>
        <v>13291221</v>
      </c>
      <c r="BN10" s="835">
        <v>3</v>
      </c>
      <c r="BO10" s="1075">
        <v>13291221</v>
      </c>
      <c r="BP10" s="828">
        <f>+(BN10/BK10)</f>
        <v>1</v>
      </c>
      <c r="BQ10" s="1073">
        <f>+(BO10/BM10)</f>
        <v>1</v>
      </c>
      <c r="BR10" s="828">
        <f>+(BD10+AT10+BN10)/AM10</f>
        <v>0.75</v>
      </c>
      <c r="BS10" s="1073">
        <f>+(BE10+AU10+BO10)/AO10</f>
        <v>0.67499998683341433</v>
      </c>
      <c r="BT10" s="984" t="s">
        <v>1862</v>
      </c>
      <c r="BU10" s="67">
        <v>3</v>
      </c>
      <c r="BV10" s="1072" t="str">
        <f>+AN10</f>
        <v>Realizar el seguimiento de las publicaciones en redes sociales y diferentes medios de comunicación asociados a la ADRES y referenciar la información en los formatos dispuestos por la dirección general.</v>
      </c>
      <c r="BW10" s="1075">
        <f>+AO10/4</f>
        <v>13291221</v>
      </c>
      <c r="BX10" s="835"/>
      <c r="BY10" s="1139"/>
      <c r="BZ10" s="828">
        <f>+(BX10/BU10)</f>
        <v>0</v>
      </c>
      <c r="CA10" s="1073">
        <f>+(BY10/BW10)</f>
        <v>0</v>
      </c>
      <c r="CB10" s="828">
        <f>+(BD10+AT10+BN10+BX10)/AM10</f>
        <v>0.75</v>
      </c>
      <c r="CC10" s="1073">
        <f>+(BE10+AU10+BO10+BY10)/AO10</f>
        <v>0.67499998683341433</v>
      </c>
      <c r="CD10" s="68"/>
      <c r="CE10" s="640">
        <f t="shared" si="2"/>
        <v>1</v>
      </c>
      <c r="CF10" s="1092">
        <f>IF(AND(AS10=0,AU10=0),"No Prog ni Ejec",IF(AS10=0,CONCATENATE("No Prog, Ejec=  ",AU10),AU10/AS10))</f>
        <v>0.69999994733365734</v>
      </c>
      <c r="CG10" s="640">
        <f t="shared" si="3"/>
        <v>1</v>
      </c>
      <c r="CH10" s="1092">
        <f>IF(AND(BC10=0,BE10=0),"No Prog ni Ejec",IF(BC10=0,CONCATENATE("No Prog, Ejec=  ",BE10),BE10/BC10))</f>
        <v>1</v>
      </c>
      <c r="CI10" s="640">
        <f t="shared" si="4"/>
        <v>1</v>
      </c>
      <c r="CJ10" s="1092">
        <f>IF(AND(BM10=0,BO10=0),"No Prog ni Ejec",IF(BM10=0,CONCATENATE("No Prog, Ejec=  ",BO10),BO10/BM10))</f>
        <v>1</v>
      </c>
      <c r="CK10" s="640">
        <f t="shared" si="5"/>
        <v>0</v>
      </c>
      <c r="CL10" s="1091">
        <f>IF(AND(BW10=0,BY10=0),"No Prog ni Ejec",IF(BW10=0,CONCATENATE("No Prog, Ejec=  ",BY10),BY10/BW10))</f>
        <v>0</v>
      </c>
      <c r="CM10" s="128">
        <f t="shared" ref="CM10:CM71" si="6">+AC10-AS10-BC10-BM10-BW10</f>
        <v>0</v>
      </c>
      <c r="CW10" s="122">
        <v>6</v>
      </c>
    </row>
    <row r="11" spans="1:107" s="578" customFormat="1" ht="89.25" hidden="1" customHeight="1" x14ac:dyDescent="0.2">
      <c r="A11" s="1234">
        <v>11200</v>
      </c>
      <c r="B11" s="1198" t="s">
        <v>1</v>
      </c>
      <c r="C11" s="1198" t="s">
        <v>330</v>
      </c>
      <c r="D11" s="827"/>
      <c r="E11" s="827" t="s">
        <v>1020</v>
      </c>
      <c r="F11" s="827" t="s">
        <v>1020</v>
      </c>
      <c r="G11" s="827"/>
      <c r="H11" s="827"/>
      <c r="I11" s="827"/>
      <c r="J11" s="827"/>
      <c r="K11" s="827"/>
      <c r="L11" s="827"/>
      <c r="M11" s="827"/>
      <c r="N11" s="827"/>
      <c r="O11" s="827"/>
      <c r="P11" s="827"/>
      <c r="Q11" s="827" t="s">
        <v>204</v>
      </c>
      <c r="R11" s="827" t="s">
        <v>204</v>
      </c>
      <c r="S11" s="1139"/>
      <c r="T11" s="1072" t="s">
        <v>94</v>
      </c>
      <c r="U11" s="1072" t="s">
        <v>204</v>
      </c>
      <c r="V11" s="1072" t="s">
        <v>204</v>
      </c>
      <c r="W11" s="858" t="s">
        <v>920</v>
      </c>
      <c r="X11" s="1198" t="s">
        <v>437</v>
      </c>
      <c r="Y11" s="572" t="s">
        <v>51</v>
      </c>
      <c r="Z11" s="579">
        <v>1</v>
      </c>
      <c r="AA11" s="1205"/>
      <c r="AB11" s="1198"/>
      <c r="AC11" s="1212"/>
      <c r="AD11" s="1147"/>
      <c r="AE11" s="1072"/>
      <c r="AF11" s="1072"/>
      <c r="AG11" s="1072"/>
      <c r="AH11" s="1072"/>
      <c r="AI11" s="1072"/>
      <c r="AJ11" s="1154"/>
      <c r="AK11" s="853" t="s">
        <v>237</v>
      </c>
      <c r="AL11" s="1072"/>
      <c r="AM11" s="579">
        <v>1</v>
      </c>
      <c r="AN11" s="1198"/>
      <c r="AO11" s="1206"/>
      <c r="AP11" s="860" t="s">
        <v>46</v>
      </c>
      <c r="AQ11" s="579">
        <v>0.25</v>
      </c>
      <c r="AR11" s="1198"/>
      <c r="AS11" s="1199"/>
      <c r="AT11" s="580">
        <v>0.16063675832127353</v>
      </c>
      <c r="AU11" s="1199"/>
      <c r="AV11" s="856">
        <f t="shared" si="0"/>
        <v>0.6425470332850941</v>
      </c>
      <c r="AW11" s="1207"/>
      <c r="AX11" s="856">
        <f t="shared" si="1"/>
        <v>0.16063675832127353</v>
      </c>
      <c r="AY11" s="1207"/>
      <c r="AZ11" s="581" t="s">
        <v>1347</v>
      </c>
      <c r="BA11" s="579">
        <v>0.25</v>
      </c>
      <c r="BB11" s="1198"/>
      <c r="BC11" s="1199"/>
      <c r="BD11" s="572"/>
      <c r="BE11" s="859"/>
      <c r="BF11" s="856">
        <f>+(BD11/BA11)</f>
        <v>0</v>
      </c>
      <c r="BG11" s="1207"/>
      <c r="BH11" s="856">
        <f>+(BD11+AT11)/AM11</f>
        <v>0.16063675832127353</v>
      </c>
      <c r="BI11" s="1207"/>
      <c r="BJ11" s="684"/>
      <c r="BK11" s="579">
        <v>0.25</v>
      </c>
      <c r="BL11" s="1198"/>
      <c r="BM11" s="1199"/>
      <c r="BN11" s="858"/>
      <c r="BO11" s="1199"/>
      <c r="BP11" s="856">
        <f>+(BN11/BK11)</f>
        <v>0</v>
      </c>
      <c r="BQ11" s="1207"/>
      <c r="BR11" s="856">
        <f>+(BD11+AT11+BN11)/AM11</f>
        <v>0.16063675832127353</v>
      </c>
      <c r="BS11" s="1207"/>
      <c r="BT11" s="745"/>
      <c r="BU11" s="579">
        <v>0.25</v>
      </c>
      <c r="BV11" s="1198"/>
      <c r="BW11" s="1199"/>
      <c r="BX11" s="858"/>
      <c r="BY11" s="1205"/>
      <c r="BZ11" s="863">
        <f>+(BX11/BU11)</f>
        <v>0</v>
      </c>
      <c r="CA11" s="1207"/>
      <c r="CB11" s="863">
        <f>+(BD11+AT11+BN11+BX11)/AM11</f>
        <v>0.16063675832127353</v>
      </c>
      <c r="CC11" s="1207"/>
      <c r="CD11" s="863"/>
      <c r="CE11" s="642">
        <f t="shared" si="2"/>
        <v>0.6425470332850941</v>
      </c>
      <c r="CF11" s="1224"/>
      <c r="CG11" s="642">
        <f t="shared" si="3"/>
        <v>0</v>
      </c>
      <c r="CH11" s="1224"/>
      <c r="CI11" s="642">
        <f t="shared" si="4"/>
        <v>0</v>
      </c>
      <c r="CJ11" s="1224"/>
      <c r="CK11" s="642">
        <f t="shared" si="5"/>
        <v>0</v>
      </c>
      <c r="CL11" s="1225"/>
      <c r="CM11" s="577">
        <f t="shared" si="6"/>
        <v>0</v>
      </c>
      <c r="CR11" s="70"/>
      <c r="CS11" s="70"/>
      <c r="CT11" s="70"/>
      <c r="CU11" s="70"/>
      <c r="CV11" s="70"/>
      <c r="CW11" s="122">
        <v>6</v>
      </c>
      <c r="CX11" s="70"/>
      <c r="CY11" s="70"/>
      <c r="CZ11" s="70"/>
      <c r="DA11" s="70"/>
      <c r="DB11" s="70"/>
      <c r="DC11" s="70"/>
    </row>
    <row r="12" spans="1:107" s="578" customFormat="1" ht="89.25" hidden="1" customHeight="1" x14ac:dyDescent="0.2">
      <c r="A12" s="1138"/>
      <c r="B12" s="1072"/>
      <c r="C12" s="1072"/>
      <c r="D12" s="632"/>
      <c r="E12" s="632" t="s">
        <v>1020</v>
      </c>
      <c r="F12" s="632" t="s">
        <v>1020</v>
      </c>
      <c r="G12" s="632"/>
      <c r="H12" s="632"/>
      <c r="I12" s="632"/>
      <c r="J12" s="632"/>
      <c r="K12" s="632"/>
      <c r="L12" s="632"/>
      <c r="M12" s="632"/>
      <c r="N12" s="632"/>
      <c r="O12" s="632"/>
      <c r="P12" s="632"/>
      <c r="Q12" s="632" t="s">
        <v>204</v>
      </c>
      <c r="R12" s="632" t="s">
        <v>204</v>
      </c>
      <c r="S12" s="1139"/>
      <c r="T12" s="1072"/>
      <c r="U12" s="1072"/>
      <c r="V12" s="1072"/>
      <c r="W12" s="637" t="s">
        <v>921</v>
      </c>
      <c r="X12" s="1072"/>
      <c r="Y12" s="572" t="s">
        <v>51</v>
      </c>
      <c r="Z12" s="579">
        <v>0.12</v>
      </c>
      <c r="AA12" s="1139"/>
      <c r="AB12" s="1184"/>
      <c r="AC12" s="1156"/>
      <c r="AD12" s="1147"/>
      <c r="AE12" s="1072"/>
      <c r="AF12" s="1072"/>
      <c r="AG12" s="1072"/>
      <c r="AH12" s="1072"/>
      <c r="AI12" s="1072"/>
      <c r="AJ12" s="1154"/>
      <c r="AK12" s="632" t="s">
        <v>327</v>
      </c>
      <c r="AL12" s="1072"/>
      <c r="AM12" s="579">
        <v>0.12</v>
      </c>
      <c r="AN12" s="1072"/>
      <c r="AO12" s="1148"/>
      <c r="AP12" s="653" t="s">
        <v>46</v>
      </c>
      <c r="AQ12" s="579">
        <v>0.03</v>
      </c>
      <c r="AR12" s="1072"/>
      <c r="AS12" s="1075"/>
      <c r="AT12" s="637">
        <v>0</v>
      </c>
      <c r="AU12" s="1075"/>
      <c r="AV12" s="635">
        <f t="shared" si="0"/>
        <v>0</v>
      </c>
      <c r="AW12" s="1073"/>
      <c r="AX12" s="635">
        <f t="shared" si="1"/>
        <v>0</v>
      </c>
      <c r="AY12" s="1073"/>
      <c r="AZ12" s="581" t="s">
        <v>1345</v>
      </c>
      <c r="BA12" s="579">
        <v>0.03</v>
      </c>
      <c r="BB12" s="1072"/>
      <c r="BC12" s="1075"/>
      <c r="BD12" s="572"/>
      <c r="BE12" s="639"/>
      <c r="BF12" s="635">
        <f>+(BD12/BA12)</f>
        <v>0</v>
      </c>
      <c r="BG12" s="1073"/>
      <c r="BH12" s="635">
        <f>+(BD12+AT12)/AM12</f>
        <v>0</v>
      </c>
      <c r="BI12" s="1073"/>
      <c r="BJ12" s="684"/>
      <c r="BK12" s="579">
        <v>0.03</v>
      </c>
      <c r="BL12" s="1072"/>
      <c r="BM12" s="1075"/>
      <c r="BN12" s="637"/>
      <c r="BO12" s="1139"/>
      <c r="BP12" s="674">
        <f>+(BN12/BK12)</f>
        <v>0</v>
      </c>
      <c r="BQ12" s="1073"/>
      <c r="BR12" s="674">
        <f>+(BD12+AT12+BN12)/AM12</f>
        <v>0</v>
      </c>
      <c r="BS12" s="1073"/>
      <c r="BT12" s="635"/>
      <c r="BU12" s="579">
        <v>0.03</v>
      </c>
      <c r="BV12" s="1072"/>
      <c r="BW12" s="1075"/>
      <c r="BX12" s="637"/>
      <c r="BY12" s="1139"/>
      <c r="BZ12" s="675">
        <f>+(BX12/BU12)</f>
        <v>0</v>
      </c>
      <c r="CA12" s="1073"/>
      <c r="CB12" s="675">
        <f>+(BD12+AT12+BN12+BX12)/AM12</f>
        <v>0</v>
      </c>
      <c r="CC12" s="1073"/>
      <c r="CD12" s="647"/>
      <c r="CE12" s="642">
        <f t="shared" si="2"/>
        <v>0</v>
      </c>
      <c r="CF12" s="1092"/>
      <c r="CG12" s="642">
        <f t="shared" si="3"/>
        <v>0</v>
      </c>
      <c r="CH12" s="1092"/>
      <c r="CI12" s="642">
        <f t="shared" si="4"/>
        <v>0</v>
      </c>
      <c r="CJ12" s="1092"/>
      <c r="CK12" s="642">
        <f t="shared" si="5"/>
        <v>0</v>
      </c>
      <c r="CL12" s="1091"/>
      <c r="CM12" s="577">
        <f t="shared" si="6"/>
        <v>0</v>
      </c>
    </row>
    <row r="13" spans="1:107" s="578" customFormat="1" ht="45" hidden="1" customHeight="1" x14ac:dyDescent="0.2">
      <c r="A13" s="1138"/>
      <c r="B13" s="1072"/>
      <c r="C13" s="1072"/>
      <c r="D13" s="632"/>
      <c r="E13" s="632" t="s">
        <v>1020</v>
      </c>
      <c r="F13" s="632" t="s">
        <v>1020</v>
      </c>
      <c r="G13" s="632"/>
      <c r="H13" s="632"/>
      <c r="I13" s="632"/>
      <c r="J13" s="632"/>
      <c r="K13" s="632"/>
      <c r="L13" s="632"/>
      <c r="M13" s="632"/>
      <c r="N13" s="632"/>
      <c r="O13" s="632"/>
      <c r="P13" s="632"/>
      <c r="Q13" s="632" t="s">
        <v>204</v>
      </c>
      <c r="R13" s="632" t="s">
        <v>204</v>
      </c>
      <c r="S13" s="1139"/>
      <c r="T13" s="1072"/>
      <c r="U13" s="1072"/>
      <c r="V13" s="1072"/>
      <c r="W13" s="637" t="s">
        <v>922</v>
      </c>
      <c r="X13" s="1072"/>
      <c r="Y13" s="572" t="s">
        <v>391</v>
      </c>
      <c r="Z13" s="589">
        <v>12</v>
      </c>
      <c r="AA13" s="1139"/>
      <c r="AB13" s="1184"/>
      <c r="AC13" s="1156"/>
      <c r="AD13" s="1147"/>
      <c r="AE13" s="1072"/>
      <c r="AF13" s="1072"/>
      <c r="AG13" s="1072"/>
      <c r="AH13" s="1072"/>
      <c r="AI13" s="1072"/>
      <c r="AJ13" s="1154"/>
      <c r="AK13" s="632" t="s">
        <v>326</v>
      </c>
      <c r="AL13" s="1072"/>
      <c r="AM13" s="589">
        <v>12</v>
      </c>
      <c r="AN13" s="1072"/>
      <c r="AO13" s="1148"/>
      <c r="AP13" s="653" t="s">
        <v>46</v>
      </c>
      <c r="AQ13" s="589">
        <v>3</v>
      </c>
      <c r="AR13" s="1072"/>
      <c r="AS13" s="1075"/>
      <c r="AT13" s="637">
        <v>0</v>
      </c>
      <c r="AU13" s="1075"/>
      <c r="AV13" s="635">
        <f t="shared" si="0"/>
        <v>0</v>
      </c>
      <c r="AW13" s="1073"/>
      <c r="AX13" s="635">
        <f t="shared" si="1"/>
        <v>0</v>
      </c>
      <c r="AY13" s="1073"/>
      <c r="AZ13" s="581" t="s">
        <v>1345</v>
      </c>
      <c r="BA13" s="589">
        <v>3</v>
      </c>
      <c r="BB13" s="1072"/>
      <c r="BC13" s="1075"/>
      <c r="BD13" s="572"/>
      <c r="BE13" s="639"/>
      <c r="BF13" s="635">
        <f>+(BD13/BA13)</f>
        <v>0</v>
      </c>
      <c r="BG13" s="1073"/>
      <c r="BH13" s="635">
        <f>+(BD13+AT13)/AM13</f>
        <v>0</v>
      </c>
      <c r="BI13" s="1073"/>
      <c r="BJ13" s="684"/>
      <c r="BK13" s="589">
        <v>3</v>
      </c>
      <c r="BL13" s="1072"/>
      <c r="BM13" s="1075"/>
      <c r="BN13" s="637"/>
      <c r="BO13" s="1139"/>
      <c r="BP13" s="674">
        <f>+(BN13/BK13)</f>
        <v>0</v>
      </c>
      <c r="BQ13" s="1073"/>
      <c r="BR13" s="674">
        <f>+(BD13+AT13+BN13)/AM13</f>
        <v>0</v>
      </c>
      <c r="BS13" s="1073"/>
      <c r="BT13" s="635"/>
      <c r="BU13" s="589">
        <v>3</v>
      </c>
      <c r="BV13" s="1072"/>
      <c r="BW13" s="1075"/>
      <c r="BX13" s="637"/>
      <c r="BY13" s="1139"/>
      <c r="BZ13" s="675">
        <f>+(BX13/BU13)</f>
        <v>0</v>
      </c>
      <c r="CA13" s="1073"/>
      <c r="CB13" s="675">
        <f>+(BD13+AT13+BN13+BX13)/AM13</f>
        <v>0</v>
      </c>
      <c r="CC13" s="1073"/>
      <c r="CD13" s="647"/>
      <c r="CE13" s="642">
        <f t="shared" si="2"/>
        <v>0</v>
      </c>
      <c r="CF13" s="1092"/>
      <c r="CG13" s="642">
        <f t="shared" si="3"/>
        <v>0</v>
      </c>
      <c r="CH13" s="1092"/>
      <c r="CI13" s="642">
        <f t="shared" si="4"/>
        <v>0</v>
      </c>
      <c r="CJ13" s="1092"/>
      <c r="CK13" s="642">
        <f t="shared" si="5"/>
        <v>0</v>
      </c>
      <c r="CL13" s="1091"/>
      <c r="CM13" s="577">
        <f t="shared" si="6"/>
        <v>0</v>
      </c>
    </row>
    <row r="14" spans="1:107" s="70" customFormat="1" ht="107.25" customHeight="1" x14ac:dyDescent="0.2">
      <c r="A14" s="834">
        <v>11200</v>
      </c>
      <c r="B14" s="827" t="s">
        <v>1</v>
      </c>
      <c r="C14" s="827" t="s">
        <v>336</v>
      </c>
      <c r="D14" s="827" t="s">
        <v>1020</v>
      </c>
      <c r="E14" s="827"/>
      <c r="F14" s="827" t="s">
        <v>1020</v>
      </c>
      <c r="G14" s="827"/>
      <c r="H14" s="827"/>
      <c r="I14" s="827"/>
      <c r="J14" s="827"/>
      <c r="K14" s="827"/>
      <c r="L14" s="827"/>
      <c r="M14" s="827"/>
      <c r="N14" s="827"/>
      <c r="O14" s="827"/>
      <c r="P14" s="827"/>
      <c r="Q14" s="827" t="s">
        <v>1128</v>
      </c>
      <c r="R14" s="827" t="s">
        <v>1130</v>
      </c>
      <c r="S14" s="835" t="s">
        <v>111</v>
      </c>
      <c r="T14" s="827" t="s">
        <v>94</v>
      </c>
      <c r="U14" s="827" t="s">
        <v>204</v>
      </c>
      <c r="V14" s="827" t="s">
        <v>204</v>
      </c>
      <c r="W14" s="835" t="s">
        <v>660</v>
      </c>
      <c r="X14" s="827" t="s">
        <v>663</v>
      </c>
      <c r="Y14" s="838" t="s">
        <v>391</v>
      </c>
      <c r="Z14" s="66">
        <v>1</v>
      </c>
      <c r="AA14" s="835" t="s">
        <v>659</v>
      </c>
      <c r="AB14" s="827" t="s">
        <v>661</v>
      </c>
      <c r="AC14" s="850">
        <v>11000000</v>
      </c>
      <c r="AD14" s="832">
        <v>1</v>
      </c>
      <c r="AE14" s="827" t="s">
        <v>18</v>
      </c>
      <c r="AF14" s="827" t="s">
        <v>24</v>
      </c>
      <c r="AG14" s="827" t="s">
        <v>630</v>
      </c>
      <c r="AH14" s="827" t="s">
        <v>632</v>
      </c>
      <c r="AI14" s="827" t="s">
        <v>1052</v>
      </c>
      <c r="AJ14" s="827" t="s">
        <v>1269</v>
      </c>
      <c r="AK14" s="827" t="s">
        <v>1610</v>
      </c>
      <c r="AL14" s="827" t="s">
        <v>40</v>
      </c>
      <c r="AM14" s="66">
        <v>1</v>
      </c>
      <c r="AN14" s="827" t="str">
        <f t="shared" ref="AN14:AN24" si="7">+AB14</f>
        <v>Realizar piezas audiovisuales para la audiencia pública de rendición de cuentas de la ADRES, así como su cubrimiento y transmisión de video en línea</v>
      </c>
      <c r="AO14" s="833">
        <f t="shared" ref="AO14:AO26" si="8">+AC14</f>
        <v>11000000</v>
      </c>
      <c r="AP14" s="860" t="s">
        <v>46</v>
      </c>
      <c r="AQ14" s="66">
        <v>0</v>
      </c>
      <c r="AR14" s="827" t="str">
        <f t="shared" ref="AR14:AR26" si="9">+AN14</f>
        <v>Realizar piezas audiovisuales para la audiencia pública de rendición de cuentas de la ADRES, así como su cubrimiento y transmisión de video en línea</v>
      </c>
      <c r="AS14" s="831">
        <v>0</v>
      </c>
      <c r="AT14" s="473">
        <v>0</v>
      </c>
      <c r="AU14" s="864">
        <v>0</v>
      </c>
      <c r="AV14" s="828" t="e">
        <f t="shared" si="0"/>
        <v>#DIV/0!</v>
      </c>
      <c r="AW14" s="828" t="e">
        <f t="shared" ref="AW14:AW26" si="10">+(AU14/AS14)</f>
        <v>#DIV/0!</v>
      </c>
      <c r="AX14" s="828">
        <f t="shared" si="1"/>
        <v>0</v>
      </c>
      <c r="AY14" s="828">
        <f t="shared" ref="AY14:AY26" si="11">+(AU14/AO14)</f>
        <v>0</v>
      </c>
      <c r="AZ14" s="472" t="s">
        <v>1345</v>
      </c>
      <c r="BA14" s="66">
        <v>0</v>
      </c>
      <c r="BB14" s="827" t="str">
        <f t="shared" ref="BB14:BB26" si="12">+AN14</f>
        <v>Realizar piezas audiovisuales para la audiencia pública de rendición de cuentas de la ADRES, así como su cubrimiento y transmisión de video en línea</v>
      </c>
      <c r="BC14" s="831">
        <v>0</v>
      </c>
      <c r="BD14" s="838">
        <v>0</v>
      </c>
      <c r="BE14" s="831">
        <v>0</v>
      </c>
      <c r="BF14" s="828" t="e">
        <f t="shared" ref="BF14:BF28" si="13">+(BD14/BA14)</f>
        <v>#DIV/0!</v>
      </c>
      <c r="BG14" s="828" t="e">
        <f t="shared" ref="BG14:BG26" si="14">+(BE14/BC14)</f>
        <v>#DIV/0!</v>
      </c>
      <c r="BH14" s="828">
        <f t="shared" ref="BH14:BH28" si="15">+(BD14+AT14)/AM14</f>
        <v>0</v>
      </c>
      <c r="BI14" s="828">
        <f t="shared" ref="BI14:BI26" si="16">+(BE14+AU14)/AO14</f>
        <v>0</v>
      </c>
      <c r="BJ14" s="830" t="s">
        <v>1657</v>
      </c>
      <c r="BK14" s="66">
        <v>1</v>
      </c>
      <c r="BL14" s="827" t="str">
        <f>+AN14</f>
        <v>Realizar piezas audiovisuales para la audiencia pública de rendición de cuentas de la ADRES, así como su cubrimiento y transmisión de video en línea</v>
      </c>
      <c r="BM14" s="831">
        <f>+AO14</f>
        <v>11000000</v>
      </c>
      <c r="BN14" s="982">
        <v>1</v>
      </c>
      <c r="BO14" s="981">
        <v>10500000</v>
      </c>
      <c r="BP14" s="828">
        <f t="shared" ref="BP14:BP29" si="17">+(BN14/BK14)</f>
        <v>1</v>
      </c>
      <c r="BQ14" s="828">
        <f t="shared" ref="BQ14:BQ26" si="18">+(BO14/BM14)</f>
        <v>0.95454545454545459</v>
      </c>
      <c r="BR14" s="828">
        <f t="shared" ref="BR14:BR29" si="19">+(BD14+AT14+BN14)/AM14</f>
        <v>1</v>
      </c>
      <c r="BS14" s="828">
        <f t="shared" ref="BS14:BS26" si="20">+(BE14+AU14+BO14)/AO14</f>
        <v>0.95454545454545459</v>
      </c>
      <c r="BT14" s="984" t="s">
        <v>1863</v>
      </c>
      <c r="BU14" s="66">
        <v>0</v>
      </c>
      <c r="BV14" s="827" t="str">
        <f t="shared" ref="BV14:BV26" si="21">+AN14</f>
        <v>Realizar piezas audiovisuales para la audiencia pública de rendición de cuentas de la ADRES, así como su cubrimiento y transmisión de video en línea</v>
      </c>
      <c r="BW14" s="831">
        <v>0</v>
      </c>
      <c r="BX14" s="835"/>
      <c r="BY14" s="835"/>
      <c r="BZ14" s="826" t="e">
        <f t="shared" ref="BZ14:BZ29" si="22">+(BX14/BU14)</f>
        <v>#DIV/0!</v>
      </c>
      <c r="CA14" s="826" t="e">
        <f t="shared" ref="CA14:CA26" si="23">+(BY14/BW14)</f>
        <v>#DIV/0!</v>
      </c>
      <c r="CB14" s="826">
        <f t="shared" ref="CB14:CB29" si="24">+(BD14+AT14+BN14+BX14)/AM14</f>
        <v>1</v>
      </c>
      <c r="CC14" s="826">
        <f t="shared" ref="CC14:CC26" si="25">+(BE14+AU14+BO14+BY14)/AO14</f>
        <v>0.95454545454545459</v>
      </c>
      <c r="CD14" s="826"/>
      <c r="CE14" s="640" t="str">
        <f t="shared" si="2"/>
        <v>No Prog ni Ejec</v>
      </c>
      <c r="CF14" s="640" t="str">
        <f t="shared" ref="CF14:CF26" si="26">IF(AND(AS14=0,AU14=0),"No Prog ni Ejec",IF(AS14=0,CONCATENATE("No Prog, Ejec=  ",AU14),AU14/AS14))</f>
        <v>No Prog ni Ejec</v>
      </c>
      <c r="CG14" s="640" t="str">
        <f t="shared" si="3"/>
        <v>No Prog ni Ejec</v>
      </c>
      <c r="CH14" s="640" t="str">
        <f t="shared" ref="CH14:CH26" si="27">IF(AND(BC14=0,BE14=0),"No Prog ni Ejec",IF(BC14=0,CONCATENATE("No Prog, Ejec=  ",BE14),BE14/BC14))</f>
        <v>No Prog ni Ejec</v>
      </c>
      <c r="CI14" s="640">
        <f t="shared" si="4"/>
        <v>1</v>
      </c>
      <c r="CJ14" s="640">
        <f t="shared" ref="CJ14:CJ26" si="28">IF(AND(BM14=0,BO14=0),"No Prog ni Ejec",IF(BM14=0,CONCATENATE("No Prog, Ejec=  ",BO14),BO14/BM14))</f>
        <v>0.95454545454545459</v>
      </c>
      <c r="CK14" s="640" t="str">
        <f t="shared" si="5"/>
        <v>No Prog ni Ejec</v>
      </c>
      <c r="CL14" s="698" t="str">
        <f t="shared" ref="CL14:CL26" si="29">IF(AND(BW14=0,BY14=0),"No Prog ni Ejec",IF(BW14=0,CONCATENATE("No Prog, Ejec=  ",BY14),BY14/BW14))</f>
        <v>No Prog ni Ejec</v>
      </c>
      <c r="CM14" s="128">
        <f t="shared" si="6"/>
        <v>0</v>
      </c>
      <c r="CR14" s="122">
        <v>1</v>
      </c>
      <c r="CS14" s="122"/>
      <c r="CT14" s="122"/>
      <c r="CU14" s="122"/>
      <c r="CV14" s="122"/>
      <c r="CW14" s="122"/>
      <c r="CX14" s="122"/>
      <c r="CY14" s="122"/>
      <c r="CZ14" s="122"/>
      <c r="DA14" s="122"/>
      <c r="DB14" s="122"/>
      <c r="DC14" s="122"/>
    </row>
    <row r="15" spans="1:107" s="70" customFormat="1" ht="128.25" customHeight="1" x14ac:dyDescent="0.2">
      <c r="A15" s="834">
        <v>11200</v>
      </c>
      <c r="B15" s="827" t="s">
        <v>1</v>
      </c>
      <c r="C15" s="827" t="s">
        <v>336</v>
      </c>
      <c r="D15" s="827" t="s">
        <v>1020</v>
      </c>
      <c r="E15" s="827"/>
      <c r="F15" s="827"/>
      <c r="G15" s="827"/>
      <c r="H15" s="827"/>
      <c r="I15" s="827"/>
      <c r="J15" s="827"/>
      <c r="K15" s="827"/>
      <c r="L15" s="827"/>
      <c r="M15" s="827"/>
      <c r="N15" s="827"/>
      <c r="O15" s="827"/>
      <c r="P15" s="827"/>
      <c r="Q15" s="827" t="s">
        <v>1128</v>
      </c>
      <c r="R15" s="827" t="s">
        <v>1131</v>
      </c>
      <c r="S15" s="835" t="s">
        <v>111</v>
      </c>
      <c r="T15" s="827" t="s">
        <v>94</v>
      </c>
      <c r="U15" s="827" t="s">
        <v>204</v>
      </c>
      <c r="V15" s="827" t="s">
        <v>204</v>
      </c>
      <c r="W15" s="835" t="s">
        <v>665</v>
      </c>
      <c r="X15" s="827" t="s">
        <v>1430</v>
      </c>
      <c r="Y15" s="838" t="s">
        <v>52</v>
      </c>
      <c r="Z15" s="66">
        <v>1</v>
      </c>
      <c r="AA15" s="835" t="s">
        <v>664</v>
      </c>
      <c r="AB15" s="827" t="s">
        <v>913</v>
      </c>
      <c r="AC15" s="831">
        <v>0</v>
      </c>
      <c r="AD15" s="832">
        <v>1</v>
      </c>
      <c r="AE15" s="827" t="s">
        <v>18</v>
      </c>
      <c r="AF15" s="827" t="s">
        <v>24</v>
      </c>
      <c r="AG15" s="827" t="s">
        <v>204</v>
      </c>
      <c r="AH15" s="827" t="s">
        <v>635</v>
      </c>
      <c r="AI15" s="827" t="s">
        <v>1052</v>
      </c>
      <c r="AJ15" s="827" t="s">
        <v>204</v>
      </c>
      <c r="AK15" s="827" t="s">
        <v>1432</v>
      </c>
      <c r="AL15" s="827" t="s">
        <v>204</v>
      </c>
      <c r="AM15" s="832">
        <v>1</v>
      </c>
      <c r="AN15" s="827" t="str">
        <f t="shared" si="7"/>
        <v>Sensibilizar e incentivar a servidores y contratistas sobre la rendición de cuentas, la normativa aplicable, las responsabilidades frente a misma, su importancia y la forma en que la entidad rinde cuentas.</v>
      </c>
      <c r="AO15" s="833">
        <f t="shared" si="8"/>
        <v>0</v>
      </c>
      <c r="AP15" s="860" t="s">
        <v>48</v>
      </c>
      <c r="AQ15" s="66">
        <v>0</v>
      </c>
      <c r="AR15" s="827" t="str">
        <f t="shared" si="9"/>
        <v>Sensibilizar e incentivar a servidores y contratistas sobre la rendición de cuentas, la normativa aplicable, las responsabilidades frente a misma, su importancia y la forma en que la entidad rinde cuentas.</v>
      </c>
      <c r="AS15" s="831">
        <v>0</v>
      </c>
      <c r="AT15" s="473">
        <v>0</v>
      </c>
      <c r="AU15" s="864">
        <v>0</v>
      </c>
      <c r="AV15" s="828" t="e">
        <f t="shared" si="0"/>
        <v>#DIV/0!</v>
      </c>
      <c r="AW15" s="828" t="e">
        <f t="shared" si="10"/>
        <v>#DIV/0!</v>
      </c>
      <c r="AX15" s="828">
        <f t="shared" si="1"/>
        <v>0</v>
      </c>
      <c r="AY15" s="828" t="e">
        <f t="shared" si="11"/>
        <v>#DIV/0!</v>
      </c>
      <c r="AZ15" s="472" t="s">
        <v>1345</v>
      </c>
      <c r="BA15" s="66">
        <v>0</v>
      </c>
      <c r="BB15" s="827" t="str">
        <f t="shared" si="12"/>
        <v>Sensibilizar e incentivar a servidores y contratistas sobre la rendición de cuentas, la normativa aplicable, las responsabilidades frente a misma, su importancia y la forma en que la entidad rinde cuentas.</v>
      </c>
      <c r="BC15" s="831">
        <f>+AC15*BA15</f>
        <v>0</v>
      </c>
      <c r="BD15" s="838">
        <v>0</v>
      </c>
      <c r="BE15" s="831">
        <v>0</v>
      </c>
      <c r="BF15" s="828" t="e">
        <f t="shared" si="13"/>
        <v>#DIV/0!</v>
      </c>
      <c r="BG15" s="828" t="e">
        <f t="shared" si="14"/>
        <v>#DIV/0!</v>
      </c>
      <c r="BH15" s="828">
        <f t="shared" si="15"/>
        <v>0</v>
      </c>
      <c r="BI15" s="828" t="e">
        <f t="shared" si="16"/>
        <v>#DIV/0!</v>
      </c>
      <c r="BJ15" s="830" t="s">
        <v>1657</v>
      </c>
      <c r="BK15" s="66">
        <v>1</v>
      </c>
      <c r="BL15" s="827" t="str">
        <f t="shared" ref="BL15:BL26" si="30">+AN15</f>
        <v>Sensibilizar e incentivar a servidores y contratistas sobre la rendición de cuentas, la normativa aplicable, las responsabilidades frente a misma, su importancia y la forma en que la entidad rinde cuentas.</v>
      </c>
      <c r="BM15" s="831">
        <f>+AO15*BK15</f>
        <v>0</v>
      </c>
      <c r="BN15" s="982">
        <v>1</v>
      </c>
      <c r="BO15" s="981">
        <v>0</v>
      </c>
      <c r="BP15" s="828">
        <f t="shared" si="17"/>
        <v>1</v>
      </c>
      <c r="BQ15" s="828" t="e">
        <f t="shared" si="18"/>
        <v>#DIV/0!</v>
      </c>
      <c r="BR15" s="828">
        <f t="shared" si="19"/>
        <v>1</v>
      </c>
      <c r="BS15" s="828" t="e">
        <f t="shared" si="20"/>
        <v>#DIV/0!</v>
      </c>
      <c r="BT15" s="984" t="s">
        <v>1864</v>
      </c>
      <c r="BU15" s="66">
        <v>0</v>
      </c>
      <c r="BV15" s="827" t="str">
        <f t="shared" si="21"/>
        <v>Sensibilizar e incentivar a servidores y contratistas sobre la rendición de cuentas, la normativa aplicable, las responsabilidades frente a misma, su importancia y la forma en que la entidad rinde cuentas.</v>
      </c>
      <c r="BW15" s="831">
        <f>+AO15*BU15</f>
        <v>0</v>
      </c>
      <c r="BX15" s="835"/>
      <c r="BY15" s="835"/>
      <c r="BZ15" s="826" t="e">
        <f t="shared" si="22"/>
        <v>#DIV/0!</v>
      </c>
      <c r="CA15" s="826" t="e">
        <f t="shared" si="23"/>
        <v>#DIV/0!</v>
      </c>
      <c r="CB15" s="826">
        <f t="shared" si="24"/>
        <v>1</v>
      </c>
      <c r="CC15" s="826" t="e">
        <f t="shared" si="25"/>
        <v>#DIV/0!</v>
      </c>
      <c r="CD15" s="826"/>
      <c r="CE15" s="640" t="str">
        <f t="shared" si="2"/>
        <v>No Prog ni Ejec</v>
      </c>
      <c r="CF15" s="640" t="str">
        <f t="shared" si="26"/>
        <v>No Prog ni Ejec</v>
      </c>
      <c r="CG15" s="640" t="str">
        <f t="shared" si="3"/>
        <v>No Prog ni Ejec</v>
      </c>
      <c r="CH15" s="640" t="str">
        <f t="shared" si="27"/>
        <v>No Prog ni Ejec</v>
      </c>
      <c r="CI15" s="640">
        <f t="shared" si="4"/>
        <v>1</v>
      </c>
      <c r="CJ15" s="640" t="str">
        <f t="shared" si="28"/>
        <v>No Prog ni Ejec</v>
      </c>
      <c r="CK15" s="640" t="str">
        <f t="shared" si="5"/>
        <v>No Prog ni Ejec</v>
      </c>
      <c r="CL15" s="698" t="str">
        <f t="shared" si="29"/>
        <v>No Prog ni Ejec</v>
      </c>
      <c r="CM15" s="128">
        <f t="shared" si="6"/>
        <v>0</v>
      </c>
      <c r="CR15" s="122">
        <v>1</v>
      </c>
      <c r="CS15" s="122"/>
      <c r="CT15" s="122"/>
      <c r="CU15" s="122"/>
      <c r="CV15" s="122"/>
      <c r="CW15" s="122"/>
      <c r="CX15" s="122"/>
      <c r="CY15" s="122"/>
      <c r="CZ15" s="122"/>
      <c r="DA15" s="122"/>
      <c r="DB15" s="122"/>
      <c r="DC15" s="122"/>
    </row>
    <row r="16" spans="1:107" s="70" customFormat="1" ht="101.25" customHeight="1" x14ac:dyDescent="0.2">
      <c r="A16" s="834">
        <v>11200</v>
      </c>
      <c r="B16" s="827" t="s">
        <v>1</v>
      </c>
      <c r="C16" s="827" t="s">
        <v>336</v>
      </c>
      <c r="D16" s="827" t="s">
        <v>1020</v>
      </c>
      <c r="E16" s="827"/>
      <c r="F16" s="827"/>
      <c r="G16" s="827"/>
      <c r="H16" s="827"/>
      <c r="I16" s="827"/>
      <c r="J16" s="827"/>
      <c r="K16" s="827"/>
      <c r="L16" s="827"/>
      <c r="M16" s="827"/>
      <c r="N16" s="827"/>
      <c r="O16" s="827"/>
      <c r="P16" s="827"/>
      <c r="Q16" s="827" t="s">
        <v>1128</v>
      </c>
      <c r="R16" s="827" t="s">
        <v>1131</v>
      </c>
      <c r="S16" s="835" t="s">
        <v>111</v>
      </c>
      <c r="T16" s="827" t="s">
        <v>94</v>
      </c>
      <c r="U16" s="827" t="s">
        <v>204</v>
      </c>
      <c r="V16" s="827" t="s">
        <v>204</v>
      </c>
      <c r="W16" s="835" t="s">
        <v>666</v>
      </c>
      <c r="X16" s="827" t="s">
        <v>1431</v>
      </c>
      <c r="Y16" s="838" t="s">
        <v>52</v>
      </c>
      <c r="Z16" s="66">
        <v>1</v>
      </c>
      <c r="AA16" s="835" t="s">
        <v>657</v>
      </c>
      <c r="AB16" s="827" t="s">
        <v>914</v>
      </c>
      <c r="AC16" s="831">
        <v>0</v>
      </c>
      <c r="AD16" s="832">
        <v>1</v>
      </c>
      <c r="AE16" s="827" t="s">
        <v>18</v>
      </c>
      <c r="AF16" s="827" t="s">
        <v>301</v>
      </c>
      <c r="AG16" s="827" t="s">
        <v>630</v>
      </c>
      <c r="AH16" s="827" t="s">
        <v>632</v>
      </c>
      <c r="AI16" s="827" t="s">
        <v>1052</v>
      </c>
      <c r="AJ16" s="827" t="s">
        <v>1269</v>
      </c>
      <c r="AK16" s="827" t="s">
        <v>1433</v>
      </c>
      <c r="AL16" s="827" t="s">
        <v>204</v>
      </c>
      <c r="AM16" s="66">
        <v>1</v>
      </c>
      <c r="AN16" s="827" t="str">
        <f t="shared" si="7"/>
        <v>Sensibilizar a la ciudadanía y partes interesadas sobre la rendición de cuentas y la importancia de su participación en los procesos, a través de medios electrónicos, con el fin de incentivarlos a participar en este proceso.</v>
      </c>
      <c r="AO16" s="833">
        <f t="shared" si="8"/>
        <v>0</v>
      </c>
      <c r="AP16" s="860" t="s">
        <v>48</v>
      </c>
      <c r="AQ16" s="66">
        <v>0</v>
      </c>
      <c r="AR16" s="827" t="str">
        <f t="shared" si="9"/>
        <v>Sensibilizar a la ciudadanía y partes interesadas sobre la rendición de cuentas y la importancia de su participación en los procesos, a través de medios electrónicos, con el fin de incentivarlos a participar en este proceso.</v>
      </c>
      <c r="AS16" s="831">
        <f t="shared" ref="AS16:AS18" si="31">+AO16/4</f>
        <v>0</v>
      </c>
      <c r="AT16" s="473">
        <v>0</v>
      </c>
      <c r="AU16" s="864">
        <v>0</v>
      </c>
      <c r="AV16" s="828" t="e">
        <f t="shared" si="0"/>
        <v>#DIV/0!</v>
      </c>
      <c r="AW16" s="828" t="e">
        <f t="shared" si="10"/>
        <v>#DIV/0!</v>
      </c>
      <c r="AX16" s="828">
        <f t="shared" si="1"/>
        <v>0</v>
      </c>
      <c r="AY16" s="828" t="e">
        <f t="shared" si="11"/>
        <v>#DIV/0!</v>
      </c>
      <c r="AZ16" s="472" t="s">
        <v>1345</v>
      </c>
      <c r="BA16" s="66">
        <v>0</v>
      </c>
      <c r="BB16" s="827" t="str">
        <f t="shared" si="12"/>
        <v>Sensibilizar a la ciudadanía y partes interesadas sobre la rendición de cuentas y la importancia de su participación en los procesos, a través de medios electrónicos, con el fin de incentivarlos a participar en este proceso.</v>
      </c>
      <c r="BC16" s="831">
        <f t="shared" ref="BC16:BC18" si="32">+AO16/4</f>
        <v>0</v>
      </c>
      <c r="BD16" s="838">
        <v>0</v>
      </c>
      <c r="BE16" s="831">
        <v>0</v>
      </c>
      <c r="BF16" s="828" t="e">
        <f t="shared" si="13"/>
        <v>#DIV/0!</v>
      </c>
      <c r="BG16" s="828" t="e">
        <f t="shared" si="14"/>
        <v>#DIV/0!</v>
      </c>
      <c r="BH16" s="828">
        <f t="shared" si="15"/>
        <v>0</v>
      </c>
      <c r="BI16" s="828" t="e">
        <f t="shared" si="16"/>
        <v>#DIV/0!</v>
      </c>
      <c r="BJ16" s="830" t="s">
        <v>1657</v>
      </c>
      <c r="BK16" s="66">
        <v>1</v>
      </c>
      <c r="BL16" s="827" t="str">
        <f t="shared" si="30"/>
        <v>Sensibilizar a la ciudadanía y partes interesadas sobre la rendición de cuentas y la importancia de su participación en los procesos, a través de medios electrónicos, con el fin de incentivarlos a participar en este proceso.</v>
      </c>
      <c r="BM16" s="831">
        <f t="shared" ref="BM16:BM18" si="33">+AO16/4</f>
        <v>0</v>
      </c>
      <c r="BN16" s="982">
        <v>1</v>
      </c>
      <c r="BO16" s="981">
        <v>0</v>
      </c>
      <c r="BP16" s="828">
        <f t="shared" si="17"/>
        <v>1</v>
      </c>
      <c r="BQ16" s="828" t="e">
        <f t="shared" si="18"/>
        <v>#DIV/0!</v>
      </c>
      <c r="BR16" s="828">
        <f t="shared" si="19"/>
        <v>1</v>
      </c>
      <c r="BS16" s="828" t="e">
        <f t="shared" si="20"/>
        <v>#DIV/0!</v>
      </c>
      <c r="BT16" s="984" t="s">
        <v>1865</v>
      </c>
      <c r="BU16" s="66">
        <v>0</v>
      </c>
      <c r="BV16" s="827" t="str">
        <f t="shared" si="21"/>
        <v>Sensibilizar a la ciudadanía y partes interesadas sobre la rendición de cuentas y la importancia de su participación en los procesos, a través de medios electrónicos, con el fin de incentivarlos a participar en este proceso.</v>
      </c>
      <c r="BW16" s="831">
        <f t="shared" ref="BW16:BW18" si="34">+AO16/4</f>
        <v>0</v>
      </c>
      <c r="BX16" s="835"/>
      <c r="BY16" s="835"/>
      <c r="BZ16" s="826" t="e">
        <f t="shared" si="22"/>
        <v>#DIV/0!</v>
      </c>
      <c r="CA16" s="826" t="e">
        <f t="shared" si="23"/>
        <v>#DIV/0!</v>
      </c>
      <c r="CB16" s="826">
        <f t="shared" si="24"/>
        <v>1</v>
      </c>
      <c r="CC16" s="826" t="e">
        <f t="shared" si="25"/>
        <v>#DIV/0!</v>
      </c>
      <c r="CD16" s="826"/>
      <c r="CE16" s="640" t="str">
        <f t="shared" si="2"/>
        <v>No Prog ni Ejec</v>
      </c>
      <c r="CF16" s="640" t="str">
        <f t="shared" si="26"/>
        <v>No Prog ni Ejec</v>
      </c>
      <c r="CG16" s="640" t="str">
        <f t="shared" si="3"/>
        <v>No Prog ni Ejec</v>
      </c>
      <c r="CH16" s="640" t="str">
        <f t="shared" si="27"/>
        <v>No Prog ni Ejec</v>
      </c>
      <c r="CI16" s="640">
        <f t="shared" si="4"/>
        <v>1</v>
      </c>
      <c r="CJ16" s="640" t="str">
        <f t="shared" si="28"/>
        <v>No Prog ni Ejec</v>
      </c>
      <c r="CK16" s="640" t="str">
        <f t="shared" si="5"/>
        <v>No Prog ni Ejec</v>
      </c>
      <c r="CL16" s="698" t="str">
        <f t="shared" si="29"/>
        <v>No Prog ni Ejec</v>
      </c>
      <c r="CM16" s="128">
        <f t="shared" si="6"/>
        <v>0</v>
      </c>
      <c r="CR16" s="122">
        <v>1</v>
      </c>
      <c r="CS16" s="122"/>
      <c r="CT16" s="122"/>
      <c r="CU16" s="122"/>
      <c r="CV16" s="122"/>
      <c r="CW16" s="122"/>
      <c r="CX16" s="122"/>
      <c r="CY16" s="122"/>
      <c r="CZ16" s="122"/>
      <c r="DA16" s="122"/>
      <c r="DB16" s="122"/>
      <c r="DC16" s="122"/>
    </row>
    <row r="17" spans="1:101" s="70" customFormat="1" ht="171" customHeight="1" x14ac:dyDescent="0.2">
      <c r="A17" s="834">
        <v>11300</v>
      </c>
      <c r="B17" s="827" t="s">
        <v>1053</v>
      </c>
      <c r="C17" s="827" t="s">
        <v>330</v>
      </c>
      <c r="D17" s="827"/>
      <c r="E17" s="827" t="s">
        <v>1020</v>
      </c>
      <c r="F17" s="827"/>
      <c r="G17" s="827"/>
      <c r="H17" s="827"/>
      <c r="I17" s="827"/>
      <c r="J17" s="827"/>
      <c r="K17" s="827"/>
      <c r="L17" s="827"/>
      <c r="M17" s="827"/>
      <c r="N17" s="827"/>
      <c r="O17" s="827"/>
      <c r="P17" s="827"/>
      <c r="Q17" s="827" t="s">
        <v>204</v>
      </c>
      <c r="R17" s="827" t="s">
        <v>204</v>
      </c>
      <c r="S17" s="835" t="s">
        <v>1054</v>
      </c>
      <c r="T17" s="827" t="s">
        <v>94</v>
      </c>
      <c r="U17" s="827" t="s">
        <v>204</v>
      </c>
      <c r="V17" s="827" t="s">
        <v>204</v>
      </c>
      <c r="W17" s="836" t="s">
        <v>1055</v>
      </c>
      <c r="X17" s="827" t="s">
        <v>561</v>
      </c>
      <c r="Y17" s="838" t="s">
        <v>51</v>
      </c>
      <c r="Z17" s="826">
        <v>1</v>
      </c>
      <c r="AA17" s="836" t="s">
        <v>1056</v>
      </c>
      <c r="AB17" s="827" t="s">
        <v>1035</v>
      </c>
      <c r="AC17" s="831">
        <v>0</v>
      </c>
      <c r="AD17" s="832">
        <v>1</v>
      </c>
      <c r="AE17" s="827" t="s">
        <v>17</v>
      </c>
      <c r="AF17" s="827" t="s">
        <v>295</v>
      </c>
      <c r="AG17" s="827" t="s">
        <v>631</v>
      </c>
      <c r="AH17" s="827" t="s">
        <v>634</v>
      </c>
      <c r="AI17" s="827" t="s">
        <v>1042</v>
      </c>
      <c r="AJ17" s="827" t="s">
        <v>1282</v>
      </c>
      <c r="AK17" s="827" t="s">
        <v>560</v>
      </c>
      <c r="AL17" s="827" t="s">
        <v>204</v>
      </c>
      <c r="AM17" s="832">
        <v>1</v>
      </c>
      <c r="AN17" s="827" t="str">
        <f t="shared" si="7"/>
        <v>Implementar el SARL, SARC y SARM con los lineamientos establecidos en la Circular 006 de 2018</v>
      </c>
      <c r="AO17" s="833">
        <f t="shared" si="8"/>
        <v>0</v>
      </c>
      <c r="AP17" s="860" t="s">
        <v>48</v>
      </c>
      <c r="AQ17" s="832">
        <v>0</v>
      </c>
      <c r="AR17" s="827" t="str">
        <f t="shared" si="9"/>
        <v>Implementar el SARL, SARC y SARM con los lineamientos establecidos en la Circular 006 de 2018</v>
      </c>
      <c r="AS17" s="831">
        <f t="shared" si="31"/>
        <v>0</v>
      </c>
      <c r="AT17" s="473">
        <f>1*AQ17</f>
        <v>0</v>
      </c>
      <c r="AU17" s="864">
        <v>0</v>
      </c>
      <c r="AV17" s="828" t="e">
        <f t="shared" si="0"/>
        <v>#DIV/0!</v>
      </c>
      <c r="AW17" s="828" t="e">
        <f t="shared" si="10"/>
        <v>#DIV/0!</v>
      </c>
      <c r="AX17" s="828">
        <f t="shared" si="1"/>
        <v>0</v>
      </c>
      <c r="AY17" s="828" t="e">
        <f t="shared" si="11"/>
        <v>#DIV/0!</v>
      </c>
      <c r="AZ17" s="472" t="s">
        <v>1348</v>
      </c>
      <c r="BA17" s="832">
        <v>0</v>
      </c>
      <c r="BB17" s="827" t="str">
        <f t="shared" si="12"/>
        <v>Implementar el SARL, SARC y SARM con los lineamientos establecidos en la Circular 006 de 2018</v>
      </c>
      <c r="BC17" s="831">
        <f t="shared" si="32"/>
        <v>0</v>
      </c>
      <c r="BD17" s="848">
        <v>0</v>
      </c>
      <c r="BE17" s="864">
        <v>0</v>
      </c>
      <c r="BF17" s="828" t="e">
        <f t="shared" si="13"/>
        <v>#DIV/0!</v>
      </c>
      <c r="BG17" s="828" t="e">
        <f t="shared" si="14"/>
        <v>#DIV/0!</v>
      </c>
      <c r="BH17" s="828">
        <f t="shared" si="15"/>
        <v>0</v>
      </c>
      <c r="BI17" s="828" t="e">
        <f t="shared" si="16"/>
        <v>#DIV/0!</v>
      </c>
      <c r="BJ17" s="829" t="s">
        <v>1672</v>
      </c>
      <c r="BK17" s="826">
        <v>0.5</v>
      </c>
      <c r="BL17" s="827" t="str">
        <f t="shared" si="30"/>
        <v>Implementar el SARL, SARC y SARM con los lineamientos establecidos en la Circular 006 de 2018</v>
      </c>
      <c r="BM17" s="831">
        <f t="shared" si="33"/>
        <v>0</v>
      </c>
      <c r="BN17" s="974">
        <f>(2/2)*BK17</f>
        <v>0.5</v>
      </c>
      <c r="BO17" s="979">
        <f>+AQ17/4</f>
        <v>0</v>
      </c>
      <c r="BP17" s="828">
        <f t="shared" si="17"/>
        <v>1</v>
      </c>
      <c r="BQ17" s="828" t="e">
        <f t="shared" si="18"/>
        <v>#DIV/0!</v>
      </c>
      <c r="BR17" s="828">
        <f t="shared" si="19"/>
        <v>0.5</v>
      </c>
      <c r="BS17" s="828" t="e">
        <f t="shared" si="20"/>
        <v>#DIV/0!</v>
      </c>
      <c r="BT17" s="476" t="s">
        <v>1853</v>
      </c>
      <c r="BU17" s="826">
        <v>0.5</v>
      </c>
      <c r="BV17" s="827" t="str">
        <f t="shared" si="21"/>
        <v>Implementar el SARL, SARC y SARM con los lineamientos establecidos en la Circular 006 de 2018</v>
      </c>
      <c r="BW17" s="831">
        <f t="shared" si="34"/>
        <v>0</v>
      </c>
      <c r="BX17" s="835"/>
      <c r="BY17" s="835"/>
      <c r="BZ17" s="826">
        <f t="shared" si="22"/>
        <v>0</v>
      </c>
      <c r="CA17" s="826" t="e">
        <f t="shared" si="23"/>
        <v>#DIV/0!</v>
      </c>
      <c r="CB17" s="826">
        <f t="shared" si="24"/>
        <v>0.5</v>
      </c>
      <c r="CC17" s="826" t="e">
        <f t="shared" si="25"/>
        <v>#DIV/0!</v>
      </c>
      <c r="CD17" s="826"/>
      <c r="CE17" s="640" t="str">
        <f t="shared" si="2"/>
        <v>No Prog ni Ejec</v>
      </c>
      <c r="CF17" s="640" t="str">
        <f t="shared" si="26"/>
        <v>No Prog ni Ejec</v>
      </c>
      <c r="CG17" s="640" t="str">
        <f t="shared" si="3"/>
        <v>No Prog ni Ejec</v>
      </c>
      <c r="CH17" s="640" t="str">
        <f t="shared" si="27"/>
        <v>No Prog ni Ejec</v>
      </c>
      <c r="CI17" s="640">
        <f t="shared" si="4"/>
        <v>1</v>
      </c>
      <c r="CJ17" s="640" t="str">
        <f t="shared" si="28"/>
        <v>No Prog ni Ejec</v>
      </c>
      <c r="CK17" s="640">
        <f t="shared" si="5"/>
        <v>0</v>
      </c>
      <c r="CL17" s="698" t="str">
        <f t="shared" si="29"/>
        <v>No Prog ni Ejec</v>
      </c>
      <c r="CM17" s="128">
        <f t="shared" si="6"/>
        <v>0</v>
      </c>
      <c r="CW17" s="122">
        <v>6</v>
      </c>
    </row>
    <row r="18" spans="1:101" s="70" customFormat="1" ht="129.75" customHeight="1" x14ac:dyDescent="0.2">
      <c r="A18" s="834">
        <v>11300</v>
      </c>
      <c r="B18" s="827" t="s">
        <v>2</v>
      </c>
      <c r="C18" s="827" t="s">
        <v>336</v>
      </c>
      <c r="D18" s="827" t="s">
        <v>1020</v>
      </c>
      <c r="E18" s="827"/>
      <c r="F18" s="827"/>
      <c r="G18" s="827"/>
      <c r="H18" s="827"/>
      <c r="I18" s="827"/>
      <c r="J18" s="827"/>
      <c r="K18" s="827"/>
      <c r="L18" s="827"/>
      <c r="M18" s="827"/>
      <c r="N18" s="827"/>
      <c r="O18" s="827"/>
      <c r="P18" s="827"/>
      <c r="Q18" s="827" t="s">
        <v>1126</v>
      </c>
      <c r="R18" s="827" t="s">
        <v>1132</v>
      </c>
      <c r="S18" s="835" t="s">
        <v>63</v>
      </c>
      <c r="T18" s="827" t="s">
        <v>94</v>
      </c>
      <c r="U18" s="827" t="s">
        <v>204</v>
      </c>
      <c r="V18" s="827" t="s">
        <v>204</v>
      </c>
      <c r="W18" s="835" t="s">
        <v>155</v>
      </c>
      <c r="X18" s="827" t="s">
        <v>1058</v>
      </c>
      <c r="Y18" s="838" t="s">
        <v>391</v>
      </c>
      <c r="Z18" s="66">
        <v>3</v>
      </c>
      <c r="AA18" s="835" t="s">
        <v>154</v>
      </c>
      <c r="AB18" s="827" t="s">
        <v>1057</v>
      </c>
      <c r="AC18" s="831">
        <v>0</v>
      </c>
      <c r="AD18" s="832">
        <v>1</v>
      </c>
      <c r="AE18" s="827" t="s">
        <v>17</v>
      </c>
      <c r="AF18" s="827" t="s">
        <v>295</v>
      </c>
      <c r="AG18" s="827" t="s">
        <v>204</v>
      </c>
      <c r="AH18" s="827" t="s">
        <v>635</v>
      </c>
      <c r="AI18" s="827" t="s">
        <v>1048</v>
      </c>
      <c r="AJ18" s="827" t="s">
        <v>1277</v>
      </c>
      <c r="AK18" s="827" t="s">
        <v>1059</v>
      </c>
      <c r="AL18" s="827" t="s">
        <v>204</v>
      </c>
      <c r="AM18" s="67">
        <v>3</v>
      </c>
      <c r="AN18" s="827" t="str">
        <f t="shared" si="7"/>
        <v>Realizar reuniones de autocontrol y seguimiento a los procesos que evidencien el monitoreo a los riesgos, indicadores, planes de mejoramiento, manuales y documentos asociados</v>
      </c>
      <c r="AO18" s="833">
        <f t="shared" si="8"/>
        <v>0</v>
      </c>
      <c r="AP18" s="860" t="s">
        <v>48</v>
      </c>
      <c r="AQ18" s="67">
        <v>0</v>
      </c>
      <c r="AR18" s="827" t="str">
        <f t="shared" si="9"/>
        <v>Realizar reuniones de autocontrol y seguimiento a los procesos que evidencien el monitoreo a los riesgos, indicadores, planes de mejoramiento, manuales y documentos asociados</v>
      </c>
      <c r="AS18" s="831">
        <f t="shared" si="31"/>
        <v>0</v>
      </c>
      <c r="AT18" s="852">
        <v>0</v>
      </c>
      <c r="AU18" s="864">
        <v>0</v>
      </c>
      <c r="AV18" s="828" t="e">
        <f t="shared" si="0"/>
        <v>#DIV/0!</v>
      </c>
      <c r="AW18" s="828" t="e">
        <f t="shared" si="10"/>
        <v>#DIV/0!</v>
      </c>
      <c r="AX18" s="828">
        <f t="shared" si="1"/>
        <v>0</v>
      </c>
      <c r="AY18" s="828" t="e">
        <f t="shared" si="11"/>
        <v>#DIV/0!</v>
      </c>
      <c r="AZ18" s="472" t="s">
        <v>1332</v>
      </c>
      <c r="BA18" s="67">
        <v>1</v>
      </c>
      <c r="BB18" s="827" t="str">
        <f t="shared" si="12"/>
        <v>Realizar reuniones de autocontrol y seguimiento a los procesos que evidencien el monitoreo a los riesgos, indicadores, planes de mejoramiento, manuales y documentos asociados</v>
      </c>
      <c r="BC18" s="831">
        <f t="shared" si="32"/>
        <v>0</v>
      </c>
      <c r="BD18" s="852">
        <v>1</v>
      </c>
      <c r="BE18" s="864">
        <v>0</v>
      </c>
      <c r="BF18" s="828">
        <f t="shared" si="13"/>
        <v>1</v>
      </c>
      <c r="BG18" s="828" t="e">
        <f t="shared" si="14"/>
        <v>#DIV/0!</v>
      </c>
      <c r="BH18" s="828">
        <f t="shared" si="15"/>
        <v>0.33333333333333331</v>
      </c>
      <c r="BI18" s="828" t="e">
        <f t="shared" si="16"/>
        <v>#DIV/0!</v>
      </c>
      <c r="BJ18" s="829" t="s">
        <v>1673</v>
      </c>
      <c r="BK18" s="67">
        <v>1</v>
      </c>
      <c r="BL18" s="827" t="str">
        <f t="shared" si="30"/>
        <v>Realizar reuniones de autocontrol y seguimiento a los procesos que evidencien el monitoreo a los riesgos, indicadores, planes de mejoramiento, manuales y documentos asociados</v>
      </c>
      <c r="BM18" s="831">
        <f t="shared" si="33"/>
        <v>0</v>
      </c>
      <c r="BN18" s="976">
        <v>1</v>
      </c>
      <c r="BO18" s="975">
        <f t="shared" ref="BO18" si="35">+AQ18/4</f>
        <v>0</v>
      </c>
      <c r="BP18" s="828">
        <f t="shared" si="17"/>
        <v>1</v>
      </c>
      <c r="BQ18" s="828" t="e">
        <f t="shared" si="18"/>
        <v>#DIV/0!</v>
      </c>
      <c r="BR18" s="828">
        <f t="shared" si="19"/>
        <v>0.66666666666666663</v>
      </c>
      <c r="BS18" s="828" t="e">
        <f t="shared" si="20"/>
        <v>#DIV/0!</v>
      </c>
      <c r="BT18" s="466" t="s">
        <v>1673</v>
      </c>
      <c r="BU18" s="67">
        <v>1</v>
      </c>
      <c r="BV18" s="827" t="str">
        <f t="shared" si="21"/>
        <v>Realizar reuniones de autocontrol y seguimiento a los procesos que evidencien el monitoreo a los riesgos, indicadores, planes de mejoramiento, manuales y documentos asociados</v>
      </c>
      <c r="BW18" s="831">
        <f t="shared" si="34"/>
        <v>0</v>
      </c>
      <c r="BX18" s="835"/>
      <c r="BY18" s="835"/>
      <c r="BZ18" s="826">
        <f t="shared" si="22"/>
        <v>0</v>
      </c>
      <c r="CA18" s="826" t="e">
        <f t="shared" si="23"/>
        <v>#DIV/0!</v>
      </c>
      <c r="CB18" s="826">
        <f t="shared" si="24"/>
        <v>0.66666666666666663</v>
      </c>
      <c r="CC18" s="826" t="e">
        <f t="shared" si="25"/>
        <v>#DIV/0!</v>
      </c>
      <c r="CD18" s="826"/>
      <c r="CE18" s="640" t="str">
        <f t="shared" si="2"/>
        <v>No Prog ni Ejec</v>
      </c>
      <c r="CF18" s="640" t="str">
        <f t="shared" si="26"/>
        <v>No Prog ni Ejec</v>
      </c>
      <c r="CG18" s="640">
        <f t="shared" si="3"/>
        <v>1</v>
      </c>
      <c r="CH18" s="640" t="str">
        <f t="shared" si="27"/>
        <v>No Prog ni Ejec</v>
      </c>
      <c r="CI18" s="640">
        <f t="shared" si="4"/>
        <v>1</v>
      </c>
      <c r="CJ18" s="640" t="str">
        <f t="shared" si="28"/>
        <v>No Prog ni Ejec</v>
      </c>
      <c r="CK18" s="640">
        <f t="shared" si="5"/>
        <v>0</v>
      </c>
      <c r="CL18" s="698" t="str">
        <f t="shared" si="29"/>
        <v>No Prog ni Ejec</v>
      </c>
      <c r="CM18" s="128">
        <f t="shared" si="6"/>
        <v>0</v>
      </c>
      <c r="CW18" s="122"/>
    </row>
    <row r="19" spans="1:101" s="70" customFormat="1" ht="90" customHeight="1" x14ac:dyDescent="0.2">
      <c r="A19" s="834">
        <v>12000</v>
      </c>
      <c r="B19" s="827" t="s">
        <v>15</v>
      </c>
      <c r="C19" s="827" t="s">
        <v>336</v>
      </c>
      <c r="D19" s="845" t="s">
        <v>1020</v>
      </c>
      <c r="E19" s="827" t="s">
        <v>1020</v>
      </c>
      <c r="F19" s="827"/>
      <c r="G19" s="827"/>
      <c r="H19" s="827"/>
      <c r="I19" s="827"/>
      <c r="J19" s="827"/>
      <c r="K19" s="827"/>
      <c r="L19" s="827"/>
      <c r="M19" s="827"/>
      <c r="N19" s="827"/>
      <c r="O19" s="827"/>
      <c r="P19" s="827"/>
      <c r="Q19" s="827" t="s">
        <v>1726</v>
      </c>
      <c r="R19" s="827" t="s">
        <v>204</v>
      </c>
      <c r="S19" s="835" t="s">
        <v>53</v>
      </c>
      <c r="T19" s="827" t="s">
        <v>94</v>
      </c>
      <c r="U19" s="827" t="s">
        <v>204</v>
      </c>
      <c r="V19" s="827" t="s">
        <v>204</v>
      </c>
      <c r="W19" s="835" t="s">
        <v>58</v>
      </c>
      <c r="X19" s="827" t="s">
        <v>559</v>
      </c>
      <c r="Y19" s="838" t="s">
        <v>51</v>
      </c>
      <c r="Z19" s="826">
        <v>1</v>
      </c>
      <c r="AA19" s="835" t="s">
        <v>54</v>
      </c>
      <c r="AB19" s="827" t="s">
        <v>558</v>
      </c>
      <c r="AC19" s="833">
        <v>24000000</v>
      </c>
      <c r="AD19" s="832">
        <v>1</v>
      </c>
      <c r="AE19" s="827" t="s">
        <v>17</v>
      </c>
      <c r="AF19" s="827" t="s">
        <v>295</v>
      </c>
      <c r="AG19" s="827" t="s">
        <v>204</v>
      </c>
      <c r="AH19" s="827" t="s">
        <v>635</v>
      </c>
      <c r="AI19" s="827" t="s">
        <v>1042</v>
      </c>
      <c r="AJ19" s="827" t="s">
        <v>1282</v>
      </c>
      <c r="AK19" s="827" t="s">
        <v>560</v>
      </c>
      <c r="AL19" s="827" t="s">
        <v>204</v>
      </c>
      <c r="AM19" s="832">
        <v>1</v>
      </c>
      <c r="AN19" s="827" t="str">
        <f t="shared" si="7"/>
        <v>Implementar el SARLAFT</v>
      </c>
      <c r="AO19" s="833">
        <f t="shared" si="8"/>
        <v>24000000</v>
      </c>
      <c r="AP19" s="860" t="s">
        <v>48</v>
      </c>
      <c r="AQ19" s="826">
        <v>0.45</v>
      </c>
      <c r="AR19" s="827" t="str">
        <f t="shared" si="9"/>
        <v>Implementar el SARLAFT</v>
      </c>
      <c r="AS19" s="831">
        <v>0</v>
      </c>
      <c r="AT19" s="851">
        <f>(4/20)</f>
        <v>0.2</v>
      </c>
      <c r="AU19" s="841">
        <v>0</v>
      </c>
      <c r="AV19" s="828">
        <f t="shared" si="0"/>
        <v>0.44444444444444448</v>
      </c>
      <c r="AW19" s="828" t="e">
        <f t="shared" si="10"/>
        <v>#DIV/0!</v>
      </c>
      <c r="AX19" s="828">
        <f t="shared" si="1"/>
        <v>0.2</v>
      </c>
      <c r="AY19" s="828">
        <f t="shared" si="11"/>
        <v>0</v>
      </c>
      <c r="AZ19" s="827" t="s">
        <v>1738</v>
      </c>
      <c r="BA19" s="826">
        <v>0.2</v>
      </c>
      <c r="BB19" s="827" t="str">
        <f t="shared" si="12"/>
        <v>Implementar el SARLAFT</v>
      </c>
      <c r="BC19" s="831">
        <v>0</v>
      </c>
      <c r="BD19" s="851">
        <f>5/20</f>
        <v>0.25</v>
      </c>
      <c r="BE19" s="831">
        <v>0</v>
      </c>
      <c r="BF19" s="828">
        <f t="shared" si="13"/>
        <v>1.25</v>
      </c>
      <c r="BG19" s="828" t="e">
        <f>+(BE19/BC19)</f>
        <v>#DIV/0!</v>
      </c>
      <c r="BH19" s="828">
        <f t="shared" si="15"/>
        <v>0.45</v>
      </c>
      <c r="BI19" s="828">
        <f t="shared" si="16"/>
        <v>0</v>
      </c>
      <c r="BJ19" s="829" t="s">
        <v>1739</v>
      </c>
      <c r="BK19" s="826">
        <v>0.35</v>
      </c>
      <c r="BL19" s="827" t="str">
        <f t="shared" si="30"/>
        <v>Implementar el SARLAFT</v>
      </c>
      <c r="BM19" s="831">
        <v>12000000</v>
      </c>
      <c r="BN19" s="963">
        <f>(11.28/27)</f>
        <v>0.41777777777777775</v>
      </c>
      <c r="BO19" s="962">
        <v>12000000</v>
      </c>
      <c r="BP19" s="828">
        <f t="shared" si="17"/>
        <v>1.1936507936507936</v>
      </c>
      <c r="BQ19" s="828">
        <f t="shared" si="18"/>
        <v>1</v>
      </c>
      <c r="BR19" s="828">
        <f t="shared" si="19"/>
        <v>0.86777777777777776</v>
      </c>
      <c r="BS19" s="828">
        <f t="shared" si="20"/>
        <v>0.5</v>
      </c>
      <c r="BT19" s="961" t="s">
        <v>1830</v>
      </c>
      <c r="BU19" s="826">
        <v>0</v>
      </c>
      <c r="BV19" s="827" t="str">
        <f t="shared" si="21"/>
        <v>Implementar el SARLAFT</v>
      </c>
      <c r="BW19" s="831">
        <v>12000000</v>
      </c>
      <c r="BX19" s="835"/>
      <c r="BY19" s="835"/>
      <c r="BZ19" s="826" t="e">
        <f t="shared" si="22"/>
        <v>#DIV/0!</v>
      </c>
      <c r="CA19" s="826">
        <f t="shared" si="23"/>
        <v>0</v>
      </c>
      <c r="CB19" s="826">
        <f t="shared" si="24"/>
        <v>0.86777777777777776</v>
      </c>
      <c r="CC19" s="826">
        <f t="shared" si="25"/>
        <v>0.5</v>
      </c>
      <c r="CD19" s="826"/>
      <c r="CE19" s="640">
        <f t="shared" si="2"/>
        <v>0.44444444444444448</v>
      </c>
      <c r="CF19" s="640" t="str">
        <f t="shared" si="26"/>
        <v>No Prog ni Ejec</v>
      </c>
      <c r="CG19" s="640">
        <f t="shared" si="3"/>
        <v>1.25</v>
      </c>
      <c r="CH19" s="640" t="str">
        <f t="shared" si="27"/>
        <v>No Prog ni Ejec</v>
      </c>
      <c r="CI19" s="640">
        <f t="shared" si="4"/>
        <v>1.1936507936507936</v>
      </c>
      <c r="CJ19" s="640">
        <f t="shared" si="28"/>
        <v>1</v>
      </c>
      <c r="CK19" s="640" t="str">
        <f t="shared" si="5"/>
        <v>No Prog ni Ejec</v>
      </c>
      <c r="CL19" s="698">
        <f t="shared" si="29"/>
        <v>0</v>
      </c>
      <c r="CM19" s="128">
        <f t="shared" si="6"/>
        <v>0</v>
      </c>
      <c r="CW19" s="122">
        <v>6</v>
      </c>
    </row>
    <row r="20" spans="1:101" s="70" customFormat="1" ht="204.75" customHeight="1" x14ac:dyDescent="0.2">
      <c r="A20" s="834">
        <v>12000</v>
      </c>
      <c r="B20" s="827" t="s">
        <v>15</v>
      </c>
      <c r="C20" s="827" t="s">
        <v>330</v>
      </c>
      <c r="D20" s="827"/>
      <c r="E20" s="827" t="s">
        <v>1020</v>
      </c>
      <c r="F20" s="827"/>
      <c r="G20" s="827"/>
      <c r="H20" s="827"/>
      <c r="I20" s="827"/>
      <c r="J20" s="827"/>
      <c r="K20" s="827"/>
      <c r="L20" s="827"/>
      <c r="M20" s="827"/>
      <c r="N20" s="827"/>
      <c r="O20" s="827"/>
      <c r="P20" s="827"/>
      <c r="Q20" s="827" t="s">
        <v>204</v>
      </c>
      <c r="R20" s="827" t="s">
        <v>204</v>
      </c>
      <c r="S20" s="835" t="s">
        <v>53</v>
      </c>
      <c r="T20" s="827" t="s">
        <v>94</v>
      </c>
      <c r="U20" s="827" t="s">
        <v>204</v>
      </c>
      <c r="V20" s="827" t="s">
        <v>204</v>
      </c>
      <c r="W20" s="835" t="s">
        <v>1060</v>
      </c>
      <c r="X20" s="827" t="s">
        <v>563</v>
      </c>
      <c r="Y20" s="838" t="s">
        <v>51</v>
      </c>
      <c r="Z20" s="826">
        <v>1</v>
      </c>
      <c r="AA20" s="835" t="s">
        <v>882</v>
      </c>
      <c r="AB20" s="827" t="s">
        <v>562</v>
      </c>
      <c r="AC20" s="833">
        <v>24000000</v>
      </c>
      <c r="AD20" s="832">
        <v>1</v>
      </c>
      <c r="AE20" s="827" t="s">
        <v>20</v>
      </c>
      <c r="AF20" s="827" t="s">
        <v>22</v>
      </c>
      <c r="AG20" s="827" t="s">
        <v>204</v>
      </c>
      <c r="AH20" s="827" t="s">
        <v>635</v>
      </c>
      <c r="AI20" s="827" t="s">
        <v>1048</v>
      </c>
      <c r="AJ20" s="827" t="s">
        <v>1282</v>
      </c>
      <c r="AK20" s="827" t="s">
        <v>560</v>
      </c>
      <c r="AL20" s="827" t="s">
        <v>204</v>
      </c>
      <c r="AM20" s="832">
        <v>1</v>
      </c>
      <c r="AN20" s="827" t="str">
        <f t="shared" si="7"/>
        <v>Apoyar la definición e implementación del Plan de Continuidad del Negocio</v>
      </c>
      <c r="AO20" s="833">
        <f t="shared" si="8"/>
        <v>24000000</v>
      </c>
      <c r="AP20" s="860" t="s">
        <v>48</v>
      </c>
      <c r="AQ20" s="826">
        <v>0.45</v>
      </c>
      <c r="AR20" s="827" t="str">
        <f t="shared" si="9"/>
        <v>Apoyar la definición e implementación del Plan de Continuidad del Negocio</v>
      </c>
      <c r="AS20" s="831">
        <v>0</v>
      </c>
      <c r="AT20" s="848">
        <v>0</v>
      </c>
      <c r="AU20" s="841">
        <v>0</v>
      </c>
      <c r="AV20" s="828">
        <f t="shared" si="0"/>
        <v>0</v>
      </c>
      <c r="AW20" s="828" t="e">
        <f t="shared" si="10"/>
        <v>#DIV/0!</v>
      </c>
      <c r="AX20" s="828">
        <f t="shared" si="1"/>
        <v>0</v>
      </c>
      <c r="AY20" s="828">
        <f t="shared" si="11"/>
        <v>0</v>
      </c>
      <c r="AZ20" s="830"/>
      <c r="BA20" s="826">
        <v>0.2</v>
      </c>
      <c r="BB20" s="827" t="str">
        <f t="shared" si="12"/>
        <v>Apoyar la definición e implementación del Plan de Continuidad del Negocio</v>
      </c>
      <c r="BC20" s="831">
        <v>0</v>
      </c>
      <c r="BD20" s="848">
        <f>8/14</f>
        <v>0.5714285714285714</v>
      </c>
      <c r="BE20" s="831">
        <v>0</v>
      </c>
      <c r="BF20" s="828">
        <f t="shared" si="13"/>
        <v>2.8571428571428568</v>
      </c>
      <c r="BG20" s="828" t="e">
        <f t="shared" si="14"/>
        <v>#DIV/0!</v>
      </c>
      <c r="BH20" s="828">
        <f t="shared" si="15"/>
        <v>0.5714285714285714</v>
      </c>
      <c r="BI20" s="828">
        <f t="shared" si="16"/>
        <v>0</v>
      </c>
      <c r="BJ20" s="829" t="s">
        <v>1683</v>
      </c>
      <c r="BK20" s="826">
        <v>0.35</v>
      </c>
      <c r="BL20" s="827" t="str">
        <f t="shared" si="30"/>
        <v>Apoyar la definición e implementación del Plan de Continuidad del Negocio</v>
      </c>
      <c r="BM20" s="831">
        <v>12000000</v>
      </c>
      <c r="BN20" s="963">
        <v>0.42857142857142855</v>
      </c>
      <c r="BO20" s="962">
        <v>12000000</v>
      </c>
      <c r="BP20" s="828">
        <f t="shared" si="17"/>
        <v>1.2244897959183674</v>
      </c>
      <c r="BQ20" s="828">
        <f t="shared" si="18"/>
        <v>1</v>
      </c>
      <c r="BR20" s="828">
        <f t="shared" si="19"/>
        <v>1</v>
      </c>
      <c r="BS20" s="828">
        <f t="shared" si="20"/>
        <v>0.5</v>
      </c>
      <c r="BT20" s="960" t="s">
        <v>1831</v>
      </c>
      <c r="BU20" s="826">
        <v>0</v>
      </c>
      <c r="BV20" s="827" t="str">
        <f t="shared" si="21"/>
        <v>Apoyar la definición e implementación del Plan de Continuidad del Negocio</v>
      </c>
      <c r="BW20" s="831">
        <v>12000000</v>
      </c>
      <c r="BX20" s="835"/>
      <c r="BY20" s="835"/>
      <c r="BZ20" s="826" t="e">
        <f t="shared" si="22"/>
        <v>#DIV/0!</v>
      </c>
      <c r="CA20" s="826">
        <f t="shared" si="23"/>
        <v>0</v>
      </c>
      <c r="CB20" s="826">
        <f t="shared" si="24"/>
        <v>1</v>
      </c>
      <c r="CC20" s="826">
        <f t="shared" si="25"/>
        <v>0.5</v>
      </c>
      <c r="CD20" s="826"/>
      <c r="CE20" s="640">
        <f t="shared" si="2"/>
        <v>0</v>
      </c>
      <c r="CF20" s="640" t="str">
        <f t="shared" si="26"/>
        <v>No Prog ni Ejec</v>
      </c>
      <c r="CG20" s="640">
        <f t="shared" si="3"/>
        <v>2.8571428571428568</v>
      </c>
      <c r="CH20" s="640" t="str">
        <f t="shared" si="27"/>
        <v>No Prog ni Ejec</v>
      </c>
      <c r="CI20" s="640">
        <f t="shared" si="4"/>
        <v>1.2244897959183674</v>
      </c>
      <c r="CJ20" s="640">
        <f t="shared" si="28"/>
        <v>1</v>
      </c>
      <c r="CK20" s="640" t="str">
        <f t="shared" si="5"/>
        <v>No Prog ni Ejec</v>
      </c>
      <c r="CL20" s="698">
        <f t="shared" si="29"/>
        <v>0</v>
      </c>
      <c r="CM20" s="128">
        <f t="shared" si="6"/>
        <v>0</v>
      </c>
      <c r="CW20" s="122">
        <v>6</v>
      </c>
    </row>
    <row r="21" spans="1:101" s="70" customFormat="1" ht="192.75" customHeight="1" x14ac:dyDescent="0.2">
      <c r="A21" s="834">
        <v>12000</v>
      </c>
      <c r="B21" s="827" t="s">
        <v>15</v>
      </c>
      <c r="C21" s="827" t="s">
        <v>330</v>
      </c>
      <c r="D21" s="827"/>
      <c r="E21" s="827" t="s">
        <v>1020</v>
      </c>
      <c r="F21" s="827"/>
      <c r="G21" s="827"/>
      <c r="H21" s="827"/>
      <c r="I21" s="827"/>
      <c r="J21" s="827"/>
      <c r="K21" s="827"/>
      <c r="L21" s="827"/>
      <c r="M21" s="827"/>
      <c r="N21" s="827"/>
      <c r="O21" s="827"/>
      <c r="P21" s="827"/>
      <c r="Q21" s="827" t="s">
        <v>204</v>
      </c>
      <c r="R21" s="827" t="s">
        <v>204</v>
      </c>
      <c r="S21" s="835" t="s">
        <v>53</v>
      </c>
      <c r="T21" s="827" t="s">
        <v>94</v>
      </c>
      <c r="U21" s="827" t="s">
        <v>204</v>
      </c>
      <c r="V21" s="827" t="s">
        <v>204</v>
      </c>
      <c r="W21" s="835" t="s">
        <v>885</v>
      </c>
      <c r="X21" s="827" t="s">
        <v>555</v>
      </c>
      <c r="Y21" s="838" t="s">
        <v>391</v>
      </c>
      <c r="Z21" s="66">
        <v>1</v>
      </c>
      <c r="AA21" s="835" t="s">
        <v>883</v>
      </c>
      <c r="AB21" s="827" t="s">
        <v>557</v>
      </c>
      <c r="AC21" s="833">
        <v>50000000</v>
      </c>
      <c r="AD21" s="832">
        <v>1</v>
      </c>
      <c r="AE21" s="827" t="s">
        <v>20</v>
      </c>
      <c r="AF21" s="827" t="s">
        <v>22</v>
      </c>
      <c r="AG21" s="827" t="s">
        <v>204</v>
      </c>
      <c r="AH21" s="827" t="s">
        <v>635</v>
      </c>
      <c r="AI21" s="827" t="s">
        <v>29</v>
      </c>
      <c r="AJ21" s="827" t="s">
        <v>1283</v>
      </c>
      <c r="AK21" s="827" t="s">
        <v>556</v>
      </c>
      <c r="AL21" s="827" t="s">
        <v>204</v>
      </c>
      <c r="AM21" s="832">
        <v>0.01</v>
      </c>
      <c r="AN21" s="827" t="str">
        <f t="shared" si="7"/>
        <v>Formular un plan estratégico cuatrienal de acuerdo con el Plan Nacional de Desarrollo vigente</v>
      </c>
      <c r="AO21" s="833">
        <f t="shared" si="8"/>
        <v>50000000</v>
      </c>
      <c r="AP21" s="860" t="s">
        <v>48</v>
      </c>
      <c r="AQ21" s="66">
        <v>0</v>
      </c>
      <c r="AR21" s="827" t="str">
        <f t="shared" si="9"/>
        <v>Formular un plan estratégico cuatrienal de acuerdo con el Plan Nacional de Desarrollo vigente</v>
      </c>
      <c r="AS21" s="831">
        <v>0</v>
      </c>
      <c r="AT21" s="838">
        <v>0</v>
      </c>
      <c r="AU21" s="841">
        <v>0</v>
      </c>
      <c r="AV21" s="828" t="e">
        <f t="shared" si="0"/>
        <v>#DIV/0!</v>
      </c>
      <c r="AW21" s="828" t="e">
        <f t="shared" si="10"/>
        <v>#DIV/0!</v>
      </c>
      <c r="AX21" s="828">
        <f t="shared" si="1"/>
        <v>0</v>
      </c>
      <c r="AY21" s="828">
        <f t="shared" si="11"/>
        <v>0</v>
      </c>
      <c r="AZ21" s="827" t="s">
        <v>1372</v>
      </c>
      <c r="BA21" s="66">
        <v>0</v>
      </c>
      <c r="BB21" s="827" t="str">
        <f t="shared" si="12"/>
        <v>Formular un plan estratégico cuatrienal de acuerdo con el Plan Nacional de Desarrollo vigente</v>
      </c>
      <c r="BC21" s="831">
        <v>0</v>
      </c>
      <c r="BD21" s="838">
        <v>0</v>
      </c>
      <c r="BE21" s="831">
        <v>0</v>
      </c>
      <c r="BF21" s="828" t="e">
        <f t="shared" si="13"/>
        <v>#DIV/0!</v>
      </c>
      <c r="BG21" s="828" t="e">
        <f t="shared" si="14"/>
        <v>#DIV/0!</v>
      </c>
      <c r="BH21" s="828">
        <f t="shared" si="15"/>
        <v>0</v>
      </c>
      <c r="BI21" s="828">
        <f t="shared" si="16"/>
        <v>0</v>
      </c>
      <c r="BJ21" s="830"/>
      <c r="BK21" s="66">
        <v>0</v>
      </c>
      <c r="BL21" s="827" t="str">
        <f t="shared" si="30"/>
        <v>Formular un plan estratégico cuatrienal de acuerdo con el Plan Nacional de Desarrollo vigente</v>
      </c>
      <c r="BM21" s="831">
        <v>30000000</v>
      </c>
      <c r="BN21" s="835">
        <v>0</v>
      </c>
      <c r="BO21" s="962">
        <f>8666667+10000000</f>
        <v>18666667</v>
      </c>
      <c r="BP21" s="828" t="e">
        <f t="shared" si="17"/>
        <v>#DIV/0!</v>
      </c>
      <c r="BQ21" s="828">
        <f t="shared" si="18"/>
        <v>0.62222223333333337</v>
      </c>
      <c r="BR21" s="828">
        <f t="shared" si="19"/>
        <v>0</v>
      </c>
      <c r="BS21" s="828">
        <f t="shared" si="20"/>
        <v>0.37333334000000001</v>
      </c>
      <c r="BT21" s="961" t="s">
        <v>1840</v>
      </c>
      <c r="BU21" s="66">
        <v>1</v>
      </c>
      <c r="BV21" s="827" t="str">
        <f t="shared" si="21"/>
        <v>Formular un plan estratégico cuatrienal de acuerdo con el Plan Nacional de Desarrollo vigente</v>
      </c>
      <c r="BW21" s="831">
        <v>20000000</v>
      </c>
      <c r="BX21" s="835"/>
      <c r="BY21" s="835"/>
      <c r="BZ21" s="826">
        <f t="shared" si="22"/>
        <v>0</v>
      </c>
      <c r="CA21" s="826">
        <f t="shared" si="23"/>
        <v>0</v>
      </c>
      <c r="CB21" s="826">
        <f t="shared" si="24"/>
        <v>0</v>
      </c>
      <c r="CC21" s="826">
        <f t="shared" si="25"/>
        <v>0.37333334000000001</v>
      </c>
      <c r="CD21" s="826"/>
      <c r="CE21" s="640" t="str">
        <f t="shared" si="2"/>
        <v>No Prog ni Ejec</v>
      </c>
      <c r="CF21" s="640" t="str">
        <f t="shared" si="26"/>
        <v>No Prog ni Ejec</v>
      </c>
      <c r="CG21" s="640" t="str">
        <f t="shared" si="3"/>
        <v>No Prog ni Ejec</v>
      </c>
      <c r="CH21" s="640" t="str">
        <f t="shared" si="27"/>
        <v>No Prog ni Ejec</v>
      </c>
      <c r="CI21" s="640" t="str">
        <f t="shared" si="4"/>
        <v>No Prog ni Ejec</v>
      </c>
      <c r="CJ21" s="640">
        <f t="shared" si="28"/>
        <v>0.62222223333333337</v>
      </c>
      <c r="CK21" s="640">
        <f t="shared" si="5"/>
        <v>0</v>
      </c>
      <c r="CL21" s="698">
        <f t="shared" si="29"/>
        <v>0</v>
      </c>
      <c r="CM21" s="128">
        <f t="shared" si="6"/>
        <v>0</v>
      </c>
      <c r="CW21" s="122">
        <v>6</v>
      </c>
    </row>
    <row r="22" spans="1:101" s="70" customFormat="1" ht="165.75" hidden="1" x14ac:dyDescent="0.2">
      <c r="A22" s="834">
        <v>11900</v>
      </c>
      <c r="B22" s="827" t="s">
        <v>125</v>
      </c>
      <c r="C22" s="827" t="s">
        <v>330</v>
      </c>
      <c r="D22" s="827"/>
      <c r="E22" s="827" t="s">
        <v>1020</v>
      </c>
      <c r="F22" s="827" t="s">
        <v>1020</v>
      </c>
      <c r="G22" s="827"/>
      <c r="H22" s="827"/>
      <c r="I22" s="827"/>
      <c r="J22" s="827"/>
      <c r="K22" s="827"/>
      <c r="L22" s="827"/>
      <c r="M22" s="827"/>
      <c r="N22" s="827"/>
      <c r="O22" s="827"/>
      <c r="P22" s="827"/>
      <c r="Q22" s="827" t="s">
        <v>204</v>
      </c>
      <c r="R22" s="827" t="s">
        <v>204</v>
      </c>
      <c r="S22" s="835" t="s">
        <v>126</v>
      </c>
      <c r="T22" s="827" t="s">
        <v>60</v>
      </c>
      <c r="U22" s="827" t="s">
        <v>204</v>
      </c>
      <c r="V22" s="827" t="s">
        <v>204</v>
      </c>
      <c r="W22" s="835" t="s">
        <v>597</v>
      </c>
      <c r="X22" s="827" t="s">
        <v>485</v>
      </c>
      <c r="Y22" s="838" t="s">
        <v>51</v>
      </c>
      <c r="Z22" s="826">
        <v>1</v>
      </c>
      <c r="AA22" s="835" t="s">
        <v>596</v>
      </c>
      <c r="AB22" s="827" t="s">
        <v>1406</v>
      </c>
      <c r="AC22" s="850">
        <v>265626000</v>
      </c>
      <c r="AD22" s="832">
        <v>1</v>
      </c>
      <c r="AE22" s="827" t="s">
        <v>17</v>
      </c>
      <c r="AF22" s="827" t="s">
        <v>28</v>
      </c>
      <c r="AG22" s="827" t="s">
        <v>204</v>
      </c>
      <c r="AH22" s="827" t="s">
        <v>635</v>
      </c>
      <c r="AI22" s="827" t="s">
        <v>1036</v>
      </c>
      <c r="AJ22" s="827" t="s">
        <v>1284</v>
      </c>
      <c r="AK22" s="827" t="s">
        <v>1531</v>
      </c>
      <c r="AL22" s="827" t="s">
        <v>204</v>
      </c>
      <c r="AM22" s="832">
        <v>1</v>
      </c>
      <c r="AN22" s="827" t="str">
        <f t="shared" si="7"/>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O22" s="833">
        <f t="shared" si="8"/>
        <v>265626000</v>
      </c>
      <c r="AP22" s="860" t="s">
        <v>46</v>
      </c>
      <c r="AQ22" s="826">
        <v>0</v>
      </c>
      <c r="AR22" s="827" t="str">
        <f t="shared" si="9"/>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AS22" s="831">
        <v>0</v>
      </c>
      <c r="AT22" s="865" t="e">
        <f>+AU22/AS22</f>
        <v>#DIV/0!</v>
      </c>
      <c r="AU22" s="531">
        <v>20626000</v>
      </c>
      <c r="AV22" s="828" t="e">
        <f t="shared" si="0"/>
        <v>#DIV/0!</v>
      </c>
      <c r="AW22" s="828" t="e">
        <f t="shared" si="10"/>
        <v>#DIV/0!</v>
      </c>
      <c r="AX22" s="828" t="e">
        <f t="shared" si="1"/>
        <v>#DIV/0!</v>
      </c>
      <c r="AY22" s="828">
        <f t="shared" si="11"/>
        <v>7.7650531198000194E-2</v>
      </c>
      <c r="AZ22" s="468" t="s">
        <v>1387</v>
      </c>
      <c r="BA22" s="826">
        <v>0</v>
      </c>
      <c r="BB22" s="827" t="str">
        <f t="shared" si="12"/>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C22" s="831">
        <v>0</v>
      </c>
      <c r="BD22" s="848">
        <f>(4/4*25%)</f>
        <v>0.25</v>
      </c>
      <c r="BE22" s="831">
        <v>110000000</v>
      </c>
      <c r="BF22" s="828" t="e">
        <f t="shared" si="13"/>
        <v>#DIV/0!</v>
      </c>
      <c r="BG22" s="828" t="e">
        <f t="shared" si="14"/>
        <v>#DIV/0!</v>
      </c>
      <c r="BH22" s="828" t="e">
        <f t="shared" si="15"/>
        <v>#DIV/0!</v>
      </c>
      <c r="BI22" s="828">
        <f t="shared" si="16"/>
        <v>0.49176661923155113</v>
      </c>
      <c r="BJ22" s="830" t="s">
        <v>1709</v>
      </c>
      <c r="BK22" s="826">
        <v>0</v>
      </c>
      <c r="BL22" s="827" t="str">
        <f t="shared" si="30"/>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M22" s="831">
        <f>+AO22*BK22</f>
        <v>0</v>
      </c>
      <c r="BN22" s="993">
        <f>(1/1*25%)</f>
        <v>0.25</v>
      </c>
      <c r="BO22" s="995">
        <v>0</v>
      </c>
      <c r="BP22" s="828" t="e">
        <f>+(BN22/BK22)</f>
        <v>#DIV/0!</v>
      </c>
      <c r="BQ22" s="828" t="e">
        <f t="shared" si="18"/>
        <v>#DIV/0!</v>
      </c>
      <c r="BR22" s="828" t="e">
        <f t="shared" si="19"/>
        <v>#DIV/0!</v>
      </c>
      <c r="BS22" s="828">
        <f t="shared" si="20"/>
        <v>0.49176661923155113</v>
      </c>
      <c r="BT22" s="466" t="s">
        <v>1935</v>
      </c>
      <c r="BU22" s="826">
        <v>1</v>
      </c>
      <c r="BV22" s="827" t="str">
        <f t="shared" si="21"/>
        <v xml:space="preserve">Representación judicial de la ADRES en demanda de controversias contractuales promovido por el CONSORCIO SAYP 2011; 2)  CONSORCIO AUDIADRES 2020  3) medio de control de controversias contractuales promovido por la ADRES en contra de Dumian Medical S.A.S., - Cosmimet LTDA.- Corporación de Servicios Médicos Internacionales THEM &amp; CIA LTDA, miembros de la Unión Temporal DUCOT, </v>
      </c>
      <c r="BW22" s="831">
        <f>+AO22*BU22</f>
        <v>265626000</v>
      </c>
      <c r="BX22" s="835"/>
      <c r="BY22" s="835"/>
      <c r="BZ22" s="826">
        <f t="shared" si="22"/>
        <v>0</v>
      </c>
      <c r="CA22" s="826">
        <f t="shared" si="23"/>
        <v>0</v>
      </c>
      <c r="CB22" s="826" t="e">
        <f t="shared" si="24"/>
        <v>#DIV/0!</v>
      </c>
      <c r="CC22" s="826">
        <f t="shared" si="25"/>
        <v>0.49176661923155113</v>
      </c>
      <c r="CD22" s="826"/>
      <c r="CE22" s="640" t="e">
        <f t="shared" si="2"/>
        <v>#DIV/0!</v>
      </c>
      <c r="CF22" s="640" t="str">
        <f t="shared" si="26"/>
        <v>No Prog, Ejec=  20626000</v>
      </c>
      <c r="CG22" s="640" t="str">
        <f t="shared" si="3"/>
        <v>No Prog, Ejec=  0,25</v>
      </c>
      <c r="CH22" s="640" t="str">
        <f t="shared" si="27"/>
        <v>No Prog, Ejec=  110000000</v>
      </c>
      <c r="CI22" s="640" t="str">
        <f t="shared" si="4"/>
        <v>No Prog, Ejec=  0,25</v>
      </c>
      <c r="CJ22" s="640" t="str">
        <f t="shared" si="28"/>
        <v>No Prog ni Ejec</v>
      </c>
      <c r="CK22" s="640">
        <f t="shared" si="5"/>
        <v>0</v>
      </c>
      <c r="CL22" s="698">
        <f t="shared" si="29"/>
        <v>0</v>
      </c>
      <c r="CM22" s="128">
        <f t="shared" si="6"/>
        <v>0</v>
      </c>
      <c r="CW22" s="122">
        <v>6</v>
      </c>
    </row>
    <row r="23" spans="1:101" s="70" customFormat="1" ht="127.5" hidden="1" x14ac:dyDescent="0.2">
      <c r="A23" s="834">
        <v>11900</v>
      </c>
      <c r="B23" s="827" t="s">
        <v>125</v>
      </c>
      <c r="C23" s="827" t="s">
        <v>330</v>
      </c>
      <c r="D23" s="827"/>
      <c r="E23" s="827" t="s">
        <v>1020</v>
      </c>
      <c r="F23" s="827" t="s">
        <v>1020</v>
      </c>
      <c r="G23" s="827"/>
      <c r="H23" s="827"/>
      <c r="I23" s="827"/>
      <c r="J23" s="827"/>
      <c r="K23" s="827"/>
      <c r="L23" s="827"/>
      <c r="M23" s="827"/>
      <c r="N23" s="827"/>
      <c r="O23" s="827"/>
      <c r="P23" s="827"/>
      <c r="Q23" s="827" t="s">
        <v>204</v>
      </c>
      <c r="R23" s="827" t="s">
        <v>204</v>
      </c>
      <c r="S23" s="835" t="s">
        <v>126</v>
      </c>
      <c r="T23" s="827" t="s">
        <v>60</v>
      </c>
      <c r="U23" s="827" t="s">
        <v>204</v>
      </c>
      <c r="V23" s="827" t="s">
        <v>204</v>
      </c>
      <c r="W23" s="835" t="s">
        <v>601</v>
      </c>
      <c r="X23" s="827" t="s">
        <v>490</v>
      </c>
      <c r="Y23" s="838" t="s">
        <v>51</v>
      </c>
      <c r="Z23" s="826">
        <v>1</v>
      </c>
      <c r="AA23" s="835" t="s">
        <v>600</v>
      </c>
      <c r="AB23" s="860" t="s">
        <v>891</v>
      </c>
      <c r="AC23" s="850">
        <f>61642068+100000000</f>
        <v>161642068</v>
      </c>
      <c r="AD23" s="832">
        <v>1</v>
      </c>
      <c r="AE23" s="827" t="s">
        <v>17</v>
      </c>
      <c r="AF23" s="827" t="s">
        <v>28</v>
      </c>
      <c r="AG23" s="827" t="s">
        <v>204</v>
      </c>
      <c r="AH23" s="827" t="s">
        <v>635</v>
      </c>
      <c r="AI23" s="827" t="s">
        <v>1036</v>
      </c>
      <c r="AJ23" s="827" t="s">
        <v>1284</v>
      </c>
      <c r="AK23" s="827" t="s">
        <v>1545</v>
      </c>
      <c r="AL23" s="827" t="s">
        <v>204</v>
      </c>
      <c r="AM23" s="832">
        <v>1</v>
      </c>
      <c r="AN23" s="827" t="str">
        <f t="shared" si="7"/>
        <v>Tramitar consultas y peticiones de carácter jurídico,  judicial y contractual que adelanta la entidad, y frente al contenido de actos administrativos y mantener actualizada la información de normas constitucionales y legales y demás asuntos de competencia de la ADRES.</v>
      </c>
      <c r="AO23" s="833">
        <f t="shared" si="8"/>
        <v>161642068</v>
      </c>
      <c r="AP23" s="860" t="s">
        <v>46</v>
      </c>
      <c r="AQ23" s="826">
        <v>0.25</v>
      </c>
      <c r="AR23" s="827" t="str">
        <f t="shared" si="9"/>
        <v>Tramitar consultas y peticiones de carácter jurídico,  judicial y contractual que adelanta la entidad, y frente al contenido de actos administrativos y mantener actualizada la información de normas constitucionales y legales y demás asuntos de competencia de la ADRES.</v>
      </c>
      <c r="AS23" s="831">
        <f>+AO23/4</f>
        <v>40410517</v>
      </c>
      <c r="AT23" s="532">
        <f>(10/13)*(25/100)</f>
        <v>0.19230769230769232</v>
      </c>
      <c r="AU23" s="831">
        <v>11472273</v>
      </c>
      <c r="AV23" s="828">
        <f t="shared" si="0"/>
        <v>0.76923076923076927</v>
      </c>
      <c r="AW23" s="828">
        <f t="shared" si="10"/>
        <v>0.28389324986859238</v>
      </c>
      <c r="AX23" s="828">
        <f t="shared" si="1"/>
        <v>0.19230769230769232</v>
      </c>
      <c r="AY23" s="828">
        <f t="shared" si="11"/>
        <v>7.0973312467148095E-2</v>
      </c>
      <c r="AZ23" s="533" t="s">
        <v>1388</v>
      </c>
      <c r="BA23" s="826">
        <v>0.25</v>
      </c>
      <c r="BB23" s="827" t="str">
        <f t="shared" si="12"/>
        <v>Tramitar consultas y peticiones de carácter jurídico,  judicial y contractual que adelanta la entidad, y frente al contenido de actos administrativos y mantener actualizada la información de normas constitucionales y legales y demás asuntos de competencia de la ADRES.</v>
      </c>
      <c r="BC23" s="831">
        <f>+AO23/4</f>
        <v>40410517</v>
      </c>
      <c r="BD23" s="495">
        <f>(12/14*25%)</f>
        <v>0.21428571428571427</v>
      </c>
      <c r="BE23" s="831">
        <v>15410517</v>
      </c>
      <c r="BF23" s="828">
        <f t="shared" si="13"/>
        <v>0.8571428571428571</v>
      </c>
      <c r="BG23" s="828">
        <f t="shared" si="14"/>
        <v>0.38134916709924793</v>
      </c>
      <c r="BH23" s="828">
        <f t="shared" si="15"/>
        <v>0.40659340659340659</v>
      </c>
      <c r="BI23" s="828">
        <f t="shared" si="16"/>
        <v>0.16631060424196009</v>
      </c>
      <c r="BJ23" s="830"/>
      <c r="BK23" s="826">
        <v>0.25</v>
      </c>
      <c r="BL23" s="827" t="str">
        <f t="shared" si="30"/>
        <v>Tramitar consultas y peticiones de carácter jurídico,  judicial y contractual que adelanta la entidad, y frente al contenido de actos administrativos y mantener actualizada la información de normas constitucionales y legales y demás asuntos de competencia de la ADRES.</v>
      </c>
      <c r="BM23" s="831">
        <f>+AO23/4</f>
        <v>40410517</v>
      </c>
      <c r="BN23" s="1003">
        <v>0.25</v>
      </c>
      <c r="BO23" s="1013">
        <v>15410517</v>
      </c>
      <c r="BP23" s="828">
        <f t="shared" si="17"/>
        <v>1</v>
      </c>
      <c r="BQ23" s="828">
        <f t="shared" si="18"/>
        <v>0.38134916709924793</v>
      </c>
      <c r="BR23" s="828">
        <f t="shared" si="19"/>
        <v>0.65659340659340659</v>
      </c>
      <c r="BS23" s="828">
        <f t="shared" si="20"/>
        <v>0.26164789601677207</v>
      </c>
      <c r="BT23" s="996" t="s">
        <v>1936</v>
      </c>
      <c r="BU23" s="826">
        <v>0.25</v>
      </c>
      <c r="BV23" s="827" t="str">
        <f t="shared" si="21"/>
        <v>Tramitar consultas y peticiones de carácter jurídico,  judicial y contractual que adelanta la entidad, y frente al contenido de actos administrativos y mantener actualizada la información de normas constitucionales y legales y demás asuntos de competencia de la ADRES.</v>
      </c>
      <c r="BW23" s="831">
        <f>+AO23/4</f>
        <v>40410517</v>
      </c>
      <c r="BX23" s="835"/>
      <c r="BY23" s="835"/>
      <c r="BZ23" s="826">
        <f t="shared" si="22"/>
        <v>0</v>
      </c>
      <c r="CA23" s="826">
        <f t="shared" si="23"/>
        <v>0</v>
      </c>
      <c r="CB23" s="826">
        <f t="shared" si="24"/>
        <v>0.65659340659340659</v>
      </c>
      <c r="CC23" s="826">
        <f t="shared" si="25"/>
        <v>0.26164789601677207</v>
      </c>
      <c r="CD23" s="826"/>
      <c r="CE23" s="640">
        <f t="shared" si="2"/>
        <v>0.76923076923076927</v>
      </c>
      <c r="CF23" s="640">
        <f t="shared" si="26"/>
        <v>0.28389324986859238</v>
      </c>
      <c r="CG23" s="640">
        <f t="shared" si="3"/>
        <v>0.8571428571428571</v>
      </c>
      <c r="CH23" s="640">
        <f t="shared" si="27"/>
        <v>0.38134916709924793</v>
      </c>
      <c r="CI23" s="640">
        <f t="shared" si="4"/>
        <v>1</v>
      </c>
      <c r="CJ23" s="640">
        <f t="shared" si="28"/>
        <v>0.38134916709924793</v>
      </c>
      <c r="CK23" s="640">
        <f t="shared" si="5"/>
        <v>0</v>
      </c>
      <c r="CL23" s="698">
        <f t="shared" si="29"/>
        <v>0</v>
      </c>
      <c r="CM23" s="128">
        <f t="shared" si="6"/>
        <v>0</v>
      </c>
      <c r="CW23" s="122">
        <v>6</v>
      </c>
    </row>
    <row r="24" spans="1:101" s="70" customFormat="1" ht="140.25" hidden="1" x14ac:dyDescent="0.2">
      <c r="A24" s="834">
        <v>11900</v>
      </c>
      <c r="B24" s="827" t="s">
        <v>125</v>
      </c>
      <c r="C24" s="827" t="s">
        <v>330</v>
      </c>
      <c r="D24" s="827"/>
      <c r="E24" s="827" t="s">
        <v>1020</v>
      </c>
      <c r="F24" s="827" t="s">
        <v>1020</v>
      </c>
      <c r="G24" s="827"/>
      <c r="H24" s="827"/>
      <c r="I24" s="827"/>
      <c r="J24" s="827"/>
      <c r="K24" s="827"/>
      <c r="L24" s="827"/>
      <c r="M24" s="827"/>
      <c r="N24" s="827"/>
      <c r="O24" s="827"/>
      <c r="P24" s="827"/>
      <c r="Q24" s="827" t="s">
        <v>204</v>
      </c>
      <c r="R24" s="827" t="s">
        <v>204</v>
      </c>
      <c r="S24" s="835" t="s">
        <v>126</v>
      </c>
      <c r="T24" s="827" t="s">
        <v>60</v>
      </c>
      <c r="U24" s="827" t="s">
        <v>204</v>
      </c>
      <c r="V24" s="827" t="s">
        <v>204</v>
      </c>
      <c r="W24" s="835" t="s">
        <v>653</v>
      </c>
      <c r="X24" s="827" t="s">
        <v>439</v>
      </c>
      <c r="Y24" s="838" t="s">
        <v>169</v>
      </c>
      <c r="Z24" s="826">
        <v>1</v>
      </c>
      <c r="AA24" s="835" t="s">
        <v>128</v>
      </c>
      <c r="AB24" s="827" t="s">
        <v>438</v>
      </c>
      <c r="AC24" s="850">
        <v>150000000</v>
      </c>
      <c r="AD24" s="832">
        <v>1</v>
      </c>
      <c r="AE24" s="827" t="s">
        <v>17</v>
      </c>
      <c r="AF24" s="827" t="s">
        <v>28</v>
      </c>
      <c r="AG24" s="827" t="s">
        <v>204</v>
      </c>
      <c r="AH24" s="827" t="s">
        <v>635</v>
      </c>
      <c r="AI24" s="827" t="s">
        <v>1036</v>
      </c>
      <c r="AJ24" s="827" t="s">
        <v>1284</v>
      </c>
      <c r="AK24" s="827" t="s">
        <v>1533</v>
      </c>
      <c r="AL24" s="827" t="s">
        <v>204</v>
      </c>
      <c r="AM24" s="832">
        <v>1</v>
      </c>
      <c r="AN24" s="827" t="str">
        <f t="shared" si="7"/>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O24" s="833">
        <f t="shared" si="8"/>
        <v>150000000</v>
      </c>
      <c r="AP24" s="860" t="s">
        <v>46</v>
      </c>
      <c r="AQ24" s="826">
        <v>0.25</v>
      </c>
      <c r="AR24" s="827" t="str">
        <f t="shared" si="9"/>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AS24" s="831">
        <f>+AO24/4</f>
        <v>37500000</v>
      </c>
      <c r="AT24" s="832">
        <v>0</v>
      </c>
      <c r="AU24" s="831">
        <v>0</v>
      </c>
      <c r="AV24" s="828">
        <f t="shared" si="0"/>
        <v>0</v>
      </c>
      <c r="AW24" s="828">
        <f t="shared" si="10"/>
        <v>0</v>
      </c>
      <c r="AX24" s="828">
        <f t="shared" si="1"/>
        <v>0</v>
      </c>
      <c r="AY24" s="828">
        <f t="shared" si="11"/>
        <v>0</v>
      </c>
      <c r="AZ24" s="534" t="s">
        <v>1389</v>
      </c>
      <c r="BA24" s="826">
        <v>0</v>
      </c>
      <c r="BB24" s="827" t="str">
        <f t="shared" si="12"/>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C24" s="831">
        <f>+AO24/4</f>
        <v>37500000</v>
      </c>
      <c r="BD24" s="851" t="s">
        <v>204</v>
      </c>
      <c r="BE24" s="831">
        <v>0</v>
      </c>
      <c r="BF24" s="828" t="e">
        <f>+(BD24/BA24)</f>
        <v>#VALUE!</v>
      </c>
      <c r="BG24" s="828">
        <f t="shared" si="14"/>
        <v>0</v>
      </c>
      <c r="BH24" s="828">
        <f>+(AT24)/AM24</f>
        <v>0</v>
      </c>
      <c r="BI24" s="828">
        <f t="shared" si="16"/>
        <v>0</v>
      </c>
      <c r="BJ24" s="830" t="s">
        <v>1710</v>
      </c>
      <c r="BK24" s="826">
        <v>0</v>
      </c>
      <c r="BL24" s="827" t="str">
        <f t="shared" si="30"/>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M24" s="831">
        <f>+AO24/4</f>
        <v>37500000</v>
      </c>
      <c r="BN24" s="1004" t="s">
        <v>204</v>
      </c>
      <c r="BO24" s="995">
        <v>0</v>
      </c>
      <c r="BP24" s="828" t="e">
        <f>+(BN24/BK24)</f>
        <v>#VALUE!</v>
      </c>
      <c r="BQ24" s="828">
        <f t="shared" si="18"/>
        <v>0</v>
      </c>
      <c r="BR24" s="828">
        <f>+(AT24/AM24)</f>
        <v>0</v>
      </c>
      <c r="BS24" s="828">
        <f t="shared" si="20"/>
        <v>0</v>
      </c>
      <c r="BT24" s="1001" t="s">
        <v>1937</v>
      </c>
      <c r="BU24" s="826">
        <v>0.75</v>
      </c>
      <c r="BV24" s="827" t="str">
        <f t="shared" si="21"/>
        <v xml:space="preserve">Ejercer la representación judicial del recurso extraordinario de casación  y procesos cuya relevancia y asuntos que requieran de su intervención para la adecuada defensa de los intereses de la Entidad, entre las que se encuentran las acciones de repetición. </v>
      </c>
      <c r="BW24" s="831">
        <f>+AO24/4</f>
        <v>37500000</v>
      </c>
      <c r="BX24" s="835"/>
      <c r="BY24" s="835"/>
      <c r="BZ24" s="826">
        <f t="shared" si="22"/>
        <v>0</v>
      </c>
      <c r="CA24" s="826">
        <f t="shared" si="23"/>
        <v>0</v>
      </c>
      <c r="CB24" s="826" t="e">
        <f t="shared" si="24"/>
        <v>#VALUE!</v>
      </c>
      <c r="CC24" s="826">
        <f t="shared" si="25"/>
        <v>0</v>
      </c>
      <c r="CD24" s="826"/>
      <c r="CE24" s="640">
        <f t="shared" si="2"/>
        <v>0</v>
      </c>
      <c r="CF24" s="640">
        <f t="shared" si="26"/>
        <v>0</v>
      </c>
      <c r="CG24" s="640" t="str">
        <f t="shared" si="3"/>
        <v>No Prog, Ejec=  N.A</v>
      </c>
      <c r="CH24" s="640">
        <f t="shared" si="27"/>
        <v>0</v>
      </c>
      <c r="CI24" s="640" t="str">
        <f t="shared" si="4"/>
        <v>No Prog, Ejec=  N.A</v>
      </c>
      <c r="CJ24" s="640">
        <f t="shared" si="28"/>
        <v>0</v>
      </c>
      <c r="CK24" s="640">
        <f t="shared" si="5"/>
        <v>0</v>
      </c>
      <c r="CL24" s="698">
        <f t="shared" si="29"/>
        <v>0</v>
      </c>
      <c r="CM24" s="128">
        <f t="shared" si="6"/>
        <v>0</v>
      </c>
      <c r="CW24" s="122">
        <v>6</v>
      </c>
    </row>
    <row r="25" spans="1:101" s="70" customFormat="1" ht="369.75" hidden="1" x14ac:dyDescent="0.2">
      <c r="A25" s="834">
        <v>11900</v>
      </c>
      <c r="B25" s="827" t="s">
        <v>125</v>
      </c>
      <c r="C25" s="827" t="s">
        <v>330</v>
      </c>
      <c r="D25" s="827"/>
      <c r="E25" s="827" t="s">
        <v>1020</v>
      </c>
      <c r="F25" s="827" t="s">
        <v>1020</v>
      </c>
      <c r="G25" s="827"/>
      <c r="H25" s="827"/>
      <c r="I25" s="827"/>
      <c r="J25" s="827"/>
      <c r="K25" s="827"/>
      <c r="L25" s="827"/>
      <c r="M25" s="827"/>
      <c r="N25" s="827"/>
      <c r="O25" s="827"/>
      <c r="P25" s="827"/>
      <c r="Q25" s="827" t="s">
        <v>204</v>
      </c>
      <c r="R25" s="827" t="s">
        <v>204</v>
      </c>
      <c r="S25" s="835" t="s">
        <v>126</v>
      </c>
      <c r="T25" s="827" t="s">
        <v>60</v>
      </c>
      <c r="U25" s="827" t="s">
        <v>204</v>
      </c>
      <c r="V25" s="827" t="s">
        <v>204</v>
      </c>
      <c r="W25" s="835" t="s">
        <v>620</v>
      </c>
      <c r="X25" s="827" t="s">
        <v>177</v>
      </c>
      <c r="Y25" s="838" t="s">
        <v>51</v>
      </c>
      <c r="Z25" s="826">
        <v>1</v>
      </c>
      <c r="AA25" s="835" t="s">
        <v>615</v>
      </c>
      <c r="AB25" s="860" t="s">
        <v>889</v>
      </c>
      <c r="AC25" s="850">
        <v>180000000</v>
      </c>
      <c r="AD25" s="832">
        <v>1</v>
      </c>
      <c r="AE25" s="827" t="s">
        <v>17</v>
      </c>
      <c r="AF25" s="827" t="s">
        <v>28</v>
      </c>
      <c r="AG25" s="827" t="s">
        <v>204</v>
      </c>
      <c r="AH25" s="827" t="s">
        <v>635</v>
      </c>
      <c r="AI25" s="827" t="s">
        <v>1036</v>
      </c>
      <c r="AJ25" s="827" t="s">
        <v>1284</v>
      </c>
      <c r="AK25" s="827" t="s">
        <v>1535</v>
      </c>
      <c r="AL25" s="827" t="s">
        <v>204</v>
      </c>
      <c r="AM25" s="832">
        <v>1</v>
      </c>
      <c r="AN25" s="827" t="str">
        <f>+AB25</f>
        <v>Realizar vigilancia judicial y radicación de documentos en cada uno de los procesos que cursan en los despachos judiciales en contra de ADRES</v>
      </c>
      <c r="AO25" s="833">
        <f t="shared" si="8"/>
        <v>180000000</v>
      </c>
      <c r="AP25" s="860" t="s">
        <v>46</v>
      </c>
      <c r="AQ25" s="826">
        <v>0.25</v>
      </c>
      <c r="AR25" s="827" t="str">
        <f t="shared" si="9"/>
        <v>Realizar vigilancia judicial y radicación de documentos en cada uno de los procesos que cursan en los despachos judiciales en contra de ADRES</v>
      </c>
      <c r="AS25" s="831">
        <f>+AO25/4</f>
        <v>45000000</v>
      </c>
      <c r="AT25" s="832">
        <v>0</v>
      </c>
      <c r="AU25" s="531">
        <v>0</v>
      </c>
      <c r="AV25" s="828">
        <f t="shared" si="0"/>
        <v>0</v>
      </c>
      <c r="AW25" s="828">
        <f t="shared" si="10"/>
        <v>0</v>
      </c>
      <c r="AX25" s="828">
        <f t="shared" si="1"/>
        <v>0</v>
      </c>
      <c r="AY25" s="828">
        <f t="shared" si="11"/>
        <v>0</v>
      </c>
      <c r="AZ25" s="534" t="s">
        <v>1390</v>
      </c>
      <c r="BA25" s="826">
        <v>0.25</v>
      </c>
      <c r="BB25" s="827" t="str">
        <f t="shared" si="12"/>
        <v>Realizar vigilancia judicial y radicación de documentos en cada uno de los procesos que cursan en los despachos judiciales en contra de ADRES</v>
      </c>
      <c r="BC25" s="831">
        <f>+AO25/4</f>
        <v>45000000</v>
      </c>
      <c r="BD25" s="848">
        <f>(1753/1753*25%)</f>
        <v>0.25</v>
      </c>
      <c r="BE25" s="831">
        <v>42821257.710000001</v>
      </c>
      <c r="BF25" s="828">
        <f t="shared" si="13"/>
        <v>1</v>
      </c>
      <c r="BG25" s="828">
        <f t="shared" si="14"/>
        <v>0.95158350466666664</v>
      </c>
      <c r="BH25" s="828">
        <f t="shared" si="15"/>
        <v>0.25</v>
      </c>
      <c r="BI25" s="828">
        <f t="shared" si="16"/>
        <v>0.23789587616666666</v>
      </c>
      <c r="BJ25" s="829" t="s">
        <v>1711</v>
      </c>
      <c r="BK25" s="826">
        <v>0.25</v>
      </c>
      <c r="BL25" s="827" t="str">
        <f t="shared" si="30"/>
        <v>Realizar vigilancia judicial y radicación de documentos en cada uno de los procesos que cursan en los despachos judiciales en contra de ADRES</v>
      </c>
      <c r="BM25" s="831">
        <f>+AO25/4</f>
        <v>45000000</v>
      </c>
      <c r="BN25" s="1003">
        <f>(2746/2746*25%)</f>
        <v>0.25</v>
      </c>
      <c r="BO25" s="995">
        <v>69155769</v>
      </c>
      <c r="BP25" s="828">
        <f t="shared" si="17"/>
        <v>1</v>
      </c>
      <c r="BQ25" s="828">
        <f t="shared" si="18"/>
        <v>1.5367948666666666</v>
      </c>
      <c r="BR25" s="828">
        <f t="shared" si="19"/>
        <v>0.5</v>
      </c>
      <c r="BS25" s="828">
        <f t="shared" si="20"/>
        <v>0.62209459283333335</v>
      </c>
      <c r="BT25" s="1001" t="s">
        <v>1938</v>
      </c>
      <c r="BU25" s="826">
        <v>0.25</v>
      </c>
      <c r="BV25" s="827" t="str">
        <f t="shared" si="21"/>
        <v>Realizar vigilancia judicial y radicación de documentos en cada uno de los procesos que cursan en los despachos judiciales en contra de ADRES</v>
      </c>
      <c r="BW25" s="831">
        <f>+AO25/4</f>
        <v>45000000</v>
      </c>
      <c r="BX25" s="835"/>
      <c r="BY25" s="835"/>
      <c r="BZ25" s="826">
        <f t="shared" si="22"/>
        <v>0</v>
      </c>
      <c r="CA25" s="826">
        <f t="shared" si="23"/>
        <v>0</v>
      </c>
      <c r="CB25" s="826">
        <f t="shared" si="24"/>
        <v>0.5</v>
      </c>
      <c r="CC25" s="826">
        <f t="shared" si="25"/>
        <v>0.62209459283333335</v>
      </c>
      <c r="CD25" s="826"/>
      <c r="CE25" s="640">
        <f t="shared" si="2"/>
        <v>0</v>
      </c>
      <c r="CF25" s="640">
        <f t="shared" si="26"/>
        <v>0</v>
      </c>
      <c r="CG25" s="640">
        <f t="shared" si="3"/>
        <v>1</v>
      </c>
      <c r="CH25" s="640">
        <f t="shared" si="27"/>
        <v>0.95158350466666664</v>
      </c>
      <c r="CI25" s="640">
        <f t="shared" si="4"/>
        <v>1</v>
      </c>
      <c r="CJ25" s="640">
        <f t="shared" si="28"/>
        <v>1.5367948666666666</v>
      </c>
      <c r="CK25" s="640">
        <f t="shared" si="5"/>
        <v>0</v>
      </c>
      <c r="CL25" s="698">
        <f t="shared" si="29"/>
        <v>0</v>
      </c>
      <c r="CM25" s="128">
        <f t="shared" si="6"/>
        <v>0</v>
      </c>
      <c r="CW25" s="122">
        <v>6</v>
      </c>
    </row>
    <row r="26" spans="1:101" s="70" customFormat="1" ht="127.5" hidden="1" x14ac:dyDescent="0.2">
      <c r="A26" s="834">
        <v>11900</v>
      </c>
      <c r="B26" s="827" t="s">
        <v>125</v>
      </c>
      <c r="C26" s="827" t="s">
        <v>330</v>
      </c>
      <c r="D26" s="827"/>
      <c r="E26" s="827" t="s">
        <v>1020</v>
      </c>
      <c r="F26" s="827" t="s">
        <v>1020</v>
      </c>
      <c r="G26" s="827"/>
      <c r="H26" s="827"/>
      <c r="I26" s="827"/>
      <c r="J26" s="827"/>
      <c r="K26" s="827"/>
      <c r="L26" s="827"/>
      <c r="M26" s="827"/>
      <c r="N26" s="827"/>
      <c r="O26" s="827"/>
      <c r="P26" s="827"/>
      <c r="Q26" s="827" t="s">
        <v>204</v>
      </c>
      <c r="R26" s="827" t="s">
        <v>204</v>
      </c>
      <c r="S26" s="835" t="s">
        <v>126</v>
      </c>
      <c r="T26" s="827" t="s">
        <v>60</v>
      </c>
      <c r="U26" s="827" t="s">
        <v>204</v>
      </c>
      <c r="V26" s="827" t="s">
        <v>204</v>
      </c>
      <c r="W26" s="835" t="s">
        <v>617</v>
      </c>
      <c r="X26" s="827" t="s">
        <v>440</v>
      </c>
      <c r="Y26" s="860" t="s">
        <v>51</v>
      </c>
      <c r="Z26" s="826">
        <v>1</v>
      </c>
      <c r="AA26" s="1139" t="s">
        <v>616</v>
      </c>
      <c r="AB26" s="1202" t="s">
        <v>354</v>
      </c>
      <c r="AC26" s="1156">
        <v>53164884</v>
      </c>
      <c r="AD26" s="832">
        <v>1</v>
      </c>
      <c r="AE26" s="827" t="s">
        <v>17</v>
      </c>
      <c r="AF26" s="827" t="s">
        <v>28</v>
      </c>
      <c r="AG26" s="827" t="s">
        <v>204</v>
      </c>
      <c r="AH26" s="827" t="s">
        <v>635</v>
      </c>
      <c r="AI26" s="827" t="s">
        <v>1036</v>
      </c>
      <c r="AJ26" s="1072" t="s">
        <v>1284</v>
      </c>
      <c r="AK26" s="827" t="s">
        <v>890</v>
      </c>
      <c r="AL26" s="827" t="s">
        <v>204</v>
      </c>
      <c r="AM26" s="826">
        <v>1</v>
      </c>
      <c r="AN26" s="1072" t="str">
        <f>+AB26</f>
        <v>Apoyar a la Oficina Asesora Jurídica en la administración de la plataforma Ekogui, y demás actuaciones necesarias para gestionar y lograr el pago de las sentencias condenatorias y conciliaciones.</v>
      </c>
      <c r="AO26" s="1148">
        <f t="shared" si="8"/>
        <v>53164884</v>
      </c>
      <c r="AP26" s="860" t="s">
        <v>46</v>
      </c>
      <c r="AQ26" s="826">
        <v>0</v>
      </c>
      <c r="AR26" s="1072" t="str">
        <f t="shared" si="9"/>
        <v>Apoyar a la Oficina Asesora Jurídica en la administración de la plataforma Ekogui, y demás actuaciones necesarias para gestionar y lograr el pago de las sentencias condenatorias y conciliaciones.</v>
      </c>
      <c r="AS26" s="1075">
        <f>+AO26/4</f>
        <v>13291221</v>
      </c>
      <c r="AT26" s="832">
        <f>(1/1)*0%</f>
        <v>0</v>
      </c>
      <c r="AU26" s="1139" t="s">
        <v>1384</v>
      </c>
      <c r="AV26" s="828" t="e">
        <f t="shared" si="0"/>
        <v>#DIV/0!</v>
      </c>
      <c r="AW26" s="1073">
        <f t="shared" si="10"/>
        <v>0.58888886130175699</v>
      </c>
      <c r="AX26" s="828">
        <f t="shared" si="1"/>
        <v>0</v>
      </c>
      <c r="AY26" s="1073">
        <f t="shared" si="11"/>
        <v>0.14722221532543925</v>
      </c>
      <c r="AZ26" s="534" t="s">
        <v>1391</v>
      </c>
      <c r="BA26" s="826">
        <v>0.5</v>
      </c>
      <c r="BB26" s="1072" t="str">
        <f t="shared" si="12"/>
        <v>Apoyar a la Oficina Asesora Jurídica en la administración de la plataforma Ekogui, y demás actuaciones necesarias para gestionar y lograr el pago de las sentencias condenatorias y conciliaciones.</v>
      </c>
      <c r="BC26" s="1075">
        <f>+AO26/4</f>
        <v>13291221</v>
      </c>
      <c r="BD26" s="848">
        <f>(5/5*50%)</f>
        <v>0.5</v>
      </c>
      <c r="BE26" s="1075">
        <v>13291221</v>
      </c>
      <c r="BF26" s="828">
        <f t="shared" si="13"/>
        <v>1</v>
      </c>
      <c r="BG26" s="1073">
        <f t="shared" si="14"/>
        <v>1</v>
      </c>
      <c r="BH26" s="828">
        <f t="shared" si="15"/>
        <v>0.5</v>
      </c>
      <c r="BI26" s="1073">
        <f t="shared" si="16"/>
        <v>0.39722221532543928</v>
      </c>
      <c r="BJ26" s="829" t="s">
        <v>1712</v>
      </c>
      <c r="BK26" s="826">
        <v>0.25</v>
      </c>
      <c r="BL26" s="1072" t="str">
        <f t="shared" si="30"/>
        <v>Apoyar a la Oficina Asesora Jurídica en la administración de la plataforma Ekogui, y demás actuaciones necesarias para gestionar y lograr el pago de las sentencias condenatorias y conciliaciones.</v>
      </c>
      <c r="BM26" s="1075">
        <f>+AO26/4</f>
        <v>13291221</v>
      </c>
      <c r="BN26" s="1003">
        <f>(5/5*25%)</f>
        <v>0.25</v>
      </c>
      <c r="BO26" s="1075">
        <v>13291221</v>
      </c>
      <c r="BP26" s="828">
        <f t="shared" si="17"/>
        <v>1</v>
      </c>
      <c r="BQ26" s="1073">
        <f t="shared" si="18"/>
        <v>1</v>
      </c>
      <c r="BR26" s="828">
        <f t="shared" si="19"/>
        <v>0.75</v>
      </c>
      <c r="BS26" s="1073">
        <f t="shared" si="20"/>
        <v>0.64722221532543922</v>
      </c>
      <c r="BT26" s="1001" t="s">
        <v>1939</v>
      </c>
      <c r="BU26" s="826">
        <v>0.25</v>
      </c>
      <c r="BV26" s="1072" t="str">
        <f t="shared" si="21"/>
        <v>Apoyar a la Oficina Asesora Jurídica en la administración de la plataforma Ekogui, y demás actuaciones necesarias para gestionar y lograr el pago de las sentencias condenatorias y conciliaciones.</v>
      </c>
      <c r="BW26" s="1075">
        <f>+AO26/4</f>
        <v>13291221</v>
      </c>
      <c r="BX26" s="835"/>
      <c r="BY26" s="1139"/>
      <c r="BZ26" s="826">
        <f t="shared" si="22"/>
        <v>0</v>
      </c>
      <c r="CA26" s="1141">
        <f t="shared" si="23"/>
        <v>0</v>
      </c>
      <c r="CB26" s="826">
        <f t="shared" si="24"/>
        <v>0.75</v>
      </c>
      <c r="CC26" s="1141">
        <f t="shared" si="25"/>
        <v>0.64722221532543922</v>
      </c>
      <c r="CD26" s="826"/>
      <c r="CE26" s="640" t="str">
        <f t="shared" si="2"/>
        <v>No Prog ni Ejec</v>
      </c>
      <c r="CF26" s="1092">
        <f t="shared" si="26"/>
        <v>0.58888886130175699</v>
      </c>
      <c r="CG26" s="640">
        <f t="shared" si="3"/>
        <v>1</v>
      </c>
      <c r="CH26" s="1092">
        <f t="shared" si="27"/>
        <v>1</v>
      </c>
      <c r="CI26" s="640">
        <f t="shared" si="4"/>
        <v>1</v>
      </c>
      <c r="CJ26" s="1092">
        <f t="shared" si="28"/>
        <v>1</v>
      </c>
      <c r="CK26" s="640">
        <f t="shared" si="5"/>
        <v>0</v>
      </c>
      <c r="CL26" s="1091">
        <f t="shared" si="29"/>
        <v>0</v>
      </c>
      <c r="CM26" s="128">
        <f t="shared" si="6"/>
        <v>0</v>
      </c>
      <c r="CW26" s="122">
        <v>6</v>
      </c>
    </row>
    <row r="27" spans="1:101" s="70" customFormat="1" ht="267.75" hidden="1" x14ac:dyDescent="0.2">
      <c r="A27" s="834">
        <v>11900</v>
      </c>
      <c r="B27" s="827" t="s">
        <v>125</v>
      </c>
      <c r="C27" s="827" t="s">
        <v>330</v>
      </c>
      <c r="D27" s="827"/>
      <c r="E27" s="827" t="s">
        <v>1020</v>
      </c>
      <c r="F27" s="827" t="s">
        <v>1020</v>
      </c>
      <c r="G27" s="827"/>
      <c r="H27" s="827"/>
      <c r="I27" s="827"/>
      <c r="J27" s="827"/>
      <c r="K27" s="827"/>
      <c r="L27" s="827"/>
      <c r="M27" s="827"/>
      <c r="N27" s="827"/>
      <c r="O27" s="827"/>
      <c r="P27" s="827"/>
      <c r="Q27" s="827" t="s">
        <v>204</v>
      </c>
      <c r="R27" s="827" t="s">
        <v>204</v>
      </c>
      <c r="S27" s="835" t="s">
        <v>126</v>
      </c>
      <c r="T27" s="827" t="s">
        <v>60</v>
      </c>
      <c r="U27" s="827" t="s">
        <v>204</v>
      </c>
      <c r="V27" s="827" t="s">
        <v>204</v>
      </c>
      <c r="W27" s="835" t="s">
        <v>618</v>
      </c>
      <c r="X27" s="827" t="s">
        <v>443</v>
      </c>
      <c r="Y27" s="860" t="s">
        <v>51</v>
      </c>
      <c r="Z27" s="826">
        <v>1</v>
      </c>
      <c r="AA27" s="1139"/>
      <c r="AB27" s="1202"/>
      <c r="AC27" s="1156"/>
      <c r="AD27" s="832">
        <v>1</v>
      </c>
      <c r="AE27" s="827" t="s">
        <v>17</v>
      </c>
      <c r="AF27" s="827" t="s">
        <v>28</v>
      </c>
      <c r="AG27" s="827" t="s">
        <v>204</v>
      </c>
      <c r="AH27" s="827" t="s">
        <v>635</v>
      </c>
      <c r="AI27" s="827" t="s">
        <v>1036</v>
      </c>
      <c r="AJ27" s="1072"/>
      <c r="AK27" s="827" t="s">
        <v>1537</v>
      </c>
      <c r="AL27" s="827" t="s">
        <v>204</v>
      </c>
      <c r="AM27" s="826">
        <v>1</v>
      </c>
      <c r="AN27" s="1072"/>
      <c r="AO27" s="1148"/>
      <c r="AP27" s="860" t="s">
        <v>46</v>
      </c>
      <c r="AQ27" s="826">
        <v>0.25</v>
      </c>
      <c r="AR27" s="1072"/>
      <c r="AS27" s="1075"/>
      <c r="AT27" s="832">
        <f>(1460/1542)*25%</f>
        <v>0.23670557717250323</v>
      </c>
      <c r="AU27" s="1139"/>
      <c r="AV27" s="828">
        <f t="shared" si="0"/>
        <v>0.94682230869001294</v>
      </c>
      <c r="AW27" s="1073"/>
      <c r="AX27" s="828">
        <f t="shared" si="1"/>
        <v>0.23670557717250323</v>
      </c>
      <c r="AY27" s="1073"/>
      <c r="AZ27" s="534" t="s">
        <v>1392</v>
      </c>
      <c r="BA27" s="826">
        <v>0.25</v>
      </c>
      <c r="BB27" s="1072"/>
      <c r="BC27" s="1075"/>
      <c r="BD27" s="848">
        <f>(350/373)*25%</f>
        <v>0.23458445040214476</v>
      </c>
      <c r="BE27" s="1075"/>
      <c r="BF27" s="828">
        <f t="shared" si="13"/>
        <v>0.93833780160857905</v>
      </c>
      <c r="BG27" s="1073"/>
      <c r="BH27" s="828">
        <f t="shared" si="15"/>
        <v>0.471290027574648</v>
      </c>
      <c r="BI27" s="1073"/>
      <c r="BJ27" s="829" t="s">
        <v>1713</v>
      </c>
      <c r="BK27" s="826">
        <v>0.25</v>
      </c>
      <c r="BL27" s="1072"/>
      <c r="BM27" s="1075"/>
      <c r="BN27" s="1003">
        <f>159/245*25%</f>
        <v>0.16224489795918368</v>
      </c>
      <c r="BO27" s="1075"/>
      <c r="BP27" s="828">
        <f t="shared" si="17"/>
        <v>0.6489795918367347</v>
      </c>
      <c r="BQ27" s="1073"/>
      <c r="BR27" s="828">
        <f t="shared" si="19"/>
        <v>0.63353492553383162</v>
      </c>
      <c r="BS27" s="1073"/>
      <c r="BT27" s="1001" t="s">
        <v>1940</v>
      </c>
      <c r="BU27" s="826">
        <v>0.25</v>
      </c>
      <c r="BV27" s="1072"/>
      <c r="BW27" s="1075"/>
      <c r="BX27" s="835"/>
      <c r="BY27" s="1139"/>
      <c r="BZ27" s="826">
        <f t="shared" si="22"/>
        <v>0</v>
      </c>
      <c r="CA27" s="1141"/>
      <c r="CB27" s="826">
        <f t="shared" si="24"/>
        <v>0.63353492553383162</v>
      </c>
      <c r="CC27" s="1141"/>
      <c r="CD27" s="826"/>
      <c r="CE27" s="640">
        <f t="shared" si="2"/>
        <v>0.94682230869001294</v>
      </c>
      <c r="CF27" s="1092"/>
      <c r="CG27" s="640">
        <f t="shared" si="3"/>
        <v>0.93833780160857905</v>
      </c>
      <c r="CH27" s="1092"/>
      <c r="CI27" s="640">
        <f t="shared" si="4"/>
        <v>0.6489795918367347</v>
      </c>
      <c r="CJ27" s="1092"/>
      <c r="CK27" s="640">
        <f t="shared" si="5"/>
        <v>0</v>
      </c>
      <c r="CL27" s="1091"/>
      <c r="CM27" s="128">
        <f t="shared" si="6"/>
        <v>0</v>
      </c>
      <c r="CW27" s="122">
        <v>6</v>
      </c>
    </row>
    <row r="28" spans="1:101" s="70" customFormat="1" ht="89.25" hidden="1" x14ac:dyDescent="0.2">
      <c r="A28" s="834">
        <v>11900</v>
      </c>
      <c r="B28" s="827" t="s">
        <v>125</v>
      </c>
      <c r="C28" s="827" t="s">
        <v>330</v>
      </c>
      <c r="D28" s="827"/>
      <c r="E28" s="827" t="s">
        <v>1020</v>
      </c>
      <c r="F28" s="827" t="s">
        <v>1020</v>
      </c>
      <c r="G28" s="827"/>
      <c r="H28" s="827"/>
      <c r="I28" s="827"/>
      <c r="J28" s="827"/>
      <c r="K28" s="827"/>
      <c r="L28" s="827"/>
      <c r="M28" s="827"/>
      <c r="N28" s="827"/>
      <c r="O28" s="827"/>
      <c r="P28" s="827"/>
      <c r="Q28" s="827" t="s">
        <v>204</v>
      </c>
      <c r="R28" s="827" t="s">
        <v>204</v>
      </c>
      <c r="S28" s="835" t="s">
        <v>126</v>
      </c>
      <c r="T28" s="827" t="s">
        <v>60</v>
      </c>
      <c r="U28" s="827" t="s">
        <v>204</v>
      </c>
      <c r="V28" s="827" t="s">
        <v>204</v>
      </c>
      <c r="W28" s="835" t="s">
        <v>619</v>
      </c>
      <c r="X28" s="827" t="s">
        <v>441</v>
      </c>
      <c r="Y28" s="860" t="s">
        <v>442</v>
      </c>
      <c r="Z28" s="66">
        <v>4</v>
      </c>
      <c r="AA28" s="1139"/>
      <c r="AB28" s="1202"/>
      <c r="AC28" s="1156"/>
      <c r="AD28" s="832">
        <v>1</v>
      </c>
      <c r="AE28" s="827" t="s">
        <v>17</v>
      </c>
      <c r="AF28" s="827" t="s">
        <v>28</v>
      </c>
      <c r="AG28" s="827" t="s">
        <v>204</v>
      </c>
      <c r="AH28" s="827" t="s">
        <v>635</v>
      </c>
      <c r="AI28" s="827" t="s">
        <v>1036</v>
      </c>
      <c r="AJ28" s="1072"/>
      <c r="AK28" s="827" t="s">
        <v>1538</v>
      </c>
      <c r="AL28" s="827" t="s">
        <v>204</v>
      </c>
      <c r="AM28" s="66">
        <v>4</v>
      </c>
      <c r="AN28" s="1072"/>
      <c r="AO28" s="1148"/>
      <c r="AP28" s="860" t="s">
        <v>46</v>
      </c>
      <c r="AQ28" s="898">
        <v>1</v>
      </c>
      <c r="AR28" s="1072"/>
      <c r="AS28" s="1075"/>
      <c r="AT28" s="835">
        <v>1</v>
      </c>
      <c r="AU28" s="1139"/>
      <c r="AV28" s="828">
        <f t="shared" si="0"/>
        <v>1</v>
      </c>
      <c r="AW28" s="1073"/>
      <c r="AX28" s="828">
        <f t="shared" si="1"/>
        <v>0.25</v>
      </c>
      <c r="AY28" s="1073"/>
      <c r="AZ28" s="534" t="s">
        <v>1393</v>
      </c>
      <c r="BA28" s="898">
        <v>1</v>
      </c>
      <c r="BB28" s="1072"/>
      <c r="BC28" s="1075"/>
      <c r="BD28" s="838">
        <v>1</v>
      </c>
      <c r="BE28" s="1075"/>
      <c r="BF28" s="828">
        <f t="shared" si="13"/>
        <v>1</v>
      </c>
      <c r="BG28" s="1073"/>
      <c r="BH28" s="828">
        <f t="shared" si="15"/>
        <v>0.5</v>
      </c>
      <c r="BI28" s="1073"/>
      <c r="BJ28" s="830" t="s">
        <v>1714</v>
      </c>
      <c r="BK28" s="898">
        <v>1</v>
      </c>
      <c r="BL28" s="1072"/>
      <c r="BM28" s="1075"/>
      <c r="BN28" s="998">
        <v>1</v>
      </c>
      <c r="BO28" s="1075"/>
      <c r="BP28" s="828">
        <f t="shared" si="17"/>
        <v>1</v>
      </c>
      <c r="BQ28" s="1073"/>
      <c r="BR28" s="828">
        <f t="shared" si="19"/>
        <v>0.75</v>
      </c>
      <c r="BS28" s="1073"/>
      <c r="BT28" s="994" t="s">
        <v>1941</v>
      </c>
      <c r="BU28" s="898">
        <v>1</v>
      </c>
      <c r="BV28" s="1072"/>
      <c r="BW28" s="1075"/>
      <c r="BX28" s="835"/>
      <c r="BY28" s="1139"/>
      <c r="BZ28" s="826">
        <f t="shared" si="22"/>
        <v>0</v>
      </c>
      <c r="CA28" s="1141"/>
      <c r="CB28" s="826">
        <f t="shared" si="24"/>
        <v>0.75</v>
      </c>
      <c r="CC28" s="1141"/>
      <c r="CD28" s="826"/>
      <c r="CE28" s="640">
        <f t="shared" si="2"/>
        <v>1</v>
      </c>
      <c r="CF28" s="1092"/>
      <c r="CG28" s="640">
        <f t="shared" si="3"/>
        <v>1</v>
      </c>
      <c r="CH28" s="1092"/>
      <c r="CI28" s="640">
        <f t="shared" si="4"/>
        <v>1</v>
      </c>
      <c r="CJ28" s="1092"/>
      <c r="CK28" s="640">
        <f t="shared" si="5"/>
        <v>0</v>
      </c>
      <c r="CL28" s="1091"/>
      <c r="CM28" s="128">
        <f t="shared" si="6"/>
        <v>0</v>
      </c>
      <c r="CW28" s="122">
        <v>6</v>
      </c>
    </row>
    <row r="29" spans="1:101" s="70" customFormat="1" ht="127.5" hidden="1" customHeight="1" x14ac:dyDescent="0.2">
      <c r="A29" s="834">
        <v>11900</v>
      </c>
      <c r="B29" s="827" t="s">
        <v>125</v>
      </c>
      <c r="C29" s="827" t="s">
        <v>330</v>
      </c>
      <c r="D29" s="827"/>
      <c r="E29" s="827" t="s">
        <v>1020</v>
      </c>
      <c r="F29" s="827" t="s">
        <v>1020</v>
      </c>
      <c r="G29" s="827"/>
      <c r="H29" s="827"/>
      <c r="I29" s="827"/>
      <c r="J29" s="827"/>
      <c r="K29" s="827"/>
      <c r="L29" s="827"/>
      <c r="M29" s="827"/>
      <c r="N29" s="827"/>
      <c r="O29" s="827"/>
      <c r="P29" s="827"/>
      <c r="Q29" s="827" t="s">
        <v>204</v>
      </c>
      <c r="R29" s="827" t="s">
        <v>204</v>
      </c>
      <c r="S29" s="835" t="s">
        <v>126</v>
      </c>
      <c r="T29" s="827" t="s">
        <v>60</v>
      </c>
      <c r="U29" s="827" t="s">
        <v>204</v>
      </c>
      <c r="V29" s="827" t="s">
        <v>204</v>
      </c>
      <c r="W29" s="1139" t="s">
        <v>622</v>
      </c>
      <c r="X29" s="1072" t="s">
        <v>444</v>
      </c>
      <c r="Y29" s="1068" t="s">
        <v>51</v>
      </c>
      <c r="Z29" s="1141">
        <v>1</v>
      </c>
      <c r="AA29" s="1139" t="s">
        <v>621</v>
      </c>
      <c r="AB29" s="1202" t="s">
        <v>892</v>
      </c>
      <c r="AC29" s="1156">
        <v>163716864</v>
      </c>
      <c r="AD29" s="1147">
        <v>1</v>
      </c>
      <c r="AE29" s="1072" t="s">
        <v>17</v>
      </c>
      <c r="AF29" s="1072" t="s">
        <v>28</v>
      </c>
      <c r="AG29" s="1072" t="s">
        <v>204</v>
      </c>
      <c r="AH29" s="1072" t="s">
        <v>635</v>
      </c>
      <c r="AI29" s="1072" t="s">
        <v>1036</v>
      </c>
      <c r="AJ29" s="1072" t="s">
        <v>1284</v>
      </c>
      <c r="AK29" s="827" t="s">
        <v>1540</v>
      </c>
      <c r="AL29" s="1072" t="s">
        <v>204</v>
      </c>
      <c r="AM29" s="832">
        <v>1</v>
      </c>
      <c r="AN29" s="1072" t="str">
        <f>+AB29</f>
        <v>Ejercer la representación judicial en los procesos penales y denuncias en que sea parte la ADRES.</v>
      </c>
      <c r="AO29" s="1148">
        <f>+AC29</f>
        <v>163716864</v>
      </c>
      <c r="AP29" s="860" t="s">
        <v>46</v>
      </c>
      <c r="AQ29" s="826">
        <v>0.25</v>
      </c>
      <c r="AR29" s="1072" t="str">
        <f>+AN29</f>
        <v>Ejercer la representación judicial en los procesos penales y denuncias en que sea parte la ADRES.</v>
      </c>
      <c r="AS29" s="1075">
        <f>+AO29/4</f>
        <v>40929216</v>
      </c>
      <c r="AT29" s="832">
        <f>16/56*25%</f>
        <v>7.1428571428571425E-2</v>
      </c>
      <c r="AU29" s="1139" t="s">
        <v>1385</v>
      </c>
      <c r="AV29" s="828">
        <f t="shared" si="0"/>
        <v>0.2857142857142857</v>
      </c>
      <c r="AW29" s="1073">
        <f>+(AU29/AS29)</f>
        <v>0.58888887585826222</v>
      </c>
      <c r="AX29" s="828">
        <f t="shared" si="1"/>
        <v>7.1428571428571425E-2</v>
      </c>
      <c r="AY29" s="1073">
        <f>+(AU29/AO29)</f>
        <v>0.14722221896456555</v>
      </c>
      <c r="AZ29" s="468" t="s">
        <v>1394</v>
      </c>
      <c r="BA29" s="826">
        <v>0.25</v>
      </c>
      <c r="BB29" s="1072" t="str">
        <f>+AN29</f>
        <v>Ejercer la representación judicial en los procesos penales y denuncias en que sea parte la ADRES.</v>
      </c>
      <c r="BC29" s="1075">
        <f>+AO29/4</f>
        <v>40929216</v>
      </c>
      <c r="BD29" s="848">
        <f>(15/16*25%)</f>
        <v>0.234375</v>
      </c>
      <c r="BE29" s="1075">
        <v>40929216</v>
      </c>
      <c r="BF29" s="828">
        <f>+(BD29/BA29)</f>
        <v>0.9375</v>
      </c>
      <c r="BG29" s="1073">
        <f>+(BE29/BC29)</f>
        <v>1</v>
      </c>
      <c r="BH29" s="828">
        <f>+(BD29+AT29)/AM29</f>
        <v>0.3058035714285714</v>
      </c>
      <c r="BI29" s="1073">
        <f>+(BE29+AU29)/AO29</f>
        <v>0.39722221896456555</v>
      </c>
      <c r="BJ29" s="829" t="s">
        <v>1715</v>
      </c>
      <c r="BK29" s="826">
        <v>0.25</v>
      </c>
      <c r="BL29" s="1072" t="str">
        <f>+AN29</f>
        <v>Ejercer la representación judicial en los procesos penales y denuncias en que sea parte la ADRES.</v>
      </c>
      <c r="BM29" s="1075">
        <f>+AO29/4</f>
        <v>40929216</v>
      </c>
      <c r="BN29" s="993">
        <f>(77/77*25%)</f>
        <v>0.25</v>
      </c>
      <c r="BO29" s="1075">
        <v>40929216</v>
      </c>
      <c r="BP29" s="828">
        <f t="shared" si="17"/>
        <v>1</v>
      </c>
      <c r="BQ29" s="1073">
        <f>+(BO29/BM29)</f>
        <v>1</v>
      </c>
      <c r="BR29" s="828">
        <f t="shared" si="19"/>
        <v>0.5558035714285714</v>
      </c>
      <c r="BS29" s="1073">
        <f>+(BE29+AU29+BO29)/AO29</f>
        <v>0.64722221896456555</v>
      </c>
      <c r="BT29" s="1001" t="s">
        <v>1942</v>
      </c>
      <c r="BU29" s="826">
        <v>0.25</v>
      </c>
      <c r="BV29" s="1072" t="str">
        <f>+AN29</f>
        <v>Ejercer la representación judicial en los procesos penales y denuncias en que sea parte la ADRES.</v>
      </c>
      <c r="BW29" s="1075">
        <f>+AO29/4</f>
        <v>40929216</v>
      </c>
      <c r="BX29" s="835"/>
      <c r="BY29" s="1139"/>
      <c r="BZ29" s="826">
        <f t="shared" si="22"/>
        <v>0</v>
      </c>
      <c r="CA29" s="1141">
        <f>+(BY29/BW29)</f>
        <v>0</v>
      </c>
      <c r="CB29" s="826">
        <f t="shared" si="24"/>
        <v>0.5558035714285714</v>
      </c>
      <c r="CC29" s="1141">
        <f>+(BE29+AU29+BO29+BY29)/AO29</f>
        <v>0.64722221896456555</v>
      </c>
      <c r="CD29" s="826"/>
      <c r="CE29" s="640">
        <f t="shared" si="2"/>
        <v>0.2857142857142857</v>
      </c>
      <c r="CF29" s="1092">
        <f>IF(AND(AS29=0,AU29=0),"No Prog ni Ejec",IF(AS29=0,CONCATENATE("No Prog, Ejec=  ",AU29),AU29/AS29))</f>
        <v>0.58888887585826222</v>
      </c>
      <c r="CG29" s="640">
        <f t="shared" si="3"/>
        <v>0.9375</v>
      </c>
      <c r="CH29" s="1092">
        <f>IF(AND(BC29=0,BE29=0),"No Prog ni Ejec",IF(BC29=0,CONCATENATE("No Prog, Ejec=  ",BE29),BE29/BC29))</f>
        <v>1</v>
      </c>
      <c r="CI29" s="640">
        <f t="shared" si="4"/>
        <v>1</v>
      </c>
      <c r="CJ29" s="1092">
        <f>IF(AND(BM29=0,BO29=0),"No Prog ni Ejec",IF(BM29=0,CONCATENATE("No Prog, Ejec=  ",BO29),BO29/BM29))</f>
        <v>1</v>
      </c>
      <c r="CK29" s="640">
        <f t="shared" si="5"/>
        <v>0</v>
      </c>
      <c r="CL29" s="1091">
        <f>IF(AND(BW29=0,BY29=0),"No Prog ni Ejec",IF(BW29=0,CONCATENATE("No Prog, Ejec=  ",BY29),BY29/BW29))</f>
        <v>0</v>
      </c>
      <c r="CM29" s="128">
        <f t="shared" si="6"/>
        <v>0</v>
      </c>
      <c r="CW29" s="122">
        <v>6</v>
      </c>
    </row>
    <row r="30" spans="1:101" s="70" customFormat="1" ht="38.25" hidden="1" x14ac:dyDescent="0.2">
      <c r="A30" s="834">
        <v>11900</v>
      </c>
      <c r="B30" s="827" t="s">
        <v>125</v>
      </c>
      <c r="C30" s="827" t="s">
        <v>330</v>
      </c>
      <c r="D30" s="827"/>
      <c r="E30" s="827" t="s">
        <v>1020</v>
      </c>
      <c r="F30" s="827" t="s">
        <v>1020</v>
      </c>
      <c r="G30" s="827"/>
      <c r="H30" s="827"/>
      <c r="I30" s="827"/>
      <c r="J30" s="827"/>
      <c r="K30" s="827"/>
      <c r="L30" s="827"/>
      <c r="M30" s="827"/>
      <c r="N30" s="827"/>
      <c r="O30" s="827"/>
      <c r="P30" s="827"/>
      <c r="Q30" s="827" t="s">
        <v>204</v>
      </c>
      <c r="R30" s="827" t="s">
        <v>204</v>
      </c>
      <c r="S30" s="835" t="s">
        <v>126</v>
      </c>
      <c r="T30" s="827" t="s">
        <v>60</v>
      </c>
      <c r="U30" s="827" t="s">
        <v>204</v>
      </c>
      <c r="V30" s="827" t="s">
        <v>204</v>
      </c>
      <c r="W30" s="1139"/>
      <c r="X30" s="1072"/>
      <c r="Y30" s="1068"/>
      <c r="Z30" s="1141"/>
      <c r="AA30" s="1139"/>
      <c r="AB30" s="1202"/>
      <c r="AC30" s="1156"/>
      <c r="AD30" s="1147"/>
      <c r="AE30" s="1072"/>
      <c r="AF30" s="1072"/>
      <c r="AG30" s="1072"/>
      <c r="AH30" s="1072"/>
      <c r="AI30" s="1072"/>
      <c r="AJ30" s="1072"/>
      <c r="AK30" s="827" t="s">
        <v>1541</v>
      </c>
      <c r="AL30" s="1072"/>
      <c r="AM30" s="832">
        <v>1</v>
      </c>
      <c r="AN30" s="1072"/>
      <c r="AO30" s="1148"/>
      <c r="AP30" s="860" t="s">
        <v>46</v>
      </c>
      <c r="AQ30" s="826">
        <v>0.25</v>
      </c>
      <c r="AR30" s="1072"/>
      <c r="AS30" s="1075"/>
      <c r="AT30" s="835">
        <f>0/333*25%</f>
        <v>0</v>
      </c>
      <c r="AU30" s="1139"/>
      <c r="AV30" s="828">
        <f t="shared" si="0"/>
        <v>0</v>
      </c>
      <c r="AW30" s="1073"/>
      <c r="AX30" s="828">
        <f t="shared" si="1"/>
        <v>0</v>
      </c>
      <c r="AY30" s="1073"/>
      <c r="AZ30" s="468" t="s">
        <v>1395</v>
      </c>
      <c r="BA30" s="826">
        <v>0.25</v>
      </c>
      <c r="BB30" s="1072"/>
      <c r="BC30" s="1075"/>
      <c r="BD30" s="848">
        <f>(2/2*25%)</f>
        <v>0.25</v>
      </c>
      <c r="BE30" s="1075"/>
      <c r="BF30" s="828">
        <f>+(BD30/BA30)</f>
        <v>1</v>
      </c>
      <c r="BG30" s="1073"/>
      <c r="BH30" s="828">
        <f>+(BD30+AT30)/AM30</f>
        <v>0.25</v>
      </c>
      <c r="BI30" s="1073"/>
      <c r="BJ30" s="830" t="s">
        <v>1716</v>
      </c>
      <c r="BK30" s="826">
        <v>0.25</v>
      </c>
      <c r="BL30" s="1072"/>
      <c r="BM30" s="1075"/>
      <c r="BN30" s="993">
        <f>(3/3*25%)</f>
        <v>0.25</v>
      </c>
      <c r="BO30" s="1075"/>
      <c r="BP30" s="994">
        <f>+(BN30/BK30)</f>
        <v>1</v>
      </c>
      <c r="BQ30" s="1073"/>
      <c r="BR30" s="994">
        <f>+(BD30+AT30+BN30)/AM30</f>
        <v>0.5</v>
      </c>
      <c r="BS30" s="1073"/>
      <c r="BT30" s="1001" t="s">
        <v>1943</v>
      </c>
      <c r="BU30" s="826">
        <v>0.25</v>
      </c>
      <c r="BV30" s="1072"/>
      <c r="BW30" s="1075"/>
      <c r="BX30" s="835"/>
      <c r="BY30" s="1139"/>
      <c r="BZ30" s="826"/>
      <c r="CA30" s="1141"/>
      <c r="CB30" s="826"/>
      <c r="CC30" s="1141"/>
      <c r="CD30" s="826"/>
      <c r="CE30" s="640">
        <f t="shared" si="2"/>
        <v>0</v>
      </c>
      <c r="CF30" s="1092"/>
      <c r="CG30" s="640">
        <f t="shared" si="3"/>
        <v>1</v>
      </c>
      <c r="CH30" s="1092"/>
      <c r="CI30" s="640">
        <f t="shared" si="4"/>
        <v>1</v>
      </c>
      <c r="CJ30" s="1092"/>
      <c r="CK30" s="640">
        <f t="shared" si="5"/>
        <v>0</v>
      </c>
      <c r="CL30" s="1091"/>
      <c r="CM30" s="128">
        <f t="shared" si="6"/>
        <v>0</v>
      </c>
    </row>
    <row r="31" spans="1:101" s="70" customFormat="1" ht="51" hidden="1" customHeight="1" x14ac:dyDescent="0.2">
      <c r="A31" s="834">
        <v>11900</v>
      </c>
      <c r="B31" s="827" t="s">
        <v>125</v>
      </c>
      <c r="C31" s="827" t="s">
        <v>330</v>
      </c>
      <c r="D31" s="827"/>
      <c r="E31" s="827" t="s">
        <v>1020</v>
      </c>
      <c r="F31" s="827" t="s">
        <v>1020</v>
      </c>
      <c r="G31" s="827"/>
      <c r="H31" s="827"/>
      <c r="I31" s="827"/>
      <c r="J31" s="827"/>
      <c r="K31" s="827"/>
      <c r="L31" s="827"/>
      <c r="M31" s="827"/>
      <c r="N31" s="827"/>
      <c r="O31" s="827"/>
      <c r="P31" s="827"/>
      <c r="Q31" s="827" t="s">
        <v>204</v>
      </c>
      <c r="R31" s="827" t="s">
        <v>204</v>
      </c>
      <c r="S31" s="835" t="s">
        <v>126</v>
      </c>
      <c r="T31" s="827" t="s">
        <v>60</v>
      </c>
      <c r="U31" s="827" t="s">
        <v>204</v>
      </c>
      <c r="V31" s="827" t="s">
        <v>204</v>
      </c>
      <c r="W31" s="835" t="s">
        <v>887</v>
      </c>
      <c r="X31" s="827" t="s">
        <v>893</v>
      </c>
      <c r="Y31" s="838" t="s">
        <v>51</v>
      </c>
      <c r="Z31" s="826">
        <v>1</v>
      </c>
      <c r="AA31" s="1139" t="s">
        <v>623</v>
      </c>
      <c r="AB31" s="1072" t="s">
        <v>445</v>
      </c>
      <c r="AC31" s="1075">
        <f>1033837738-220976134</f>
        <v>812861604</v>
      </c>
      <c r="AD31" s="832">
        <v>1</v>
      </c>
      <c r="AE31" s="827" t="s">
        <v>17</v>
      </c>
      <c r="AF31" s="827" t="s">
        <v>28</v>
      </c>
      <c r="AG31" s="827" t="s">
        <v>204</v>
      </c>
      <c r="AH31" s="827" t="s">
        <v>635</v>
      </c>
      <c r="AI31" s="827" t="s">
        <v>1036</v>
      </c>
      <c r="AJ31" s="1072" t="s">
        <v>1284</v>
      </c>
      <c r="AK31" s="827" t="s">
        <v>894</v>
      </c>
      <c r="AL31" s="827" t="s">
        <v>204</v>
      </c>
      <c r="AM31" s="832">
        <v>1</v>
      </c>
      <c r="AN31" s="1072" t="str">
        <f>+AB31</f>
        <v xml:space="preserve">Ejercer la representación prejudicial y  judicial en los procesos en que sea parte la  – ADRES </v>
      </c>
      <c r="AO31" s="1148">
        <f>+AC31</f>
        <v>812861604</v>
      </c>
      <c r="AP31" s="860" t="s">
        <v>46</v>
      </c>
      <c r="AQ31" s="826">
        <v>0.25</v>
      </c>
      <c r="AR31" s="1072" t="str">
        <f>+AN31</f>
        <v xml:space="preserve">Ejercer la representación prejudicial y  judicial en los procesos en que sea parte la  – ADRES </v>
      </c>
      <c r="AS31" s="1075">
        <f>+AO31/4</f>
        <v>203215401</v>
      </c>
      <c r="AT31" s="832">
        <f>(52/52)*25%</f>
        <v>0.25</v>
      </c>
      <c r="AU31" s="1233">
        <v>97596330.010000005</v>
      </c>
      <c r="AV31" s="828">
        <f t="shared" si="0"/>
        <v>1</v>
      </c>
      <c r="AW31" s="1073">
        <f>+(AU31/AS31)</f>
        <v>0.48026049959668166</v>
      </c>
      <c r="AX31" s="828">
        <f t="shared" si="1"/>
        <v>0.25</v>
      </c>
      <c r="AY31" s="1073">
        <f>+(AU31/AO31)</f>
        <v>0.12006512489917041</v>
      </c>
      <c r="AZ31" s="534" t="s">
        <v>1396</v>
      </c>
      <c r="BA31" s="826">
        <v>0.25</v>
      </c>
      <c r="BB31" s="1072" t="str">
        <f>+AN31</f>
        <v xml:space="preserve">Ejercer la representación prejudicial y  judicial en los procesos en que sea parte la  – ADRES </v>
      </c>
      <c r="BC31" s="1075">
        <f>+AO31/4</f>
        <v>203215401</v>
      </c>
      <c r="BD31" s="495">
        <f>(136/151*25%)</f>
        <v>0.2251655629139073</v>
      </c>
      <c r="BE31" s="1075">
        <v>136198593</v>
      </c>
      <c r="BF31" s="828">
        <f t="shared" ref="BF31:BF42" si="36">+(BD31/BA31)</f>
        <v>0.90066225165562919</v>
      </c>
      <c r="BG31" s="1073">
        <f>+(BE31/BC31)</f>
        <v>0.67021786896948821</v>
      </c>
      <c r="BH31" s="828">
        <f t="shared" ref="BH31:BH41" si="37">+(BD31+AT31)/AM31</f>
        <v>0.47516556291390732</v>
      </c>
      <c r="BI31" s="1073">
        <f>+(BE31+AU31)/AO31</f>
        <v>0.28761959214154242</v>
      </c>
      <c r="BJ31" s="829" t="s">
        <v>1717</v>
      </c>
      <c r="BK31" s="826">
        <v>0.25</v>
      </c>
      <c r="BL31" s="1072" t="str">
        <f>+AN31</f>
        <v xml:space="preserve">Ejercer la representación prejudicial y  judicial en los procesos en que sea parte la  – ADRES </v>
      </c>
      <c r="BM31" s="1075">
        <f>+AO31/4</f>
        <v>203215401</v>
      </c>
      <c r="BN31" s="1003">
        <f>125/125*25%</f>
        <v>0.25</v>
      </c>
      <c r="BO31" s="1075">
        <v>137554921</v>
      </c>
      <c r="BP31" s="828">
        <f t="shared" ref="BP31:BP42" si="38">+(BN31/BK31)</f>
        <v>1</v>
      </c>
      <c r="BQ31" s="1073">
        <f>+(BO31/BM31)</f>
        <v>0.67689220562569463</v>
      </c>
      <c r="BR31" s="828">
        <f t="shared" ref="BR31:BR41" si="39">+(BD31+AT31+BN31)/AM31</f>
        <v>0.72516556291390732</v>
      </c>
      <c r="BS31" s="1073">
        <f>+(BE31+AU31+BO31)/AO31</f>
        <v>0.45684264354796611</v>
      </c>
      <c r="BT31" s="1001" t="s">
        <v>1944</v>
      </c>
      <c r="BU31" s="826">
        <v>0.25</v>
      </c>
      <c r="BV31" s="1072" t="str">
        <f>+AN31</f>
        <v xml:space="preserve">Ejercer la representación prejudicial y  judicial en los procesos en que sea parte la  – ADRES </v>
      </c>
      <c r="BW31" s="1075">
        <f>+AO31/4</f>
        <v>203215401</v>
      </c>
      <c r="BX31" s="835"/>
      <c r="BY31" s="1139"/>
      <c r="BZ31" s="826">
        <f t="shared" ref="BZ31:BZ42" si="40">+(BX31/BU31)</f>
        <v>0</v>
      </c>
      <c r="CA31" s="1141">
        <f>+(BY31/BW31)</f>
        <v>0</v>
      </c>
      <c r="CB31" s="826">
        <f t="shared" ref="CB31:CB41" si="41">+(BD31+AT31+BN31+BX31)/AM31</f>
        <v>0.72516556291390732</v>
      </c>
      <c r="CC31" s="1141">
        <f>+(BE31+AU31+BO31+BY31)/AO31</f>
        <v>0.45684264354796611</v>
      </c>
      <c r="CD31" s="826"/>
      <c r="CE31" s="640">
        <f t="shared" si="2"/>
        <v>1</v>
      </c>
      <c r="CF31" s="1092">
        <f>IF(AND(AS31=0,AU31=0),"No Prog ni Ejec",IF(AS31=0,CONCATENATE("No Prog, Ejec=  ",AU31),AU31/AS31))</f>
        <v>0.48026049959668166</v>
      </c>
      <c r="CG31" s="640">
        <f t="shared" si="3"/>
        <v>0.90066225165562919</v>
      </c>
      <c r="CH31" s="1092">
        <f>IF(AND(BC31=0,BE31=0),"No Prog ni Ejec",IF(BC31=0,CONCATENATE("No Prog, Ejec=  ",BE31),BE31/BC31))</f>
        <v>0.67021786896948821</v>
      </c>
      <c r="CI31" s="640">
        <f t="shared" si="4"/>
        <v>1</v>
      </c>
      <c r="CJ31" s="1092">
        <f>IF(AND(BM31=0,BO31=0),"No Prog ni Ejec",IF(BM31=0,CONCATENATE("No Prog, Ejec=  ",BO31),BO31/BM31))</f>
        <v>0.67689220562569463</v>
      </c>
      <c r="CK31" s="640">
        <f t="shared" si="5"/>
        <v>0</v>
      </c>
      <c r="CL31" s="1091">
        <f>IF(AND(BW31=0,BY31=0),"No Prog ni Ejec",IF(BW31=0,CONCATENATE("No Prog, Ejec=  ",BY31),BY31/BW31))</f>
        <v>0</v>
      </c>
      <c r="CM31" s="128">
        <f t="shared" si="6"/>
        <v>0</v>
      </c>
      <c r="CW31" s="122">
        <v>6</v>
      </c>
    </row>
    <row r="32" spans="1:101" s="70" customFormat="1" ht="344.25" hidden="1" x14ac:dyDescent="0.2">
      <c r="A32" s="834">
        <v>11900</v>
      </c>
      <c r="B32" s="827" t="s">
        <v>125</v>
      </c>
      <c r="C32" s="827" t="s">
        <v>330</v>
      </c>
      <c r="D32" s="827"/>
      <c r="E32" s="827" t="s">
        <v>1020</v>
      </c>
      <c r="F32" s="827" t="s">
        <v>1020</v>
      </c>
      <c r="G32" s="827"/>
      <c r="H32" s="827"/>
      <c r="I32" s="827"/>
      <c r="J32" s="827"/>
      <c r="K32" s="827"/>
      <c r="L32" s="827"/>
      <c r="M32" s="827"/>
      <c r="N32" s="827"/>
      <c r="O32" s="827"/>
      <c r="P32" s="827"/>
      <c r="Q32" s="827" t="s">
        <v>204</v>
      </c>
      <c r="R32" s="827" t="s">
        <v>204</v>
      </c>
      <c r="S32" s="835" t="s">
        <v>126</v>
      </c>
      <c r="T32" s="827" t="s">
        <v>60</v>
      </c>
      <c r="U32" s="827" t="s">
        <v>204</v>
      </c>
      <c r="V32" s="827" t="s">
        <v>204</v>
      </c>
      <c r="W32" s="835" t="s">
        <v>931</v>
      </c>
      <c r="X32" s="827" t="s">
        <v>895</v>
      </c>
      <c r="Y32" s="838" t="s">
        <v>51</v>
      </c>
      <c r="Z32" s="826">
        <v>1</v>
      </c>
      <c r="AA32" s="1139"/>
      <c r="AB32" s="1072"/>
      <c r="AC32" s="1075"/>
      <c r="AD32" s="832">
        <v>1</v>
      </c>
      <c r="AE32" s="827" t="s">
        <v>17</v>
      </c>
      <c r="AF32" s="827" t="s">
        <v>28</v>
      </c>
      <c r="AG32" s="827" t="s">
        <v>204</v>
      </c>
      <c r="AH32" s="827" t="s">
        <v>635</v>
      </c>
      <c r="AI32" s="827" t="s">
        <v>1036</v>
      </c>
      <c r="AJ32" s="1072"/>
      <c r="AK32" s="827" t="s">
        <v>896</v>
      </c>
      <c r="AL32" s="827" t="s">
        <v>204</v>
      </c>
      <c r="AM32" s="832">
        <v>1</v>
      </c>
      <c r="AN32" s="1072"/>
      <c r="AO32" s="1148"/>
      <c r="AP32" s="860" t="s">
        <v>46</v>
      </c>
      <c r="AQ32" s="826">
        <v>0.25</v>
      </c>
      <c r="AR32" s="1072"/>
      <c r="AS32" s="1075"/>
      <c r="AT32" s="832">
        <f>34/34*25%</f>
        <v>0.25</v>
      </c>
      <c r="AU32" s="1139"/>
      <c r="AV32" s="828">
        <f t="shared" si="0"/>
        <v>1</v>
      </c>
      <c r="AW32" s="1073"/>
      <c r="AX32" s="828">
        <f t="shared" si="1"/>
        <v>0.25</v>
      </c>
      <c r="AY32" s="1073"/>
      <c r="AZ32" s="468" t="s">
        <v>1397</v>
      </c>
      <c r="BA32" s="826">
        <v>0.25</v>
      </c>
      <c r="BB32" s="1072"/>
      <c r="BC32" s="1075"/>
      <c r="BD32" s="848">
        <f>(48/54*25%)</f>
        <v>0.22222222222222221</v>
      </c>
      <c r="BE32" s="1075"/>
      <c r="BF32" s="828">
        <f t="shared" si="36"/>
        <v>0.88888888888888884</v>
      </c>
      <c r="BG32" s="1073"/>
      <c r="BH32" s="828">
        <f t="shared" si="37"/>
        <v>0.47222222222222221</v>
      </c>
      <c r="BI32" s="1073"/>
      <c r="BJ32" s="829" t="s">
        <v>1718</v>
      </c>
      <c r="BK32" s="826">
        <v>0.25</v>
      </c>
      <c r="BL32" s="1072"/>
      <c r="BM32" s="1075"/>
      <c r="BN32" s="1003">
        <f>138/142*25%</f>
        <v>0.24295774647887325</v>
      </c>
      <c r="BO32" s="1075"/>
      <c r="BP32" s="828">
        <f t="shared" si="38"/>
        <v>0.971830985915493</v>
      </c>
      <c r="BQ32" s="1073"/>
      <c r="BR32" s="828">
        <f t="shared" si="39"/>
        <v>0.71517996870109546</v>
      </c>
      <c r="BS32" s="1073"/>
      <c r="BT32" s="997" t="s">
        <v>1945</v>
      </c>
      <c r="BU32" s="826">
        <v>0.25</v>
      </c>
      <c r="BV32" s="1072"/>
      <c r="BW32" s="1075"/>
      <c r="BX32" s="835"/>
      <c r="BY32" s="1139"/>
      <c r="BZ32" s="826">
        <f t="shared" si="40"/>
        <v>0</v>
      </c>
      <c r="CA32" s="1141"/>
      <c r="CB32" s="826">
        <f t="shared" si="41"/>
        <v>0.71517996870109546</v>
      </c>
      <c r="CC32" s="1141"/>
      <c r="CD32" s="826"/>
      <c r="CE32" s="640">
        <f t="shared" si="2"/>
        <v>1</v>
      </c>
      <c r="CF32" s="1092"/>
      <c r="CG32" s="640">
        <f t="shared" si="3"/>
        <v>0.88888888888888884</v>
      </c>
      <c r="CH32" s="1092"/>
      <c r="CI32" s="640">
        <f t="shared" si="4"/>
        <v>0.971830985915493</v>
      </c>
      <c r="CJ32" s="1092"/>
      <c r="CK32" s="640">
        <f t="shared" si="5"/>
        <v>0</v>
      </c>
      <c r="CL32" s="1091"/>
      <c r="CM32" s="128">
        <f t="shared" si="6"/>
        <v>0</v>
      </c>
      <c r="CW32" s="122">
        <v>6</v>
      </c>
    </row>
    <row r="33" spans="1:107" s="70" customFormat="1" ht="216.75" hidden="1" x14ac:dyDescent="0.2">
      <c r="A33" s="834">
        <v>11900</v>
      </c>
      <c r="B33" s="827" t="s">
        <v>125</v>
      </c>
      <c r="C33" s="827" t="s">
        <v>330</v>
      </c>
      <c r="D33" s="827"/>
      <c r="E33" s="827" t="s">
        <v>1020</v>
      </c>
      <c r="F33" s="827" t="s">
        <v>1020</v>
      </c>
      <c r="G33" s="827"/>
      <c r="H33" s="827"/>
      <c r="I33" s="827"/>
      <c r="J33" s="827"/>
      <c r="K33" s="827"/>
      <c r="L33" s="827"/>
      <c r="M33" s="827"/>
      <c r="N33" s="827"/>
      <c r="O33" s="827"/>
      <c r="P33" s="827"/>
      <c r="Q33" s="827" t="s">
        <v>204</v>
      </c>
      <c r="R33" s="827" t="s">
        <v>204</v>
      </c>
      <c r="S33" s="835" t="s">
        <v>126</v>
      </c>
      <c r="T33" s="827" t="s">
        <v>60</v>
      </c>
      <c r="U33" s="827" t="s">
        <v>204</v>
      </c>
      <c r="V33" s="827" t="s">
        <v>204</v>
      </c>
      <c r="W33" s="835" t="s">
        <v>932</v>
      </c>
      <c r="X33" s="827" t="s">
        <v>897</v>
      </c>
      <c r="Y33" s="838" t="s">
        <v>51</v>
      </c>
      <c r="Z33" s="826">
        <v>1</v>
      </c>
      <c r="AA33" s="1139"/>
      <c r="AB33" s="1072"/>
      <c r="AC33" s="1075"/>
      <c r="AD33" s="832">
        <v>1</v>
      </c>
      <c r="AE33" s="827" t="s">
        <v>17</v>
      </c>
      <c r="AF33" s="827" t="s">
        <v>28</v>
      </c>
      <c r="AG33" s="827" t="s">
        <v>204</v>
      </c>
      <c r="AH33" s="827" t="s">
        <v>635</v>
      </c>
      <c r="AI33" s="827" t="s">
        <v>1036</v>
      </c>
      <c r="AJ33" s="1072"/>
      <c r="AK33" s="827" t="s">
        <v>898</v>
      </c>
      <c r="AL33" s="827" t="s">
        <v>204</v>
      </c>
      <c r="AM33" s="832">
        <v>1</v>
      </c>
      <c r="AN33" s="1072"/>
      <c r="AO33" s="1148"/>
      <c r="AP33" s="860" t="s">
        <v>46</v>
      </c>
      <c r="AQ33" s="826">
        <v>0.25</v>
      </c>
      <c r="AR33" s="1072"/>
      <c r="AS33" s="1075"/>
      <c r="AT33" s="832">
        <f>(39/94)*25%</f>
        <v>0.10372340425531915</v>
      </c>
      <c r="AU33" s="1139"/>
      <c r="AV33" s="828">
        <f t="shared" si="0"/>
        <v>0.41489361702127658</v>
      </c>
      <c r="AW33" s="1073"/>
      <c r="AX33" s="828">
        <f t="shared" si="1"/>
        <v>0.10372340425531915</v>
      </c>
      <c r="AY33" s="1073"/>
      <c r="AZ33" s="534" t="s">
        <v>1398</v>
      </c>
      <c r="BA33" s="826">
        <v>0.25</v>
      </c>
      <c r="BB33" s="1072"/>
      <c r="BC33" s="1075"/>
      <c r="BD33" s="848">
        <f>(14/31*25%)</f>
        <v>0.11290322580645161</v>
      </c>
      <c r="BE33" s="1075"/>
      <c r="BF33" s="828">
        <f t="shared" si="36"/>
        <v>0.45161290322580644</v>
      </c>
      <c r="BG33" s="1073"/>
      <c r="BH33" s="828">
        <f t="shared" si="37"/>
        <v>0.21662663006177074</v>
      </c>
      <c r="BI33" s="1073"/>
      <c r="BJ33" s="830" t="s">
        <v>1719</v>
      </c>
      <c r="BK33" s="826">
        <v>0.25</v>
      </c>
      <c r="BL33" s="1072"/>
      <c r="BM33" s="1075"/>
      <c r="BN33" s="1003">
        <f>28/28*25%</f>
        <v>0.25</v>
      </c>
      <c r="BO33" s="1075"/>
      <c r="BP33" s="828">
        <f t="shared" si="38"/>
        <v>1</v>
      </c>
      <c r="BQ33" s="1073"/>
      <c r="BR33" s="828">
        <f t="shared" si="39"/>
        <v>0.46662663006177074</v>
      </c>
      <c r="BS33" s="1073"/>
      <c r="BT33" s="997" t="s">
        <v>1946</v>
      </c>
      <c r="BU33" s="826">
        <v>0.25</v>
      </c>
      <c r="BV33" s="1072"/>
      <c r="BW33" s="1075"/>
      <c r="BX33" s="835"/>
      <c r="BY33" s="1139"/>
      <c r="BZ33" s="826">
        <f t="shared" si="40"/>
        <v>0</v>
      </c>
      <c r="CA33" s="1141"/>
      <c r="CB33" s="826">
        <f t="shared" si="41"/>
        <v>0.46662663006177074</v>
      </c>
      <c r="CC33" s="1141"/>
      <c r="CD33" s="826"/>
      <c r="CE33" s="640">
        <f t="shared" si="2"/>
        <v>0.41489361702127658</v>
      </c>
      <c r="CF33" s="1092"/>
      <c r="CG33" s="640">
        <f t="shared" si="3"/>
        <v>0.45161290322580644</v>
      </c>
      <c r="CH33" s="1092"/>
      <c r="CI33" s="640">
        <f t="shared" si="4"/>
        <v>1</v>
      </c>
      <c r="CJ33" s="1092"/>
      <c r="CK33" s="640">
        <f t="shared" si="5"/>
        <v>0</v>
      </c>
      <c r="CL33" s="1091"/>
      <c r="CM33" s="128">
        <f t="shared" si="6"/>
        <v>0</v>
      </c>
      <c r="CW33" s="122">
        <v>6</v>
      </c>
    </row>
    <row r="34" spans="1:107" s="70" customFormat="1" ht="140.25" hidden="1" x14ac:dyDescent="0.2">
      <c r="A34" s="834">
        <v>11900</v>
      </c>
      <c r="B34" s="827" t="s">
        <v>125</v>
      </c>
      <c r="C34" s="827" t="s">
        <v>330</v>
      </c>
      <c r="D34" s="827"/>
      <c r="E34" s="827" t="s">
        <v>1020</v>
      </c>
      <c r="F34" s="827" t="s">
        <v>1020</v>
      </c>
      <c r="G34" s="827"/>
      <c r="H34" s="827"/>
      <c r="I34" s="827"/>
      <c r="J34" s="827"/>
      <c r="K34" s="827"/>
      <c r="L34" s="827"/>
      <c r="M34" s="827"/>
      <c r="N34" s="827"/>
      <c r="O34" s="827"/>
      <c r="P34" s="827"/>
      <c r="Q34" s="827" t="s">
        <v>204</v>
      </c>
      <c r="R34" s="827" t="s">
        <v>204</v>
      </c>
      <c r="S34" s="835" t="s">
        <v>126</v>
      </c>
      <c r="T34" s="827" t="s">
        <v>60</v>
      </c>
      <c r="U34" s="827" t="s">
        <v>204</v>
      </c>
      <c r="V34" s="827" t="s">
        <v>204</v>
      </c>
      <c r="W34" s="835" t="s">
        <v>933</v>
      </c>
      <c r="X34" s="827" t="s">
        <v>899</v>
      </c>
      <c r="Y34" s="838" t="s">
        <v>51</v>
      </c>
      <c r="Z34" s="826">
        <v>1</v>
      </c>
      <c r="AA34" s="1139"/>
      <c r="AB34" s="1072"/>
      <c r="AC34" s="1075"/>
      <c r="AD34" s="832">
        <v>1</v>
      </c>
      <c r="AE34" s="827" t="s">
        <v>17</v>
      </c>
      <c r="AF34" s="827" t="s">
        <v>28</v>
      </c>
      <c r="AG34" s="827" t="s">
        <v>204</v>
      </c>
      <c r="AH34" s="827" t="s">
        <v>635</v>
      </c>
      <c r="AI34" s="827" t="s">
        <v>1036</v>
      </c>
      <c r="AJ34" s="1072"/>
      <c r="AK34" s="827" t="s">
        <v>446</v>
      </c>
      <c r="AL34" s="827" t="s">
        <v>204</v>
      </c>
      <c r="AM34" s="832">
        <v>1</v>
      </c>
      <c r="AN34" s="1072"/>
      <c r="AO34" s="1148"/>
      <c r="AP34" s="860" t="s">
        <v>46</v>
      </c>
      <c r="AQ34" s="826">
        <v>0.25</v>
      </c>
      <c r="AR34" s="1072"/>
      <c r="AS34" s="1075"/>
      <c r="AT34" s="832">
        <f>116/117*25%</f>
        <v>0.24786324786324787</v>
      </c>
      <c r="AU34" s="1139"/>
      <c r="AV34" s="828">
        <f t="shared" si="0"/>
        <v>0.99145299145299148</v>
      </c>
      <c r="AW34" s="1073"/>
      <c r="AX34" s="828">
        <f t="shared" si="1"/>
        <v>0.24786324786324787</v>
      </c>
      <c r="AY34" s="1073"/>
      <c r="AZ34" s="535" t="s">
        <v>1399</v>
      </c>
      <c r="BA34" s="826">
        <v>0.25</v>
      </c>
      <c r="BB34" s="1072"/>
      <c r="BC34" s="1075"/>
      <c r="BD34" s="848">
        <f>(36/36*25%)</f>
        <v>0.25</v>
      </c>
      <c r="BE34" s="1075"/>
      <c r="BF34" s="828">
        <f t="shared" si="36"/>
        <v>1</v>
      </c>
      <c r="BG34" s="1073"/>
      <c r="BH34" s="828">
        <f t="shared" si="37"/>
        <v>0.49786324786324787</v>
      </c>
      <c r="BI34" s="1073"/>
      <c r="BJ34" s="830" t="s">
        <v>1720</v>
      </c>
      <c r="BK34" s="826">
        <v>0.25</v>
      </c>
      <c r="BL34" s="1072"/>
      <c r="BM34" s="1075"/>
      <c r="BN34" s="1003">
        <f>45/45*25%</f>
        <v>0.25</v>
      </c>
      <c r="BO34" s="1075"/>
      <c r="BP34" s="828">
        <f t="shared" si="38"/>
        <v>1</v>
      </c>
      <c r="BQ34" s="1073"/>
      <c r="BR34" s="828">
        <f t="shared" si="39"/>
        <v>0.74786324786324787</v>
      </c>
      <c r="BS34" s="1073"/>
      <c r="BT34" s="997" t="s">
        <v>1947</v>
      </c>
      <c r="BU34" s="826">
        <v>0.25</v>
      </c>
      <c r="BV34" s="1072"/>
      <c r="BW34" s="1075"/>
      <c r="BX34" s="835"/>
      <c r="BY34" s="1139"/>
      <c r="BZ34" s="826">
        <f t="shared" si="40"/>
        <v>0</v>
      </c>
      <c r="CA34" s="1141"/>
      <c r="CB34" s="826">
        <f t="shared" si="41"/>
        <v>0.74786324786324787</v>
      </c>
      <c r="CC34" s="1141"/>
      <c r="CD34" s="826"/>
      <c r="CE34" s="640">
        <f t="shared" si="2"/>
        <v>0.99145299145299148</v>
      </c>
      <c r="CF34" s="1092"/>
      <c r="CG34" s="640">
        <f t="shared" si="3"/>
        <v>1</v>
      </c>
      <c r="CH34" s="1092"/>
      <c r="CI34" s="640">
        <f t="shared" si="4"/>
        <v>1</v>
      </c>
      <c r="CJ34" s="1092"/>
      <c r="CK34" s="640">
        <f t="shared" si="5"/>
        <v>0</v>
      </c>
      <c r="CL34" s="1091"/>
      <c r="CM34" s="128">
        <f t="shared" si="6"/>
        <v>0</v>
      </c>
      <c r="CW34" s="122">
        <v>6</v>
      </c>
    </row>
    <row r="35" spans="1:107" s="578" customFormat="1" ht="127.5" hidden="1" customHeight="1" x14ac:dyDescent="0.2">
      <c r="A35" s="857">
        <v>11900</v>
      </c>
      <c r="B35" s="853" t="s">
        <v>125</v>
      </c>
      <c r="C35" s="853" t="s">
        <v>330</v>
      </c>
      <c r="D35" s="827"/>
      <c r="E35" s="827" t="s">
        <v>1020</v>
      </c>
      <c r="F35" s="827" t="s">
        <v>1020</v>
      </c>
      <c r="G35" s="827"/>
      <c r="H35" s="827"/>
      <c r="I35" s="827"/>
      <c r="J35" s="827"/>
      <c r="K35" s="827"/>
      <c r="L35" s="827"/>
      <c r="M35" s="827"/>
      <c r="N35" s="827"/>
      <c r="O35" s="827"/>
      <c r="P35" s="827"/>
      <c r="Q35" s="827" t="s">
        <v>204</v>
      </c>
      <c r="R35" s="827" t="s">
        <v>204</v>
      </c>
      <c r="S35" s="835" t="s">
        <v>126</v>
      </c>
      <c r="T35" s="827" t="s">
        <v>60</v>
      </c>
      <c r="U35" s="827" t="s">
        <v>204</v>
      </c>
      <c r="V35" s="827" t="s">
        <v>204</v>
      </c>
      <c r="W35" s="858" t="s">
        <v>625</v>
      </c>
      <c r="X35" s="853" t="s">
        <v>131</v>
      </c>
      <c r="Y35" s="572" t="s">
        <v>51</v>
      </c>
      <c r="Z35" s="863">
        <v>1</v>
      </c>
      <c r="AA35" s="1205" t="s">
        <v>624</v>
      </c>
      <c r="AB35" s="1211" t="s">
        <v>447</v>
      </c>
      <c r="AC35" s="1212">
        <v>45152000</v>
      </c>
      <c r="AD35" s="832">
        <v>1</v>
      </c>
      <c r="AE35" s="827" t="s">
        <v>17</v>
      </c>
      <c r="AF35" s="827" t="s">
        <v>28</v>
      </c>
      <c r="AG35" s="827" t="s">
        <v>204</v>
      </c>
      <c r="AH35" s="827" t="s">
        <v>635</v>
      </c>
      <c r="AI35" s="827" t="s">
        <v>1036</v>
      </c>
      <c r="AJ35" s="1072" t="s">
        <v>1284</v>
      </c>
      <c r="AK35" s="853" t="s">
        <v>176</v>
      </c>
      <c r="AL35" s="827" t="s">
        <v>204</v>
      </c>
      <c r="AM35" s="863">
        <v>1</v>
      </c>
      <c r="AN35" s="1198" t="str">
        <f>+AB35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O35" s="1206">
        <f>+AC35</f>
        <v>45152000</v>
      </c>
      <c r="AP35" s="860" t="s">
        <v>46</v>
      </c>
      <c r="AQ35" s="579">
        <v>0.25</v>
      </c>
      <c r="AR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AS35" s="1199">
        <f>+AO35/4</f>
        <v>11288000</v>
      </c>
      <c r="AT35" s="579">
        <f>(12/12)*25%</f>
        <v>0.25</v>
      </c>
      <c r="AU35" s="1213">
        <v>8296000</v>
      </c>
      <c r="AV35" s="856">
        <f t="shared" si="0"/>
        <v>1</v>
      </c>
      <c r="AW35" s="1207">
        <f>+(AU35/AS35)</f>
        <v>0.73493975903614461</v>
      </c>
      <c r="AX35" s="856">
        <f t="shared" si="1"/>
        <v>0.25</v>
      </c>
      <c r="AY35" s="1207">
        <f>+(AU35/AO35)</f>
        <v>0.18373493975903615</v>
      </c>
      <c r="AZ35" s="579" t="s">
        <v>1400</v>
      </c>
      <c r="BA35" s="579">
        <v>0.25</v>
      </c>
      <c r="BB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C35" s="1199">
        <f>+AO35/4</f>
        <v>11288000</v>
      </c>
      <c r="BD35" s="572"/>
      <c r="BE35" s="1199"/>
      <c r="BF35" s="856">
        <f t="shared" si="36"/>
        <v>0</v>
      </c>
      <c r="BG35" s="1207">
        <f>+(BE35/BC35)</f>
        <v>0</v>
      </c>
      <c r="BH35" s="856">
        <f t="shared" si="37"/>
        <v>0.25</v>
      </c>
      <c r="BI35" s="1207">
        <f>+(BE35+AU35)/AO35</f>
        <v>0.18373493975903615</v>
      </c>
      <c r="BJ35" s="684"/>
      <c r="BK35" s="579">
        <v>0.25</v>
      </c>
      <c r="BL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M35" s="1199">
        <f>+AO35/4</f>
        <v>11288000</v>
      </c>
      <c r="BN35" s="858"/>
      <c r="BO35" s="1199"/>
      <c r="BP35" s="856">
        <f t="shared" si="38"/>
        <v>0</v>
      </c>
      <c r="BQ35" s="1207">
        <f>+(BO35/BM35)</f>
        <v>0</v>
      </c>
      <c r="BR35" s="856">
        <f t="shared" si="39"/>
        <v>0.25</v>
      </c>
      <c r="BS35" s="1207">
        <f>+(BE35+AU35+BO35)/AO35</f>
        <v>0.18373493975903615</v>
      </c>
      <c r="BT35" s="856"/>
      <c r="BU35" s="579">
        <v>0.25</v>
      </c>
      <c r="BV35" s="1198" t="str">
        <f>+AN35</f>
        <v xml:space="preserve">Brindar respuesta a los recursos o revocatorias directas contra los actos administrativos expedidos por Colpensiones y  reclamaciones administrativas, para lo cual deberá agotar los tramites internos pertinentes con el fin de determinar la posibilidad de acuerdos conciliatorios o reconocimientos de pago previo a que se interponga alguna acción judicial por parte de las IPS o las EPS en contra de ADRES. </v>
      </c>
      <c r="BW35" s="1199">
        <f>+AO35/4</f>
        <v>11288000</v>
      </c>
      <c r="BX35" s="858"/>
      <c r="BY35" s="1205"/>
      <c r="BZ35" s="863">
        <f t="shared" si="40"/>
        <v>0</v>
      </c>
      <c r="CA35" s="1217">
        <f>+(BY35/BW35)</f>
        <v>0</v>
      </c>
      <c r="CB35" s="863">
        <f t="shared" si="41"/>
        <v>0.25</v>
      </c>
      <c r="CC35" s="1217">
        <f>+(BE35+AU35+BO35+BY35)/AO35</f>
        <v>0.18373493975903615</v>
      </c>
      <c r="CD35" s="863"/>
      <c r="CE35" s="642">
        <f t="shared" si="2"/>
        <v>1</v>
      </c>
      <c r="CF35" s="1224">
        <f>IF(AND(AS35=0,AU35=0),"No Prog ni Ejec",IF(AS35=0,CONCATENATE("No Prog, Ejec=  ",AU35),AU35/AS35))</f>
        <v>0.73493975903614461</v>
      </c>
      <c r="CG35" s="642">
        <f t="shared" si="3"/>
        <v>0</v>
      </c>
      <c r="CH35" s="1224">
        <f>IF(AND(BC35=0,BE35=0),"No Prog ni Ejec",IF(BC35=0,CONCATENATE("No Prog, Ejec=  ",BE35),BE35/BC35))</f>
        <v>0</v>
      </c>
      <c r="CI35" s="642">
        <f t="shared" si="4"/>
        <v>0</v>
      </c>
      <c r="CJ35" s="1224">
        <f>IF(AND(BM35=0,BO35=0),"No Prog ni Ejec",IF(BM35=0,CONCATENATE("No Prog, Ejec=  ",BO35),BO35/BM35))</f>
        <v>0</v>
      </c>
      <c r="CK35" s="642">
        <f t="shared" si="5"/>
        <v>0</v>
      </c>
      <c r="CL35" s="1225">
        <f>IF(AND(BW35=0,BY35=0),"No Prog ni Ejec",IF(BW35=0,CONCATENATE("No Prog, Ejec=  ",BY35),BY35/BW35))</f>
        <v>0</v>
      </c>
      <c r="CM35" s="577">
        <f t="shared" si="6"/>
        <v>0</v>
      </c>
      <c r="CR35" s="70"/>
      <c r="CS35" s="70"/>
      <c r="CT35" s="70"/>
      <c r="CU35" s="70"/>
      <c r="CV35" s="70"/>
      <c r="CW35" s="122">
        <v>6</v>
      </c>
      <c r="CX35" s="70"/>
      <c r="CY35" s="70"/>
      <c r="CZ35" s="70"/>
      <c r="DA35" s="70"/>
      <c r="DB35" s="70"/>
      <c r="DC35" s="70"/>
    </row>
    <row r="36" spans="1:107" s="578" customFormat="1" ht="51" hidden="1" x14ac:dyDescent="0.2">
      <c r="A36" s="857">
        <v>11900</v>
      </c>
      <c r="B36" s="853" t="s">
        <v>125</v>
      </c>
      <c r="C36" s="853" t="s">
        <v>330</v>
      </c>
      <c r="D36" s="827"/>
      <c r="E36" s="827" t="s">
        <v>1020</v>
      </c>
      <c r="F36" s="827" t="s">
        <v>1020</v>
      </c>
      <c r="G36" s="827"/>
      <c r="H36" s="827"/>
      <c r="I36" s="827"/>
      <c r="J36" s="827"/>
      <c r="K36" s="827"/>
      <c r="L36" s="827"/>
      <c r="M36" s="827"/>
      <c r="N36" s="827"/>
      <c r="O36" s="827"/>
      <c r="P36" s="827"/>
      <c r="Q36" s="827" t="s">
        <v>204</v>
      </c>
      <c r="R36" s="827" t="s">
        <v>204</v>
      </c>
      <c r="S36" s="835" t="s">
        <v>126</v>
      </c>
      <c r="T36" s="827" t="s">
        <v>60</v>
      </c>
      <c r="U36" s="827" t="s">
        <v>204</v>
      </c>
      <c r="V36" s="827" t="s">
        <v>204</v>
      </c>
      <c r="W36" s="858" t="s">
        <v>626</v>
      </c>
      <c r="X36" s="853" t="s">
        <v>448</v>
      </c>
      <c r="Y36" s="572" t="s">
        <v>51</v>
      </c>
      <c r="Z36" s="863">
        <v>1</v>
      </c>
      <c r="AA36" s="1205"/>
      <c r="AB36" s="1211"/>
      <c r="AC36" s="1212"/>
      <c r="AD36" s="832">
        <v>1</v>
      </c>
      <c r="AE36" s="827" t="s">
        <v>17</v>
      </c>
      <c r="AF36" s="827" t="s">
        <v>28</v>
      </c>
      <c r="AG36" s="827" t="s">
        <v>204</v>
      </c>
      <c r="AH36" s="827" t="s">
        <v>635</v>
      </c>
      <c r="AI36" s="827" t="s">
        <v>1036</v>
      </c>
      <c r="AJ36" s="1072"/>
      <c r="AK36" s="853" t="s">
        <v>900</v>
      </c>
      <c r="AL36" s="827" t="s">
        <v>204</v>
      </c>
      <c r="AM36" s="863">
        <v>1</v>
      </c>
      <c r="AN36" s="1198"/>
      <c r="AO36" s="1206"/>
      <c r="AP36" s="860" t="s">
        <v>46</v>
      </c>
      <c r="AQ36" s="579">
        <v>0.25</v>
      </c>
      <c r="AR36" s="1198"/>
      <c r="AS36" s="1199"/>
      <c r="AT36" s="858"/>
      <c r="AU36" s="1213"/>
      <c r="AV36" s="856">
        <f t="shared" si="0"/>
        <v>0</v>
      </c>
      <c r="AW36" s="1207"/>
      <c r="AX36" s="856">
        <f t="shared" si="1"/>
        <v>0</v>
      </c>
      <c r="AY36" s="1207"/>
      <c r="AZ36" s="590"/>
      <c r="BA36" s="579">
        <v>0.25</v>
      </c>
      <c r="BB36" s="1198"/>
      <c r="BC36" s="1199"/>
      <c r="BD36" s="572"/>
      <c r="BE36" s="1199"/>
      <c r="BF36" s="856">
        <f t="shared" si="36"/>
        <v>0</v>
      </c>
      <c r="BG36" s="1207"/>
      <c r="BH36" s="856">
        <f t="shared" si="37"/>
        <v>0</v>
      </c>
      <c r="BI36" s="1207"/>
      <c r="BJ36" s="684"/>
      <c r="BK36" s="579">
        <v>0.25</v>
      </c>
      <c r="BL36" s="1198"/>
      <c r="BM36" s="1199"/>
      <c r="BN36" s="858"/>
      <c r="BO36" s="1199"/>
      <c r="BP36" s="856">
        <f t="shared" si="38"/>
        <v>0</v>
      </c>
      <c r="BQ36" s="1207"/>
      <c r="BR36" s="856">
        <f t="shared" si="39"/>
        <v>0</v>
      </c>
      <c r="BS36" s="1207"/>
      <c r="BT36" s="856"/>
      <c r="BU36" s="579">
        <v>0.25</v>
      </c>
      <c r="BV36" s="1198"/>
      <c r="BW36" s="1199"/>
      <c r="BX36" s="858"/>
      <c r="BY36" s="1205"/>
      <c r="BZ36" s="863">
        <f t="shared" si="40"/>
        <v>0</v>
      </c>
      <c r="CA36" s="1217"/>
      <c r="CB36" s="863">
        <f t="shared" si="41"/>
        <v>0</v>
      </c>
      <c r="CC36" s="1217"/>
      <c r="CD36" s="863"/>
      <c r="CE36" s="642">
        <f t="shared" si="2"/>
        <v>0</v>
      </c>
      <c r="CF36" s="1224"/>
      <c r="CG36" s="642">
        <f t="shared" si="3"/>
        <v>0</v>
      </c>
      <c r="CH36" s="1224"/>
      <c r="CI36" s="642">
        <f t="shared" si="4"/>
        <v>0</v>
      </c>
      <c r="CJ36" s="1224"/>
      <c r="CK36" s="642">
        <f t="shared" si="5"/>
        <v>0</v>
      </c>
      <c r="CL36" s="1225"/>
      <c r="CM36" s="577">
        <f t="shared" si="6"/>
        <v>0</v>
      </c>
      <c r="CR36" s="70"/>
      <c r="CS36" s="70"/>
      <c r="CT36" s="70"/>
      <c r="CU36" s="70"/>
      <c r="CV36" s="70"/>
      <c r="CW36" s="122">
        <v>6</v>
      </c>
      <c r="CX36" s="70"/>
      <c r="CY36" s="70"/>
      <c r="CZ36" s="70"/>
      <c r="DA36" s="70"/>
      <c r="DB36" s="70"/>
      <c r="DC36" s="70"/>
    </row>
    <row r="37" spans="1:107" s="578" customFormat="1" ht="89.25" hidden="1" x14ac:dyDescent="0.2">
      <c r="A37" s="857">
        <v>11900</v>
      </c>
      <c r="B37" s="853" t="s">
        <v>125</v>
      </c>
      <c r="C37" s="853" t="s">
        <v>330</v>
      </c>
      <c r="D37" s="853"/>
      <c r="E37" s="853" t="s">
        <v>1020</v>
      </c>
      <c r="F37" s="853" t="s">
        <v>1020</v>
      </c>
      <c r="G37" s="853"/>
      <c r="H37" s="853"/>
      <c r="I37" s="853"/>
      <c r="J37" s="853"/>
      <c r="K37" s="853"/>
      <c r="L37" s="853"/>
      <c r="M37" s="853"/>
      <c r="N37" s="853"/>
      <c r="O37" s="853"/>
      <c r="P37" s="853"/>
      <c r="Q37" s="853" t="s">
        <v>204</v>
      </c>
      <c r="R37" s="853" t="s">
        <v>204</v>
      </c>
      <c r="S37" s="858" t="s">
        <v>126</v>
      </c>
      <c r="T37" s="853" t="s">
        <v>60</v>
      </c>
      <c r="U37" s="853" t="s">
        <v>204</v>
      </c>
      <c r="V37" s="853" t="s">
        <v>204</v>
      </c>
      <c r="W37" s="858" t="s">
        <v>934</v>
      </c>
      <c r="X37" s="853" t="s">
        <v>1611</v>
      </c>
      <c r="Y37" s="572" t="s">
        <v>51</v>
      </c>
      <c r="Z37" s="863">
        <v>0.25</v>
      </c>
      <c r="AA37" s="858" t="s">
        <v>627</v>
      </c>
      <c r="AB37" s="876" t="s">
        <v>449</v>
      </c>
      <c r="AC37" s="862">
        <v>12240000</v>
      </c>
      <c r="AD37" s="579">
        <v>1</v>
      </c>
      <c r="AE37" s="853" t="s">
        <v>17</v>
      </c>
      <c r="AF37" s="853" t="s">
        <v>28</v>
      </c>
      <c r="AG37" s="853" t="s">
        <v>204</v>
      </c>
      <c r="AH37" s="853" t="s">
        <v>635</v>
      </c>
      <c r="AI37" s="853" t="s">
        <v>1036</v>
      </c>
      <c r="AJ37" s="853" t="s">
        <v>204</v>
      </c>
      <c r="AK37" s="853" t="s">
        <v>1753</v>
      </c>
      <c r="AL37" s="853"/>
      <c r="AM37" s="863">
        <f>+Z37</f>
        <v>0.25</v>
      </c>
      <c r="AN37" s="853" t="str">
        <f t="shared" ref="AN37:AO39" si="42">+AB37</f>
        <v xml:space="preserve">Apoyar a la Oficina Asesora Jurídica en las actividades relacionadas con el ejercicio de las funciones de la Secretaría Técnica  del Comité de Conciliación;  y en las actividades propias de dicho organismo en el Ekogui. </v>
      </c>
      <c r="AO37" s="861">
        <f t="shared" si="42"/>
        <v>12240000</v>
      </c>
      <c r="AP37" s="876" t="s">
        <v>46</v>
      </c>
      <c r="AQ37" s="579">
        <v>0.25</v>
      </c>
      <c r="AR37" s="853" t="str">
        <f>+AN37</f>
        <v xml:space="preserve">Apoyar a la Oficina Asesora Jurídica en las actividades relacionadas con el ejercicio de las funciones de la Secretaría Técnica  del Comité de Conciliación;  y en las actividades propias de dicho organismo en el Ekogui. </v>
      </c>
      <c r="AS37" s="859">
        <f>+AO37</f>
        <v>12240000</v>
      </c>
      <c r="AT37" s="579">
        <f>1/5*25%</f>
        <v>0.05</v>
      </c>
      <c r="AU37" s="877">
        <v>6664000</v>
      </c>
      <c r="AV37" s="856">
        <f t="shared" si="0"/>
        <v>0.2</v>
      </c>
      <c r="AW37" s="856">
        <f>+(AU37/AS37)</f>
        <v>0.5444444444444444</v>
      </c>
      <c r="AX37" s="856">
        <f t="shared" si="1"/>
        <v>0.2</v>
      </c>
      <c r="AY37" s="856">
        <f>+(AU37/AO37)</f>
        <v>0.5444444444444444</v>
      </c>
      <c r="AZ37" s="579" t="s">
        <v>1401</v>
      </c>
      <c r="BA37" s="579">
        <v>0</v>
      </c>
      <c r="BB37" s="853" t="str">
        <f>+AN37</f>
        <v xml:space="preserve">Apoyar a la Oficina Asesora Jurídica en las actividades relacionadas con el ejercicio de las funciones de la Secretaría Técnica  del Comité de Conciliación;  y en las actividades propias de dicho organismo en el Ekogui. </v>
      </c>
      <c r="BC37" s="859">
        <v>0</v>
      </c>
      <c r="BD37" s="572"/>
      <c r="BE37" s="859"/>
      <c r="BF37" s="856" t="e">
        <f t="shared" si="36"/>
        <v>#DIV/0!</v>
      </c>
      <c r="BG37" s="856" t="e">
        <f>+(BE37/BC37)</f>
        <v>#DIV/0!</v>
      </c>
      <c r="BH37" s="856">
        <f t="shared" si="37"/>
        <v>0.2</v>
      </c>
      <c r="BI37" s="856">
        <f>+(BE37+AU37)/AO37</f>
        <v>0.5444444444444444</v>
      </c>
      <c r="BJ37" s="684"/>
      <c r="BK37" s="579">
        <v>0</v>
      </c>
      <c r="BL37" s="853" t="str">
        <f>+AN37</f>
        <v xml:space="preserve">Apoyar a la Oficina Asesora Jurídica en las actividades relacionadas con el ejercicio de las funciones de la Secretaría Técnica  del Comité de Conciliación;  y en las actividades propias de dicho organismo en el Ekogui. </v>
      </c>
      <c r="BM37" s="859">
        <v>0</v>
      </c>
      <c r="BN37" s="858"/>
      <c r="BO37" s="1007"/>
      <c r="BP37" s="856" t="e">
        <f t="shared" si="38"/>
        <v>#DIV/0!</v>
      </c>
      <c r="BQ37" s="856" t="e">
        <f>+(BO37/BM37)</f>
        <v>#DIV/0!</v>
      </c>
      <c r="BR37" s="856">
        <f t="shared" si="39"/>
        <v>0.2</v>
      </c>
      <c r="BS37" s="856">
        <f>+(BE37+AU37+BO37)/AO37</f>
        <v>0.5444444444444444</v>
      </c>
      <c r="BT37" s="856"/>
      <c r="BU37" s="579">
        <v>0</v>
      </c>
      <c r="BV37" s="853" t="str">
        <f>+AN37</f>
        <v xml:space="preserve">Apoyar a la Oficina Asesora Jurídica en las actividades relacionadas con el ejercicio de las funciones de la Secretaría Técnica  del Comité de Conciliación;  y en las actividades propias de dicho organismo en el Ekogui. </v>
      </c>
      <c r="BW37" s="859">
        <v>0</v>
      </c>
      <c r="BX37" s="858"/>
      <c r="BY37" s="858"/>
      <c r="BZ37" s="863" t="e">
        <f t="shared" si="40"/>
        <v>#DIV/0!</v>
      </c>
      <c r="CA37" s="863" t="e">
        <f>+(BY37/BW37)</f>
        <v>#DIV/0!</v>
      </c>
      <c r="CB37" s="863">
        <f t="shared" si="41"/>
        <v>0.2</v>
      </c>
      <c r="CC37" s="863">
        <f>+(BE37+AU37+BO37+BY37)/AO37</f>
        <v>0.5444444444444444</v>
      </c>
      <c r="CD37" s="863"/>
      <c r="CE37" s="640">
        <f t="shared" ref="CE37" si="43">IF(AND(AQ37=0,AT37=0),"No Prog ni Ejec",IF(AQ37=0,CONCATENATE("No Prog, Ejec=  ",AT37),AT37/AQ37))</f>
        <v>0.2</v>
      </c>
      <c r="CF37" s="640">
        <f>IF(AND(AS37=0,AU37=0),"No Prog ni Ejec",IF(AS37=0,CONCATENATE("No Prog, Ejec=  ",AU37),AU37/AS37))</f>
        <v>0.5444444444444444</v>
      </c>
      <c r="CG37" s="640" t="str">
        <f t="shared" ref="CG37" si="44">IF(AND(BA37=0,BD37=0),"No Prog ni Ejec",IF(BA37=0,CONCATENATE("No Prog, Ejec=  ",BD37),BD37/BA37))</f>
        <v>No Prog ni Ejec</v>
      </c>
      <c r="CH37" s="640" t="str">
        <f>IF(AND(BC37=0,BE37=0),"No Prog ni Ejec",IF(BC37=0,CONCATENATE("No Prog, Ejec=  ",BE37),BE37/BC37))</f>
        <v>No Prog ni Ejec</v>
      </c>
      <c r="CI37" s="640" t="str">
        <f t="shared" ref="CI37" si="45">IF(AND(BK37=0,BN37=0),"No Prog ni Ejec",IF(BK37=0,CONCATENATE("No Prog, Ejec=  ",BN37),BN37/BK37))</f>
        <v>No Prog ni Ejec</v>
      </c>
      <c r="CJ37" s="640" t="str">
        <f>IF(AND(BM37=0,BO37=0),"No Prog ni Ejec",IF(BM37=0,CONCATENATE("No Prog, Ejec=  ",BO37),BO37/BM37))</f>
        <v>No Prog ni Ejec</v>
      </c>
      <c r="CK37" s="640" t="str">
        <f t="shared" ref="CK37" si="46">IF(AND(BU37=0,BX37=0),"No Prog ni Ejec",IF(BU37=0,CONCATENATE("No Prog, Ejec=  ",BX37),BX37/BU37))</f>
        <v>No Prog ni Ejec</v>
      </c>
      <c r="CL37" s="698" t="str">
        <f>IF(AND(BW37=0,BY37=0),"No Prog ni Ejec",IF(BW37=0,CONCATENATE("No Prog, Ejec=  ",BY37),BY37/BW37))</f>
        <v>No Prog ni Ejec</v>
      </c>
      <c r="CM37" s="577">
        <f t="shared" si="6"/>
        <v>0</v>
      </c>
      <c r="CW37" s="798"/>
    </row>
    <row r="38" spans="1:107" s="70" customFormat="1" ht="114.75" hidden="1" x14ac:dyDescent="0.2">
      <c r="A38" s="834">
        <v>11900</v>
      </c>
      <c r="B38" s="827" t="s">
        <v>125</v>
      </c>
      <c r="C38" s="827" t="s">
        <v>330</v>
      </c>
      <c r="D38" s="827"/>
      <c r="E38" s="827" t="s">
        <v>1020</v>
      </c>
      <c r="F38" s="827" t="s">
        <v>1020</v>
      </c>
      <c r="G38" s="827"/>
      <c r="H38" s="827"/>
      <c r="I38" s="827"/>
      <c r="J38" s="827"/>
      <c r="K38" s="827"/>
      <c r="L38" s="827"/>
      <c r="M38" s="827"/>
      <c r="N38" s="827"/>
      <c r="O38" s="827"/>
      <c r="P38" s="827"/>
      <c r="Q38" s="827" t="s">
        <v>204</v>
      </c>
      <c r="R38" s="827" t="s">
        <v>204</v>
      </c>
      <c r="S38" s="835" t="s">
        <v>126</v>
      </c>
      <c r="T38" s="827" t="s">
        <v>60</v>
      </c>
      <c r="U38" s="827" t="s">
        <v>204</v>
      </c>
      <c r="V38" s="827" t="s">
        <v>204</v>
      </c>
      <c r="W38" s="835" t="s">
        <v>934</v>
      </c>
      <c r="X38" s="827" t="s">
        <v>1611</v>
      </c>
      <c r="Y38" s="838" t="s">
        <v>51</v>
      </c>
      <c r="Z38" s="826">
        <v>0.75</v>
      </c>
      <c r="AA38" s="835" t="s">
        <v>627</v>
      </c>
      <c r="AB38" s="860" t="s">
        <v>449</v>
      </c>
      <c r="AC38" s="850">
        <v>0</v>
      </c>
      <c r="AD38" s="832">
        <v>1</v>
      </c>
      <c r="AE38" s="827" t="s">
        <v>17</v>
      </c>
      <c r="AF38" s="827" t="s">
        <v>28</v>
      </c>
      <c r="AG38" s="827" t="s">
        <v>204</v>
      </c>
      <c r="AH38" s="827" t="s">
        <v>635</v>
      </c>
      <c r="AI38" s="827" t="s">
        <v>1036</v>
      </c>
      <c r="AJ38" s="827" t="s">
        <v>204</v>
      </c>
      <c r="AK38" s="827" t="s">
        <v>1543</v>
      </c>
      <c r="AL38" s="827" t="s">
        <v>204</v>
      </c>
      <c r="AM38" s="832">
        <f>+Z38</f>
        <v>0.75</v>
      </c>
      <c r="AN38" s="827" t="str">
        <f t="shared" si="42"/>
        <v xml:space="preserve">Apoyar a la Oficina Asesora Jurídica en las actividades relacionadas con el ejercicio de las funciones de la Secretaría Técnica  del Comité de Conciliación;  y en las actividades propias de dicho organismo en el Ekogui. </v>
      </c>
      <c r="AO38" s="833">
        <f t="shared" si="42"/>
        <v>0</v>
      </c>
      <c r="AP38" s="860" t="s">
        <v>48</v>
      </c>
      <c r="AQ38" s="826" t="s">
        <v>204</v>
      </c>
      <c r="AR38" s="827" t="str">
        <f>+AN38</f>
        <v xml:space="preserve">Apoyar a la Oficina Asesora Jurídica en las actividades relacionadas con el ejercicio de las funciones de la Secretaría Técnica  del Comité de Conciliación;  y en las actividades propias de dicho organismo en el Ekogui. </v>
      </c>
      <c r="AS38" s="831">
        <f>+AO38/4</f>
        <v>0</v>
      </c>
      <c r="AT38" s="832" t="s">
        <v>204</v>
      </c>
      <c r="AU38" s="531" t="s">
        <v>204</v>
      </c>
      <c r="AV38" s="828" t="e">
        <f t="shared" si="0"/>
        <v>#VALUE!</v>
      </c>
      <c r="AW38" s="828" t="e">
        <f>+(AU38/AS38)</f>
        <v>#VALUE!</v>
      </c>
      <c r="AX38" s="828" t="e">
        <f t="shared" si="1"/>
        <v>#VALUE!</v>
      </c>
      <c r="AY38" s="828" t="e">
        <f>+(AU38/AO38)</f>
        <v>#VALUE!</v>
      </c>
      <c r="AZ38" s="468"/>
      <c r="BA38" s="826">
        <v>0.25</v>
      </c>
      <c r="BB38" s="827" t="str">
        <f>+AN38</f>
        <v xml:space="preserve">Apoyar a la Oficina Asesora Jurídica en las actividades relacionadas con el ejercicio de las funciones de la Secretaría Técnica  del Comité de Conciliación;  y en las actividades propias de dicho organismo en el Ekogui. </v>
      </c>
      <c r="BC38" s="831">
        <f>+AO38/4</f>
        <v>0</v>
      </c>
      <c r="BD38" s="848">
        <f>(5/5*25%)</f>
        <v>0.25</v>
      </c>
      <c r="BE38" s="831">
        <v>0</v>
      </c>
      <c r="BF38" s="828">
        <f t="shared" si="36"/>
        <v>1</v>
      </c>
      <c r="BG38" s="828" t="e">
        <f>+(BE38/BC38)</f>
        <v>#DIV/0!</v>
      </c>
      <c r="BH38" s="828">
        <f>+(BD38)/AM38</f>
        <v>0.33333333333333331</v>
      </c>
      <c r="BI38" s="828" t="e">
        <f>+(BE38+AU38)/AO38</f>
        <v>#VALUE!</v>
      </c>
      <c r="BJ38" s="830" t="s">
        <v>1721</v>
      </c>
      <c r="BK38" s="826">
        <v>0.25</v>
      </c>
      <c r="BL38" s="827" t="str">
        <f>+AN38</f>
        <v xml:space="preserve">Apoyar a la Oficina Asesora Jurídica en las actividades relacionadas con el ejercicio de las funciones de la Secretaría Técnica  del Comité de Conciliación;  y en las actividades propias de dicho organismo en el Ekogui. </v>
      </c>
      <c r="BM38" s="831">
        <f>+AO38/4</f>
        <v>0</v>
      </c>
      <c r="BN38" s="1003">
        <f>4/9*25%</f>
        <v>0.1111111111111111</v>
      </c>
      <c r="BO38" s="995">
        <v>0</v>
      </c>
      <c r="BP38" s="828">
        <f t="shared" si="38"/>
        <v>0.44444444444444442</v>
      </c>
      <c r="BQ38" s="828" t="e">
        <f>+(BO38/BM38)</f>
        <v>#DIV/0!</v>
      </c>
      <c r="BR38" s="828">
        <f>+(BD38+BN38)/AM38</f>
        <v>0.48148148148148145</v>
      </c>
      <c r="BS38" s="828" t="e">
        <f>+(BE38+AU38+BO38)/AO38</f>
        <v>#VALUE!</v>
      </c>
      <c r="BT38" s="1002" t="s">
        <v>1948</v>
      </c>
      <c r="BU38" s="826">
        <v>0.25</v>
      </c>
      <c r="BV38" s="827" t="str">
        <f>+AN38</f>
        <v xml:space="preserve">Apoyar a la Oficina Asesora Jurídica en las actividades relacionadas con el ejercicio de las funciones de la Secretaría Técnica  del Comité de Conciliación;  y en las actividades propias de dicho organismo en el Ekogui. </v>
      </c>
      <c r="BW38" s="831">
        <f>+AO38/4</f>
        <v>0</v>
      </c>
      <c r="BX38" s="835"/>
      <c r="BY38" s="835"/>
      <c r="BZ38" s="826">
        <f t="shared" si="40"/>
        <v>0</v>
      </c>
      <c r="CA38" s="826" t="e">
        <f>+(BY38/BW38)</f>
        <v>#DIV/0!</v>
      </c>
      <c r="CB38" s="826">
        <f>+(BD38+BN38+BX38)/AM38</f>
        <v>0.48148148148148145</v>
      </c>
      <c r="CC38" s="826" t="e">
        <f>+(BE38+AU38+BO38+BY38)/AO38</f>
        <v>#VALUE!</v>
      </c>
      <c r="CD38" s="826"/>
      <c r="CE38" s="640" t="e">
        <f t="shared" si="2"/>
        <v>#VALUE!</v>
      </c>
      <c r="CF38" s="640" t="str">
        <f>IF(AND(AS38=0,AU38=0),"No Prog ni Ejec",IF(AS38=0,CONCATENATE("No Prog, Ejec=  ",AU38),AU38/AS38))</f>
        <v>No Prog, Ejec=  N.A</v>
      </c>
      <c r="CG38" s="640">
        <f t="shared" si="3"/>
        <v>1</v>
      </c>
      <c r="CH38" s="640" t="str">
        <f>IF(AND(BC38=0,BE38=0),"No Prog ni Ejec",IF(BC38=0,CONCATENATE("No Prog, Ejec=  ",BE38),BE38/BC38))</f>
        <v>No Prog ni Ejec</v>
      </c>
      <c r="CI38" s="640">
        <f t="shared" si="4"/>
        <v>0.44444444444444442</v>
      </c>
      <c r="CJ38" s="640" t="str">
        <f>IF(AND(BM38=0,BO38=0),"No Prog ni Ejec",IF(BM38=0,CONCATENATE("No Prog, Ejec=  ",BO38),BO38/BM38))</f>
        <v>No Prog ni Ejec</v>
      </c>
      <c r="CK38" s="640">
        <f t="shared" si="5"/>
        <v>0</v>
      </c>
      <c r="CL38" s="698" t="str">
        <f>IF(AND(BW38=0,BY38=0),"No Prog ni Ejec",IF(BW38=0,CONCATENATE("No Prog, Ejec=  ",BY38),BY38/BW38))</f>
        <v>No Prog ni Ejec</v>
      </c>
      <c r="CM38" s="128">
        <f t="shared" si="6"/>
        <v>0</v>
      </c>
      <c r="CW38" s="122">
        <v>6</v>
      </c>
    </row>
    <row r="39" spans="1:107" s="70" customFormat="1" ht="63.75" hidden="1" x14ac:dyDescent="0.2">
      <c r="A39" s="834">
        <v>11900</v>
      </c>
      <c r="B39" s="827" t="s">
        <v>125</v>
      </c>
      <c r="C39" s="827" t="s">
        <v>330</v>
      </c>
      <c r="D39" s="827"/>
      <c r="E39" s="827" t="s">
        <v>1020</v>
      </c>
      <c r="F39" s="827" t="s">
        <v>1020</v>
      </c>
      <c r="G39" s="827"/>
      <c r="H39" s="827"/>
      <c r="I39" s="827"/>
      <c r="J39" s="827"/>
      <c r="K39" s="827"/>
      <c r="L39" s="827"/>
      <c r="M39" s="827"/>
      <c r="N39" s="827"/>
      <c r="O39" s="827"/>
      <c r="P39" s="827"/>
      <c r="Q39" s="827" t="s">
        <v>204</v>
      </c>
      <c r="R39" s="827" t="s">
        <v>204</v>
      </c>
      <c r="S39" s="835" t="s">
        <v>126</v>
      </c>
      <c r="T39" s="827" t="s">
        <v>60</v>
      </c>
      <c r="U39" s="827" t="s">
        <v>204</v>
      </c>
      <c r="V39" s="827" t="s">
        <v>204</v>
      </c>
      <c r="W39" s="835" t="s">
        <v>651</v>
      </c>
      <c r="X39" s="827" t="s">
        <v>451</v>
      </c>
      <c r="Y39" s="838" t="s">
        <v>51</v>
      </c>
      <c r="Z39" s="826">
        <v>1</v>
      </c>
      <c r="AA39" s="1139" t="s">
        <v>650</v>
      </c>
      <c r="AB39" s="1202" t="s">
        <v>450</v>
      </c>
      <c r="AC39" s="1156">
        <v>27093804</v>
      </c>
      <c r="AD39" s="832">
        <v>1</v>
      </c>
      <c r="AE39" s="827" t="s">
        <v>17</v>
      </c>
      <c r="AF39" s="827" t="s">
        <v>28</v>
      </c>
      <c r="AG39" s="827" t="s">
        <v>204</v>
      </c>
      <c r="AH39" s="827" t="s">
        <v>635</v>
      </c>
      <c r="AI39" s="827" t="s">
        <v>1036</v>
      </c>
      <c r="AJ39" s="1154" t="s">
        <v>204</v>
      </c>
      <c r="AK39" s="827" t="s">
        <v>452</v>
      </c>
      <c r="AL39" s="827" t="s">
        <v>204</v>
      </c>
      <c r="AM39" s="826">
        <v>1</v>
      </c>
      <c r="AN39" s="1072" t="str">
        <f t="shared" si="42"/>
        <v>Apoyo a las actividades administrativas y operativas  requeridas por el Grupo de Representación Judicial</v>
      </c>
      <c r="AO39" s="1148">
        <f t="shared" si="42"/>
        <v>27093804</v>
      </c>
      <c r="AP39" s="860" t="s">
        <v>46</v>
      </c>
      <c r="AQ39" s="826">
        <v>0.25</v>
      </c>
      <c r="AR39" s="1072" t="str">
        <f>+AN39</f>
        <v>Apoyo a las actividades administrativas y operativas  requeridas por el Grupo de Representación Judicial</v>
      </c>
      <c r="AS39" s="1148">
        <f>+AO39/4</f>
        <v>6773451</v>
      </c>
      <c r="AT39" s="832">
        <f>641/641*25%</f>
        <v>0.25</v>
      </c>
      <c r="AU39" s="1139" t="s">
        <v>1386</v>
      </c>
      <c r="AV39" s="828">
        <f t="shared" si="0"/>
        <v>1</v>
      </c>
      <c r="AW39" s="1073">
        <f>+(AU39/AS39)</f>
        <v>0.66666651903143614</v>
      </c>
      <c r="AX39" s="828">
        <f t="shared" si="1"/>
        <v>0.25</v>
      </c>
      <c r="AY39" s="1073">
        <f>+(AU39/AO39)</f>
        <v>0.16666662975785904</v>
      </c>
      <c r="AZ39" s="468" t="s">
        <v>1402</v>
      </c>
      <c r="BA39" s="826">
        <v>0.25</v>
      </c>
      <c r="BB39" s="1072" t="str">
        <f>+AN39</f>
        <v>Apoyo a las actividades administrativas y operativas  requeridas por el Grupo de Representación Judicial</v>
      </c>
      <c r="BC39" s="1148">
        <f>+AO39/4</f>
        <v>6773451</v>
      </c>
      <c r="BD39" s="848">
        <f>(1501/1501*25%)</f>
        <v>0.25</v>
      </c>
      <c r="BE39" s="1075">
        <v>7389219</v>
      </c>
      <c r="BF39" s="828">
        <f t="shared" si="36"/>
        <v>1</v>
      </c>
      <c r="BG39" s="1073">
        <f>+(BE39/BC39)</f>
        <v>1.090909050644937</v>
      </c>
      <c r="BH39" s="828">
        <f t="shared" si="37"/>
        <v>0.5</v>
      </c>
      <c r="BI39" s="1073">
        <f>+(BE39+AU39)/AO39</f>
        <v>0.43939389241909332</v>
      </c>
      <c r="BJ39" s="830"/>
      <c r="BK39" s="826">
        <v>0.25</v>
      </c>
      <c r="BL39" s="1072" t="str">
        <f>+AN39</f>
        <v>Apoyo a las actividades administrativas y operativas  requeridas por el Grupo de Representación Judicial</v>
      </c>
      <c r="BM39" s="1148">
        <f>+AO39/4</f>
        <v>6773451</v>
      </c>
      <c r="BN39" s="1003">
        <f>1550/1550*25%</f>
        <v>0.25</v>
      </c>
      <c r="BO39" s="1075">
        <v>7389219</v>
      </c>
      <c r="BP39" s="828">
        <f t="shared" si="38"/>
        <v>1</v>
      </c>
      <c r="BQ39" s="1073">
        <f>+(BO39/BM39)</f>
        <v>1.090909050644937</v>
      </c>
      <c r="BR39" s="828">
        <f t="shared" si="39"/>
        <v>0.75</v>
      </c>
      <c r="BS39" s="1073">
        <f>+(BE39+AU39+BO39)/AO39</f>
        <v>0.71212115508032758</v>
      </c>
      <c r="BT39" s="1002" t="s">
        <v>1949</v>
      </c>
      <c r="BU39" s="826">
        <v>0.25</v>
      </c>
      <c r="BV39" s="1072" t="str">
        <f>+AN39</f>
        <v>Apoyo a las actividades administrativas y operativas  requeridas por el Grupo de Representación Judicial</v>
      </c>
      <c r="BW39" s="1148">
        <f>+AO39/4</f>
        <v>6773451</v>
      </c>
      <c r="BX39" s="835"/>
      <c r="BY39" s="1139"/>
      <c r="BZ39" s="826">
        <f t="shared" si="40"/>
        <v>0</v>
      </c>
      <c r="CA39" s="1141">
        <f>+(BY39/BW39)</f>
        <v>0</v>
      </c>
      <c r="CB39" s="826">
        <f t="shared" si="41"/>
        <v>0.75</v>
      </c>
      <c r="CC39" s="1141">
        <f>+(BE39+AU39+BO39+BY39)/AO39</f>
        <v>0.71212115508032758</v>
      </c>
      <c r="CD39" s="826"/>
      <c r="CE39" s="640">
        <f t="shared" si="2"/>
        <v>1</v>
      </c>
      <c r="CF39" s="1092">
        <f>IF(AND(AS39=0,AU39=0),"No Prog ni Ejec",IF(AS39=0,CONCATENATE("No Prog, Ejec=  ",AU39),AU39/AS39))</f>
        <v>0.66666651903143614</v>
      </c>
      <c r="CG39" s="640">
        <f t="shared" si="3"/>
        <v>1</v>
      </c>
      <c r="CH39" s="1092">
        <f>IF(AND(BC39=0,BE39=0),"No Prog ni Ejec",IF(BC39=0,CONCATENATE("No Prog, Ejec=  ",BE39),BE39/BC39))</f>
        <v>1.090909050644937</v>
      </c>
      <c r="CI39" s="640">
        <f t="shared" si="4"/>
        <v>1</v>
      </c>
      <c r="CJ39" s="1092">
        <f>IF(AND(BM39=0,BO39=0),"No Prog ni Ejec",IF(BM39=0,CONCATENATE("No Prog, Ejec=  ",BO39),BO39/BM39))</f>
        <v>1.090909050644937</v>
      </c>
      <c r="CK39" s="640">
        <f t="shared" si="5"/>
        <v>0</v>
      </c>
      <c r="CL39" s="1091">
        <f>IF(AND(BW39=0,BY39=0),"No Prog ni Ejec",IF(BW39=0,CONCATENATE("No Prog, Ejec=  ",BY39),BY39/BW39))</f>
        <v>0</v>
      </c>
      <c r="CM39" s="128">
        <f t="shared" si="6"/>
        <v>0</v>
      </c>
      <c r="CW39" s="122">
        <v>6</v>
      </c>
    </row>
    <row r="40" spans="1:107" s="70" customFormat="1" ht="51" hidden="1" x14ac:dyDescent="0.2">
      <c r="A40" s="834">
        <v>11900</v>
      </c>
      <c r="B40" s="827" t="s">
        <v>125</v>
      </c>
      <c r="C40" s="827" t="s">
        <v>330</v>
      </c>
      <c r="D40" s="827"/>
      <c r="E40" s="827" t="s">
        <v>1020</v>
      </c>
      <c r="F40" s="827" t="s">
        <v>1020</v>
      </c>
      <c r="G40" s="827"/>
      <c r="H40" s="827"/>
      <c r="I40" s="827"/>
      <c r="J40" s="827"/>
      <c r="K40" s="827"/>
      <c r="L40" s="827"/>
      <c r="M40" s="827"/>
      <c r="N40" s="827"/>
      <c r="O40" s="827"/>
      <c r="P40" s="827"/>
      <c r="Q40" s="827" t="s">
        <v>204</v>
      </c>
      <c r="R40" s="827" t="s">
        <v>204</v>
      </c>
      <c r="S40" s="835" t="s">
        <v>126</v>
      </c>
      <c r="T40" s="827" t="s">
        <v>60</v>
      </c>
      <c r="U40" s="827" t="s">
        <v>204</v>
      </c>
      <c r="V40" s="827" t="s">
        <v>204</v>
      </c>
      <c r="W40" s="835" t="s">
        <v>935</v>
      </c>
      <c r="X40" s="827" t="s">
        <v>453</v>
      </c>
      <c r="Y40" s="838" t="s">
        <v>51</v>
      </c>
      <c r="Z40" s="826">
        <v>1</v>
      </c>
      <c r="AA40" s="1139"/>
      <c r="AB40" s="1202"/>
      <c r="AC40" s="1156"/>
      <c r="AD40" s="832">
        <v>1</v>
      </c>
      <c r="AE40" s="827" t="s">
        <v>17</v>
      </c>
      <c r="AF40" s="827" t="s">
        <v>28</v>
      </c>
      <c r="AG40" s="827" t="s">
        <v>204</v>
      </c>
      <c r="AH40" s="827" t="s">
        <v>635</v>
      </c>
      <c r="AI40" s="827" t="s">
        <v>1036</v>
      </c>
      <c r="AJ40" s="1154"/>
      <c r="AK40" s="827" t="s">
        <v>454</v>
      </c>
      <c r="AL40" s="827" t="s">
        <v>204</v>
      </c>
      <c r="AM40" s="826">
        <v>1</v>
      </c>
      <c r="AN40" s="1072"/>
      <c r="AO40" s="1148"/>
      <c r="AP40" s="860" t="s">
        <v>46</v>
      </c>
      <c r="AQ40" s="826">
        <v>0.25</v>
      </c>
      <c r="AR40" s="1072"/>
      <c r="AS40" s="1148"/>
      <c r="AT40" s="832">
        <f>(899/899)*25%</f>
        <v>0.25</v>
      </c>
      <c r="AU40" s="1139"/>
      <c r="AV40" s="828">
        <f t="shared" si="0"/>
        <v>1</v>
      </c>
      <c r="AW40" s="1073"/>
      <c r="AX40" s="828">
        <f t="shared" si="1"/>
        <v>0.25</v>
      </c>
      <c r="AY40" s="1073"/>
      <c r="AZ40" s="468" t="s">
        <v>1403</v>
      </c>
      <c r="BA40" s="826">
        <v>0.25</v>
      </c>
      <c r="BB40" s="1072"/>
      <c r="BC40" s="1148"/>
      <c r="BD40" s="848">
        <f>(212/212*25%)</f>
        <v>0.25</v>
      </c>
      <c r="BE40" s="1075"/>
      <c r="BF40" s="828">
        <f t="shared" si="36"/>
        <v>1</v>
      </c>
      <c r="BG40" s="1073"/>
      <c r="BH40" s="828">
        <f t="shared" si="37"/>
        <v>0.5</v>
      </c>
      <c r="BI40" s="1073"/>
      <c r="BJ40" s="830"/>
      <c r="BK40" s="826">
        <v>0.25</v>
      </c>
      <c r="BL40" s="1072"/>
      <c r="BM40" s="1148"/>
      <c r="BN40" s="1003">
        <f>620/620*25%</f>
        <v>0.25</v>
      </c>
      <c r="BO40" s="1075"/>
      <c r="BP40" s="828">
        <f t="shared" si="38"/>
        <v>1</v>
      </c>
      <c r="BQ40" s="1073"/>
      <c r="BR40" s="828">
        <f t="shared" si="39"/>
        <v>0.75</v>
      </c>
      <c r="BS40" s="1073"/>
      <c r="BT40" s="994"/>
      <c r="BU40" s="826">
        <v>0.25</v>
      </c>
      <c r="BV40" s="1072"/>
      <c r="BW40" s="1148"/>
      <c r="BX40" s="835"/>
      <c r="BY40" s="1139"/>
      <c r="BZ40" s="826">
        <f t="shared" si="40"/>
        <v>0</v>
      </c>
      <c r="CA40" s="1141"/>
      <c r="CB40" s="826">
        <f t="shared" si="41"/>
        <v>0.75</v>
      </c>
      <c r="CC40" s="1141"/>
      <c r="CD40" s="826"/>
      <c r="CE40" s="640">
        <f t="shared" si="2"/>
        <v>1</v>
      </c>
      <c r="CF40" s="1092"/>
      <c r="CG40" s="640">
        <f t="shared" si="3"/>
        <v>1</v>
      </c>
      <c r="CH40" s="1092"/>
      <c r="CI40" s="640">
        <f t="shared" si="4"/>
        <v>1</v>
      </c>
      <c r="CJ40" s="1092"/>
      <c r="CK40" s="640">
        <f t="shared" si="5"/>
        <v>0</v>
      </c>
      <c r="CL40" s="1091"/>
      <c r="CM40" s="128">
        <f t="shared" si="6"/>
        <v>0</v>
      </c>
      <c r="CW40" s="122">
        <v>6</v>
      </c>
    </row>
    <row r="41" spans="1:107" s="70" customFormat="1" ht="102" hidden="1" x14ac:dyDescent="0.2">
      <c r="A41" s="834">
        <v>11900</v>
      </c>
      <c r="B41" s="827" t="s">
        <v>125</v>
      </c>
      <c r="C41" s="827" t="s">
        <v>330</v>
      </c>
      <c r="D41" s="827"/>
      <c r="E41" s="827" t="s">
        <v>1020</v>
      </c>
      <c r="F41" s="827" t="s">
        <v>1020</v>
      </c>
      <c r="G41" s="827"/>
      <c r="H41" s="827"/>
      <c r="I41" s="827"/>
      <c r="J41" s="827"/>
      <c r="K41" s="827"/>
      <c r="L41" s="827"/>
      <c r="M41" s="827"/>
      <c r="N41" s="827"/>
      <c r="O41" s="827"/>
      <c r="P41" s="827"/>
      <c r="Q41" s="827" t="s">
        <v>204</v>
      </c>
      <c r="R41" s="827" t="s">
        <v>204</v>
      </c>
      <c r="S41" s="835" t="s">
        <v>126</v>
      </c>
      <c r="T41" s="827" t="s">
        <v>60</v>
      </c>
      <c r="U41" s="827" t="s">
        <v>204</v>
      </c>
      <c r="V41" s="827" t="s">
        <v>204</v>
      </c>
      <c r="W41" s="835" t="s">
        <v>1297</v>
      </c>
      <c r="X41" s="827" t="s">
        <v>465</v>
      </c>
      <c r="Y41" s="838" t="s">
        <v>51</v>
      </c>
      <c r="Z41" s="826">
        <v>1</v>
      </c>
      <c r="AA41" s="835" t="s">
        <v>652</v>
      </c>
      <c r="AB41" s="827" t="s">
        <v>463</v>
      </c>
      <c r="AC41" s="831">
        <v>272704248</v>
      </c>
      <c r="AD41" s="832">
        <v>1</v>
      </c>
      <c r="AE41" s="827" t="s">
        <v>17</v>
      </c>
      <c r="AF41" s="827" t="s">
        <v>28</v>
      </c>
      <c r="AG41" s="827" t="s">
        <v>204</v>
      </c>
      <c r="AH41" s="827" t="s">
        <v>635</v>
      </c>
      <c r="AI41" s="827" t="s">
        <v>1044</v>
      </c>
      <c r="AJ41" s="827" t="s">
        <v>1285</v>
      </c>
      <c r="AK41" s="827" t="s">
        <v>464</v>
      </c>
      <c r="AL41" s="827" t="s">
        <v>204</v>
      </c>
      <c r="AM41" s="832">
        <v>1</v>
      </c>
      <c r="AN41" s="827" t="str">
        <f t="shared" ref="AN41:AN52" si="47">+AB41</f>
        <v xml:space="preserve">Tramitar las acciones constitucionales y demás asuntos derivados de éstas, que se instauren contra la Administradora de los Recursos del Sistema General de Seguridad Social en Salud - ADRES o contra el entonces FOSYGA. </v>
      </c>
      <c r="AO41" s="833">
        <f t="shared" ref="AO41:AO52" si="48">+AC41</f>
        <v>272704248</v>
      </c>
      <c r="AP41" s="860" t="s">
        <v>46</v>
      </c>
      <c r="AQ41" s="826">
        <v>0.25</v>
      </c>
      <c r="AR41" s="827" t="str">
        <f>+AN41</f>
        <v xml:space="preserve">Tramitar las acciones constitucionales y demás asuntos derivados de éstas, que se instauren contra la Administradora de los Recursos del Sistema General de Seguridad Social en Salud - ADRES o contra el entonces FOSYGA. </v>
      </c>
      <c r="AS41" s="831">
        <f>+AO41/4</f>
        <v>68176062</v>
      </c>
      <c r="AT41" s="826">
        <f>(28975/30113)*(25/100)</f>
        <v>0.24055225317968984</v>
      </c>
      <c r="AU41" s="835">
        <v>36478906</v>
      </c>
      <c r="AV41" s="828">
        <f t="shared" si="0"/>
        <v>0.96220901271875936</v>
      </c>
      <c r="AW41" s="828">
        <f>+(AU41/AS41)</f>
        <v>0.53506912734267342</v>
      </c>
      <c r="AX41" s="828">
        <f t="shared" si="1"/>
        <v>0.24055225317968984</v>
      </c>
      <c r="AY41" s="828">
        <f>+(AU41/AO41)</f>
        <v>0.13376728183566836</v>
      </c>
      <c r="AZ41" s="482" t="s">
        <v>1404</v>
      </c>
      <c r="BA41" s="826">
        <v>0.25</v>
      </c>
      <c r="BB41" s="827" t="str">
        <f>+AN41</f>
        <v xml:space="preserve">Tramitar las acciones constitucionales y demás asuntos derivados de éstas, que se instauren contra la Administradora de los Recursos del Sistema General de Seguridad Social en Salud - ADRES o contra el entonces FOSYGA. </v>
      </c>
      <c r="BC41" s="831">
        <f>+AO41/4</f>
        <v>68176062</v>
      </c>
      <c r="BD41" s="495">
        <f>((33634/33661)*(25/100))</f>
        <v>0.24979947119812246</v>
      </c>
      <c r="BE41" s="831">
        <v>53124814</v>
      </c>
      <c r="BF41" s="813">
        <f t="shared" si="36"/>
        <v>0.99919788479248983</v>
      </c>
      <c r="BG41" s="828">
        <f>+(BE41/BC41)</f>
        <v>0.77922972435691573</v>
      </c>
      <c r="BH41" s="828">
        <f t="shared" si="37"/>
        <v>0.49035172437781227</v>
      </c>
      <c r="BI41" s="828">
        <f>+(BE41+AU41)/AO41</f>
        <v>0.32857471292489732</v>
      </c>
      <c r="BJ41" s="830" t="s">
        <v>1722</v>
      </c>
      <c r="BK41" s="826">
        <v>0.25</v>
      </c>
      <c r="BL41" s="827" t="str">
        <f>+AN41</f>
        <v xml:space="preserve">Tramitar las acciones constitucionales y demás asuntos derivados de éstas, que se instauren contra la Administradora de los Recursos del Sistema General de Seguridad Social en Salud - ADRES o contra el entonces FOSYGA. </v>
      </c>
      <c r="BM41" s="831">
        <f>+AO41/4</f>
        <v>68176062</v>
      </c>
      <c r="BN41" s="532">
        <f>(33634/33661)*(25/100)</f>
        <v>0.24979947119812246</v>
      </c>
      <c r="BO41" s="995">
        <v>60690714</v>
      </c>
      <c r="BP41" s="813">
        <f t="shared" si="38"/>
        <v>0.99919788479248983</v>
      </c>
      <c r="BQ41" s="828">
        <f>+(BO41/BM41)</f>
        <v>0.89020562671983017</v>
      </c>
      <c r="BR41" s="828">
        <f t="shared" si="39"/>
        <v>0.74015119557593478</v>
      </c>
      <c r="BS41" s="828">
        <f>+(BE41+AU41+BO41)/AO41</f>
        <v>0.5511261196048548</v>
      </c>
      <c r="BT41" s="997" t="s">
        <v>1950</v>
      </c>
      <c r="BU41" s="826">
        <v>0.25</v>
      </c>
      <c r="BV41" s="827" t="str">
        <f>+AN41</f>
        <v xml:space="preserve">Tramitar las acciones constitucionales y demás asuntos derivados de éstas, que se instauren contra la Administradora de los Recursos del Sistema General de Seguridad Social en Salud - ADRES o contra el entonces FOSYGA. </v>
      </c>
      <c r="BW41" s="831">
        <f>+AO41/4</f>
        <v>68176062</v>
      </c>
      <c r="BX41" s="835"/>
      <c r="BY41" s="835"/>
      <c r="BZ41" s="826">
        <f t="shared" si="40"/>
        <v>0</v>
      </c>
      <c r="CA41" s="826">
        <f>+(BY41/BW41)</f>
        <v>0</v>
      </c>
      <c r="CB41" s="826">
        <f t="shared" si="41"/>
        <v>0.74015119557593478</v>
      </c>
      <c r="CC41" s="826">
        <f>+(BE41+AU41+BO41+BY41)/AO41</f>
        <v>0.5511261196048548</v>
      </c>
      <c r="CD41" s="826"/>
      <c r="CE41" s="640">
        <f t="shared" si="2"/>
        <v>0.96220901271875936</v>
      </c>
      <c r="CF41" s="640">
        <f>IF(AND(AS41=0,AU41=0),"No Prog ni Ejec",IF(AS41=0,CONCATENATE("No Prog, Ejec=  ",AU41),AU41/AS41))</f>
        <v>0.53506912734267342</v>
      </c>
      <c r="CG41" s="640">
        <f t="shared" si="3"/>
        <v>0.99919788479248983</v>
      </c>
      <c r="CH41" s="640">
        <f>IF(AND(BC41=0,BE41=0),"No Prog ni Ejec",IF(BC41=0,CONCATENATE("No Prog, Ejec=  ",BE41),BE41/BC41))</f>
        <v>0.77922972435691573</v>
      </c>
      <c r="CI41" s="640">
        <f t="shared" si="4"/>
        <v>0.99919788479248983</v>
      </c>
      <c r="CJ41" s="640">
        <f>IF(AND(BM41=0,BO41=0),"No Prog ni Ejec",IF(BM41=0,CONCATENATE("No Prog, Ejec=  ",BO41),BO41/BM41))</f>
        <v>0.89020562671983017</v>
      </c>
      <c r="CK41" s="640">
        <f t="shared" si="5"/>
        <v>0</v>
      </c>
      <c r="CL41" s="698">
        <f>IF(AND(BW41=0,BY41=0),"No Prog ni Ejec",IF(BW41=0,CONCATENATE("No Prog, Ejec=  ",BY41),BY41/BW41))</f>
        <v>0</v>
      </c>
      <c r="CM41" s="128">
        <f t="shared" si="6"/>
        <v>0</v>
      </c>
      <c r="CW41" s="122">
        <v>6</v>
      </c>
    </row>
    <row r="42" spans="1:107" s="70" customFormat="1" ht="114.75" x14ac:dyDescent="0.2">
      <c r="A42" s="834">
        <v>11900</v>
      </c>
      <c r="B42" s="827" t="s">
        <v>125</v>
      </c>
      <c r="C42" s="827" t="s">
        <v>336</v>
      </c>
      <c r="D42" s="827" t="s">
        <v>1020</v>
      </c>
      <c r="E42" s="827"/>
      <c r="F42" s="827"/>
      <c r="G42" s="827"/>
      <c r="H42" s="827"/>
      <c r="I42" s="827"/>
      <c r="J42" s="827"/>
      <c r="K42" s="827"/>
      <c r="L42" s="827"/>
      <c r="M42" s="827"/>
      <c r="N42" s="827"/>
      <c r="O42" s="827"/>
      <c r="P42" s="827"/>
      <c r="Q42" s="827" t="s">
        <v>1126</v>
      </c>
      <c r="R42" s="827" t="s">
        <v>1132</v>
      </c>
      <c r="S42" s="835" t="s">
        <v>127</v>
      </c>
      <c r="T42" s="827" t="s">
        <v>94</v>
      </c>
      <c r="U42" s="827" t="s">
        <v>204</v>
      </c>
      <c r="V42" s="827" t="s">
        <v>204</v>
      </c>
      <c r="W42" s="835" t="s">
        <v>150</v>
      </c>
      <c r="X42" s="827" t="s">
        <v>1058</v>
      </c>
      <c r="Y42" s="838" t="s">
        <v>391</v>
      </c>
      <c r="Z42" s="66">
        <v>3</v>
      </c>
      <c r="AA42" s="835" t="s">
        <v>129</v>
      </c>
      <c r="AB42" s="827" t="s">
        <v>1057</v>
      </c>
      <c r="AC42" s="831">
        <v>0</v>
      </c>
      <c r="AD42" s="832">
        <v>1</v>
      </c>
      <c r="AE42" s="827" t="s">
        <v>17</v>
      </c>
      <c r="AF42" s="827" t="s">
        <v>295</v>
      </c>
      <c r="AG42" s="827" t="s">
        <v>204</v>
      </c>
      <c r="AH42" s="827" t="s">
        <v>635</v>
      </c>
      <c r="AI42" s="827" t="s">
        <v>1048</v>
      </c>
      <c r="AJ42" s="827" t="s">
        <v>1277</v>
      </c>
      <c r="AK42" s="827" t="s">
        <v>1059</v>
      </c>
      <c r="AL42" s="827" t="s">
        <v>204</v>
      </c>
      <c r="AM42" s="67">
        <v>3</v>
      </c>
      <c r="AN42" s="827" t="str">
        <f t="shared" si="47"/>
        <v>Realizar reuniones de autocontrol y seguimiento a los procesos que evidencien el monitoreo a los riesgos, indicadores, planes de mejoramiento, manuales y documentos asociados</v>
      </c>
      <c r="AO42" s="833">
        <f t="shared" si="48"/>
        <v>0</v>
      </c>
      <c r="AP42" s="860" t="s">
        <v>48</v>
      </c>
      <c r="AQ42" s="67">
        <v>0</v>
      </c>
      <c r="AR42" s="827" t="str">
        <f>+AN42</f>
        <v>Realizar reuniones de autocontrol y seguimiento a los procesos que evidencien el monitoreo a los riesgos, indicadores, planes de mejoramiento, manuales y documentos asociados</v>
      </c>
      <c r="AS42" s="831">
        <f>+AO42/4</f>
        <v>0</v>
      </c>
      <c r="AT42" s="835">
        <v>0</v>
      </c>
      <c r="AU42" s="835"/>
      <c r="AV42" s="828" t="e">
        <f t="shared" si="0"/>
        <v>#DIV/0!</v>
      </c>
      <c r="AW42" s="828" t="e">
        <f>+(AU42/AS42)</f>
        <v>#DIV/0!</v>
      </c>
      <c r="AX42" s="828">
        <f t="shared" si="1"/>
        <v>0</v>
      </c>
      <c r="AY42" s="828" t="e">
        <f>+(AU42/AO42)</f>
        <v>#DIV/0!</v>
      </c>
      <c r="AZ42" s="468" t="s">
        <v>1405</v>
      </c>
      <c r="BA42" s="67">
        <v>1</v>
      </c>
      <c r="BB42" s="827" t="str">
        <f>+AN42</f>
        <v>Realizar reuniones de autocontrol y seguimiento a los procesos que evidencien el monitoreo a los riesgos, indicadores, planes de mejoramiento, manuales y documentos asociados</v>
      </c>
      <c r="BC42" s="831">
        <f>+AO42/4</f>
        <v>0</v>
      </c>
      <c r="BD42" s="838">
        <v>2</v>
      </c>
      <c r="BE42" s="831">
        <v>0</v>
      </c>
      <c r="BF42" s="828">
        <f t="shared" si="36"/>
        <v>2</v>
      </c>
      <c r="BG42" s="828" t="e">
        <f>+(BE42/BC42)</f>
        <v>#DIV/0!</v>
      </c>
      <c r="BH42" s="828">
        <f>+(BD42+AT42)/AM42</f>
        <v>0.66666666666666663</v>
      </c>
      <c r="BI42" s="828" t="e">
        <f>+(BE42+AU42)/AO42</f>
        <v>#DIV/0!</v>
      </c>
      <c r="BJ42" s="830" t="s">
        <v>1723</v>
      </c>
      <c r="BK42" s="67">
        <v>1</v>
      </c>
      <c r="BL42" s="827" t="str">
        <f>+AN42</f>
        <v>Realizar reuniones de autocontrol y seguimiento a los procesos que evidencien el monitoreo a los riesgos, indicadores, planes de mejoramiento, manuales y documentos asociados</v>
      </c>
      <c r="BM42" s="831">
        <f>+AO42/4</f>
        <v>0</v>
      </c>
      <c r="BN42" s="998">
        <v>1</v>
      </c>
      <c r="BO42" s="995">
        <v>0</v>
      </c>
      <c r="BP42" s="828">
        <f t="shared" si="38"/>
        <v>1</v>
      </c>
      <c r="BQ42" s="828" t="e">
        <f>+(BO42/BM42)</f>
        <v>#DIV/0!</v>
      </c>
      <c r="BR42" s="828">
        <f>+(BD42+AT42+BN42)/AM42</f>
        <v>1</v>
      </c>
      <c r="BS42" s="828" t="e">
        <f>+(BE42+AU42+BO42)/AO42</f>
        <v>#DIV/0!</v>
      </c>
      <c r="BT42" s="996" t="s">
        <v>1951</v>
      </c>
      <c r="BU42" s="67">
        <v>1</v>
      </c>
      <c r="BV42" s="827" t="str">
        <f>+AN42</f>
        <v>Realizar reuniones de autocontrol y seguimiento a los procesos que evidencien el monitoreo a los riesgos, indicadores, planes de mejoramiento, manuales y documentos asociados</v>
      </c>
      <c r="BW42" s="831">
        <f>+AO42/4</f>
        <v>0</v>
      </c>
      <c r="BX42" s="835"/>
      <c r="BY42" s="835"/>
      <c r="BZ42" s="826">
        <f t="shared" si="40"/>
        <v>0</v>
      </c>
      <c r="CA42" s="826" t="e">
        <f>+(BY42/BW42)</f>
        <v>#DIV/0!</v>
      </c>
      <c r="CB42" s="826">
        <f>+(BD42+AT42+BN42+BX42)/AM42</f>
        <v>1</v>
      </c>
      <c r="CC42" s="826" t="e">
        <f>+(BE42+AU42+BO42+BY42)/AO42</f>
        <v>#DIV/0!</v>
      </c>
      <c r="CD42" s="826"/>
      <c r="CE42" s="640" t="str">
        <f t="shared" si="2"/>
        <v>No Prog ni Ejec</v>
      </c>
      <c r="CF42" s="640" t="str">
        <f>IF(AND(AS42=0,AU42=0),"No Prog ni Ejec",IF(AS42=0,CONCATENATE("No Prog, Ejec=  ",AU42),AU42/AS42))</f>
        <v>No Prog ni Ejec</v>
      </c>
      <c r="CG42" s="640">
        <f t="shared" si="3"/>
        <v>2</v>
      </c>
      <c r="CH42" s="640" t="str">
        <f>IF(AND(BC42=0,BE42=0),"No Prog ni Ejec",IF(BC42=0,CONCATENATE("No Prog, Ejec=  ",BE42),BE42/BC42))</f>
        <v>No Prog ni Ejec</v>
      </c>
      <c r="CI42" s="640">
        <f t="shared" si="4"/>
        <v>1</v>
      </c>
      <c r="CJ42" s="640" t="str">
        <f>IF(AND(BM42=0,BO42=0),"No Prog ni Ejec",IF(BM42=0,CONCATENATE("No Prog, Ejec=  ",BO42),BO42/BM42))</f>
        <v>No Prog ni Ejec</v>
      </c>
      <c r="CK42" s="640">
        <f t="shared" si="5"/>
        <v>0</v>
      </c>
      <c r="CL42" s="698" t="str">
        <f>IF(AND(BW42=0,BY42=0),"No Prog ni Ejec",IF(BW42=0,CONCATENATE("No Prog, Ejec=  ",BY42),BY42/BW42))</f>
        <v>No Prog ni Ejec</v>
      </c>
      <c r="CM42" s="128">
        <f t="shared" si="6"/>
        <v>0</v>
      </c>
      <c r="CW42" s="122"/>
    </row>
    <row r="43" spans="1:107" s="70" customFormat="1" ht="89.25" x14ac:dyDescent="0.2">
      <c r="A43" s="834">
        <v>11800</v>
      </c>
      <c r="B43" s="827" t="s">
        <v>3</v>
      </c>
      <c r="C43" s="827" t="s">
        <v>330</v>
      </c>
      <c r="D43" s="827"/>
      <c r="E43" s="827" t="s">
        <v>1020</v>
      </c>
      <c r="F43" s="827"/>
      <c r="G43" s="827"/>
      <c r="H43" s="827"/>
      <c r="I43" s="827"/>
      <c r="J43" s="827"/>
      <c r="K43" s="827"/>
      <c r="L43" s="827"/>
      <c r="M43" s="827"/>
      <c r="N43" s="827"/>
      <c r="O43" s="827"/>
      <c r="P43" s="827"/>
      <c r="Q43" s="827" t="s">
        <v>204</v>
      </c>
      <c r="R43" s="827" t="s">
        <v>204</v>
      </c>
      <c r="S43" s="835" t="s">
        <v>116</v>
      </c>
      <c r="T43" s="827" t="s">
        <v>94</v>
      </c>
      <c r="U43" s="827" t="s">
        <v>204</v>
      </c>
      <c r="V43" s="827" t="s">
        <v>204</v>
      </c>
      <c r="W43" s="835" t="s">
        <v>118</v>
      </c>
      <c r="X43" s="827" t="s">
        <v>377</v>
      </c>
      <c r="Y43" s="838" t="s">
        <v>408</v>
      </c>
      <c r="Z43" s="835">
        <v>4</v>
      </c>
      <c r="AA43" s="835" t="s">
        <v>117</v>
      </c>
      <c r="AB43" s="827" t="s">
        <v>11</v>
      </c>
      <c r="AC43" s="850">
        <v>0</v>
      </c>
      <c r="AD43" s="832">
        <v>1</v>
      </c>
      <c r="AE43" s="827" t="s">
        <v>17</v>
      </c>
      <c r="AF43" s="827" t="s">
        <v>26</v>
      </c>
      <c r="AG43" s="827" t="s">
        <v>204</v>
      </c>
      <c r="AH43" s="827" t="s">
        <v>635</v>
      </c>
      <c r="AI43" s="827" t="s">
        <v>29</v>
      </c>
      <c r="AJ43" s="827" t="s">
        <v>204</v>
      </c>
      <c r="AK43" s="827" t="s">
        <v>424</v>
      </c>
      <c r="AL43" s="827" t="s">
        <v>44</v>
      </c>
      <c r="AM43" s="835">
        <v>4</v>
      </c>
      <c r="AN43" s="827" t="str">
        <f t="shared" si="47"/>
        <v>Reportar el cumplimiento del Plan de Acción de la Dependencia</v>
      </c>
      <c r="AO43" s="833">
        <f t="shared" si="48"/>
        <v>0</v>
      </c>
      <c r="AP43" s="860" t="s">
        <v>48</v>
      </c>
      <c r="AQ43" s="66">
        <v>1</v>
      </c>
      <c r="AR43" s="827" t="str">
        <f t="shared" ref="AR43:AR52" si="49">+AN43</f>
        <v>Reportar el cumplimiento del Plan de Acción de la Dependencia</v>
      </c>
      <c r="AS43" s="831">
        <v>0</v>
      </c>
      <c r="AT43" s="835">
        <v>1</v>
      </c>
      <c r="AU43" s="831">
        <v>0</v>
      </c>
      <c r="AV43" s="828">
        <f t="shared" ref="AV43:AV49" si="50">+(AT43/AQ43)</f>
        <v>1</v>
      </c>
      <c r="AW43" s="828" t="e">
        <f t="shared" ref="AW43:AW49" si="51">+(AU43/AS43)</f>
        <v>#DIV/0!</v>
      </c>
      <c r="AX43" s="828">
        <f t="shared" ref="AX43:AX49" si="52">+(AT43/AM43)</f>
        <v>0.25</v>
      </c>
      <c r="AY43" s="828" t="e">
        <f t="shared" ref="AY43:AY49" si="53">+(AU43/AO43)</f>
        <v>#DIV/0!</v>
      </c>
      <c r="AZ43" s="829" t="s">
        <v>1349</v>
      </c>
      <c r="BA43" s="835">
        <v>1</v>
      </c>
      <c r="BB43" s="827" t="str">
        <f t="shared" ref="BB43:BB52" si="54">+AN43</f>
        <v>Reportar el cumplimiento del Plan de Acción de la Dependencia</v>
      </c>
      <c r="BC43" s="831">
        <v>0</v>
      </c>
      <c r="BD43" s="838">
        <v>1</v>
      </c>
      <c r="BE43" s="831">
        <v>0</v>
      </c>
      <c r="BF43" s="828">
        <f t="shared" ref="BF43:BF49" si="55">+(BD43/BA43)</f>
        <v>1</v>
      </c>
      <c r="BG43" s="828" t="e">
        <f t="shared" ref="BG43:BG49" si="56">+(BE43/BC43)</f>
        <v>#DIV/0!</v>
      </c>
      <c r="BH43" s="828">
        <f t="shared" ref="BH43:BH49" si="57">+(BD43+AT43)/AM43</f>
        <v>0.5</v>
      </c>
      <c r="BI43" s="828" t="e">
        <f t="shared" ref="BI43:BI49" si="58">+(BE43+AU43)/AO43</f>
        <v>#DIV/0!</v>
      </c>
      <c r="BJ43" s="829" t="s">
        <v>1696</v>
      </c>
      <c r="BK43" s="835">
        <v>1</v>
      </c>
      <c r="BL43" s="827" t="str">
        <f t="shared" ref="BL43:BL51" si="59">+AN43</f>
        <v>Reportar el cumplimiento del Plan de Acción de la Dependencia</v>
      </c>
      <c r="BM43" s="831">
        <v>0</v>
      </c>
      <c r="BN43" s="956">
        <v>1</v>
      </c>
      <c r="BO43" s="955">
        <v>0</v>
      </c>
      <c r="BP43" s="828">
        <f t="shared" ref="BP43:BP49" si="60">+(BN43/BK43)</f>
        <v>1</v>
      </c>
      <c r="BQ43" s="828" t="e">
        <f t="shared" ref="BQ43:BQ49" si="61">+(BO43/BM43)</f>
        <v>#DIV/0!</v>
      </c>
      <c r="BR43" s="828">
        <f t="shared" ref="BR43:BR49" si="62">+(BD43+AT43+BN43)/AM43</f>
        <v>0.75</v>
      </c>
      <c r="BS43" s="828" t="e">
        <f t="shared" ref="BS43:BS49" si="63">+(BE43+AU43+BO43)/AO43</f>
        <v>#DIV/0!</v>
      </c>
      <c r="BT43" s="958" t="s">
        <v>1813</v>
      </c>
      <c r="BU43" s="835">
        <v>1</v>
      </c>
      <c r="BV43" s="827" t="str">
        <f t="shared" ref="BV43:BV52" si="64">+AN43</f>
        <v>Reportar el cumplimiento del Plan de Acción de la Dependencia</v>
      </c>
      <c r="BW43" s="831">
        <v>0</v>
      </c>
      <c r="BX43" s="835"/>
      <c r="BY43" s="835"/>
      <c r="BZ43" s="826">
        <f t="shared" ref="BZ43:BZ49" si="65">+(BX43/BU43)</f>
        <v>0</v>
      </c>
      <c r="CA43" s="826" t="e">
        <f t="shared" ref="CA43:CA49" si="66">+(BY43/BW43)</f>
        <v>#DIV/0!</v>
      </c>
      <c r="CB43" s="826">
        <f t="shared" ref="CB43:CB49" si="67">+(BD43+AT43+BN43+BX43)/AM43</f>
        <v>0.75</v>
      </c>
      <c r="CC43" s="826" t="e">
        <f t="shared" ref="CC43:CC49" si="68">+(BE43+AU43+BO43+BY43)/AO43</f>
        <v>#DIV/0!</v>
      </c>
      <c r="CD43" s="826"/>
      <c r="CE43" s="640">
        <f t="shared" ref="CE43:CE49" si="69">IF(AND(AQ43=0,AT43=0),"No Prog ni Ejec",IF(AQ43=0,CONCATENATE("No Prog, Ejec=  ",AT43),AT43/AQ43))</f>
        <v>1</v>
      </c>
      <c r="CF43" s="640" t="str">
        <f t="shared" ref="CF43:CF49" si="70">IF(AND(AS43=0,AU43=0),"No Prog ni Ejec",IF(AS43=0,CONCATENATE("No Prog, Ejec=  ",AU43),AU43/AS43))</f>
        <v>No Prog ni Ejec</v>
      </c>
      <c r="CG43" s="640">
        <f t="shared" ref="CG43:CG49" si="71">IF(AND(BA43=0,BD43=0),"No Prog ni Ejec",IF(BA43=0,CONCATENATE("No Prog, Ejec=  ",BD43),BD43/BA43))</f>
        <v>1</v>
      </c>
      <c r="CH43" s="640" t="str">
        <f t="shared" ref="CH43:CH49" si="72">IF(AND(BC43=0,BE43=0),"No Prog ni Ejec",IF(BC43=0,CONCATENATE("No Prog, Ejec=  ",BE43),BE43/BC43))</f>
        <v>No Prog ni Ejec</v>
      </c>
      <c r="CI43" s="640">
        <f t="shared" ref="CI43:CI49" si="73">IF(AND(BK43=0,BN43=0),"No Prog ni Ejec",IF(BK43=0,CONCATENATE("No Prog, Ejec=  ",BN43),BN43/BK43))</f>
        <v>1</v>
      </c>
      <c r="CJ43" s="640" t="str">
        <f t="shared" ref="CJ43:CJ49" si="74">IF(AND(BM43=0,BO43=0),"No Prog ni Ejec",IF(BM43=0,CONCATENATE("No Prog, Ejec=  ",BO43),BO43/BM43))</f>
        <v>No Prog ni Ejec</v>
      </c>
      <c r="CK43" s="640">
        <f t="shared" ref="CK43:CK49" si="75">IF(AND(BU43=0,BX43=0),"No Prog ni Ejec",IF(BU43=0,CONCATENATE("No Prog, Ejec=  ",BX43),BX43/BU43))</f>
        <v>0</v>
      </c>
      <c r="CL43" s="698" t="str">
        <f t="shared" ref="CL43:CL49" si="76">IF(AND(BW43=0,BY43=0),"No Prog ni Ejec",IF(BW43=0,CONCATENATE("No Prog, Ejec=  ",BY43),BY43/BW43))</f>
        <v>No Prog ni Ejec</v>
      </c>
      <c r="CM43" s="128">
        <f t="shared" si="6"/>
        <v>0</v>
      </c>
      <c r="CW43" s="122">
        <v>6</v>
      </c>
    </row>
    <row r="44" spans="1:107" s="70" customFormat="1" ht="225" customHeight="1" x14ac:dyDescent="0.2">
      <c r="A44" s="834">
        <v>11800</v>
      </c>
      <c r="B44" s="827" t="s">
        <v>3</v>
      </c>
      <c r="C44" s="827" t="s">
        <v>330</v>
      </c>
      <c r="D44" s="827"/>
      <c r="E44" s="827" t="s">
        <v>1020</v>
      </c>
      <c r="F44" s="827"/>
      <c r="G44" s="827"/>
      <c r="H44" s="827"/>
      <c r="I44" s="827"/>
      <c r="J44" s="827"/>
      <c r="K44" s="827"/>
      <c r="L44" s="827"/>
      <c r="M44" s="827"/>
      <c r="N44" s="827"/>
      <c r="O44" s="827"/>
      <c r="P44" s="827"/>
      <c r="Q44" s="827" t="s">
        <v>204</v>
      </c>
      <c r="R44" s="827" t="s">
        <v>204</v>
      </c>
      <c r="S44" s="835" t="s">
        <v>116</v>
      </c>
      <c r="T44" s="827" t="s">
        <v>94</v>
      </c>
      <c r="U44" s="827" t="s">
        <v>204</v>
      </c>
      <c r="V44" s="827" t="s">
        <v>204</v>
      </c>
      <c r="W44" s="835" t="s">
        <v>941</v>
      </c>
      <c r="X44" s="827" t="s">
        <v>888</v>
      </c>
      <c r="Y44" s="838" t="s">
        <v>408</v>
      </c>
      <c r="Z44" s="865">
        <v>13</v>
      </c>
      <c r="AA44" s="835" t="s">
        <v>936</v>
      </c>
      <c r="AB44" s="827" t="s">
        <v>378</v>
      </c>
      <c r="AC44" s="850">
        <v>0</v>
      </c>
      <c r="AD44" s="832">
        <v>1</v>
      </c>
      <c r="AE44" s="827" t="s">
        <v>287</v>
      </c>
      <c r="AF44" s="827" t="s">
        <v>304</v>
      </c>
      <c r="AG44" s="827" t="s">
        <v>204</v>
      </c>
      <c r="AH44" s="827" t="s">
        <v>635</v>
      </c>
      <c r="AI44" s="827" t="s">
        <v>83</v>
      </c>
      <c r="AJ44" s="827" t="s">
        <v>1287</v>
      </c>
      <c r="AK44" s="827" t="s">
        <v>1776</v>
      </c>
      <c r="AL44" s="827" t="s">
        <v>44</v>
      </c>
      <c r="AM44" s="66">
        <v>13</v>
      </c>
      <c r="AN44" s="827" t="str">
        <f t="shared" si="47"/>
        <v>Realizar las auditorías internas y otros informes, de acuerdo a lo programado para la vigencia en el Plan Anual Auditorias</v>
      </c>
      <c r="AO44" s="833">
        <f t="shared" si="48"/>
        <v>0</v>
      </c>
      <c r="AP44" s="860" t="s">
        <v>48</v>
      </c>
      <c r="AQ44" s="835">
        <v>1</v>
      </c>
      <c r="AR44" s="827" t="str">
        <f t="shared" si="49"/>
        <v>Realizar las auditorías internas y otros informes, de acuerdo a lo programado para la vigencia en el Plan Anual Auditorias</v>
      </c>
      <c r="AS44" s="831">
        <v>0</v>
      </c>
      <c r="AT44" s="835">
        <v>0</v>
      </c>
      <c r="AU44" s="831">
        <v>0</v>
      </c>
      <c r="AV44" s="828">
        <f t="shared" si="50"/>
        <v>0</v>
      </c>
      <c r="AW44" s="828" t="e">
        <f t="shared" si="51"/>
        <v>#DIV/0!</v>
      </c>
      <c r="AX44" s="828">
        <f t="shared" si="52"/>
        <v>0</v>
      </c>
      <c r="AY44" s="828" t="e">
        <f t="shared" si="53"/>
        <v>#DIV/0!</v>
      </c>
      <c r="AZ44" s="829" t="s">
        <v>1350</v>
      </c>
      <c r="BA44" s="835">
        <v>2</v>
      </c>
      <c r="BB44" s="827" t="str">
        <f t="shared" si="54"/>
        <v>Realizar las auditorías internas y otros informes, de acuerdo a lo programado para la vigencia en el Plan Anual Auditorias</v>
      </c>
      <c r="BC44" s="831">
        <v>0</v>
      </c>
      <c r="BD44" s="838">
        <v>2</v>
      </c>
      <c r="BE44" s="831">
        <v>0</v>
      </c>
      <c r="BF44" s="828">
        <f t="shared" si="55"/>
        <v>1</v>
      </c>
      <c r="BG44" s="828" t="e">
        <f t="shared" si="56"/>
        <v>#DIV/0!</v>
      </c>
      <c r="BH44" s="828">
        <f t="shared" si="57"/>
        <v>0.15384615384615385</v>
      </c>
      <c r="BI44" s="828" t="e">
        <f t="shared" si="58"/>
        <v>#DIV/0!</v>
      </c>
      <c r="BJ44" s="829" t="s">
        <v>1697</v>
      </c>
      <c r="BK44" s="566">
        <v>4</v>
      </c>
      <c r="BL44" s="827" t="str">
        <f t="shared" si="59"/>
        <v>Realizar las auditorías internas y otros informes, de acuerdo a lo programado para la vigencia en el Plan Anual Auditorias</v>
      </c>
      <c r="BM44" s="831">
        <v>0</v>
      </c>
      <c r="BN44" s="956">
        <v>4</v>
      </c>
      <c r="BO44" s="955">
        <v>0</v>
      </c>
      <c r="BP44" s="828">
        <f t="shared" si="60"/>
        <v>1</v>
      </c>
      <c r="BQ44" s="828" t="e">
        <f t="shared" si="61"/>
        <v>#DIV/0!</v>
      </c>
      <c r="BR44" s="828">
        <f t="shared" si="62"/>
        <v>0.46153846153846156</v>
      </c>
      <c r="BS44" s="828" t="e">
        <f t="shared" si="63"/>
        <v>#DIV/0!</v>
      </c>
      <c r="BT44" s="958" t="s">
        <v>1814</v>
      </c>
      <c r="BU44" s="566">
        <v>6</v>
      </c>
      <c r="BV44" s="827" t="str">
        <f t="shared" si="64"/>
        <v>Realizar las auditorías internas y otros informes, de acuerdo a lo programado para la vigencia en el Plan Anual Auditorias</v>
      </c>
      <c r="BW44" s="831">
        <v>0</v>
      </c>
      <c r="BX44" s="835"/>
      <c r="BY44" s="835"/>
      <c r="BZ44" s="826">
        <f t="shared" si="65"/>
        <v>0</v>
      </c>
      <c r="CA44" s="826" t="e">
        <f t="shared" si="66"/>
        <v>#DIV/0!</v>
      </c>
      <c r="CB44" s="826">
        <f t="shared" si="67"/>
        <v>0.46153846153846156</v>
      </c>
      <c r="CC44" s="826" t="e">
        <f t="shared" si="68"/>
        <v>#DIV/0!</v>
      </c>
      <c r="CD44" s="826"/>
      <c r="CE44" s="640">
        <f t="shared" si="69"/>
        <v>0</v>
      </c>
      <c r="CF44" s="640" t="str">
        <f t="shared" si="70"/>
        <v>No Prog ni Ejec</v>
      </c>
      <c r="CG44" s="640">
        <f t="shared" si="71"/>
        <v>1</v>
      </c>
      <c r="CH44" s="640" t="str">
        <f t="shared" si="72"/>
        <v>No Prog ni Ejec</v>
      </c>
      <c r="CI44" s="640">
        <f t="shared" si="73"/>
        <v>1</v>
      </c>
      <c r="CJ44" s="640" t="str">
        <f t="shared" si="74"/>
        <v>No Prog ni Ejec</v>
      </c>
      <c r="CK44" s="640">
        <f t="shared" si="75"/>
        <v>0</v>
      </c>
      <c r="CL44" s="698" t="str">
        <f t="shared" si="76"/>
        <v>No Prog ni Ejec</v>
      </c>
      <c r="CM44" s="128">
        <f t="shared" si="6"/>
        <v>0</v>
      </c>
      <c r="CW44" s="122">
        <v>6</v>
      </c>
    </row>
    <row r="45" spans="1:107" s="70" customFormat="1" ht="267.75" x14ac:dyDescent="0.2">
      <c r="A45" s="834">
        <v>11800</v>
      </c>
      <c r="B45" s="827" t="s">
        <v>3</v>
      </c>
      <c r="C45" s="827" t="s">
        <v>330</v>
      </c>
      <c r="D45" s="827"/>
      <c r="E45" s="827" t="s">
        <v>1020</v>
      </c>
      <c r="F45" s="827"/>
      <c r="G45" s="827"/>
      <c r="H45" s="827"/>
      <c r="I45" s="827"/>
      <c r="J45" s="827"/>
      <c r="K45" s="827"/>
      <c r="L45" s="827"/>
      <c r="M45" s="827"/>
      <c r="N45" s="827"/>
      <c r="O45" s="827"/>
      <c r="P45" s="827"/>
      <c r="Q45" s="827" t="s">
        <v>204</v>
      </c>
      <c r="R45" s="827" t="s">
        <v>204</v>
      </c>
      <c r="S45" s="835" t="s">
        <v>116</v>
      </c>
      <c r="T45" s="827" t="s">
        <v>94</v>
      </c>
      <c r="U45" s="827" t="s">
        <v>204</v>
      </c>
      <c r="V45" s="827" t="s">
        <v>204</v>
      </c>
      <c r="W45" s="835" t="s">
        <v>942</v>
      </c>
      <c r="X45" s="827" t="s">
        <v>379</v>
      </c>
      <c r="Y45" s="838" t="s">
        <v>408</v>
      </c>
      <c r="Z45" s="865">
        <v>20</v>
      </c>
      <c r="AA45" s="835" t="s">
        <v>937</v>
      </c>
      <c r="AB45" s="827" t="s">
        <v>380</v>
      </c>
      <c r="AC45" s="850">
        <v>0</v>
      </c>
      <c r="AD45" s="832">
        <v>1</v>
      </c>
      <c r="AE45" s="827" t="s">
        <v>19</v>
      </c>
      <c r="AF45" s="827" t="s">
        <v>25</v>
      </c>
      <c r="AG45" s="827" t="s">
        <v>204</v>
      </c>
      <c r="AH45" s="827" t="s">
        <v>635</v>
      </c>
      <c r="AI45" s="827" t="s">
        <v>83</v>
      </c>
      <c r="AJ45" s="827" t="s">
        <v>1287</v>
      </c>
      <c r="AK45" s="827" t="s">
        <v>1777</v>
      </c>
      <c r="AL45" s="827" t="s">
        <v>44</v>
      </c>
      <c r="AM45" s="66">
        <v>20</v>
      </c>
      <c r="AN45" s="827" t="str">
        <f t="shared" si="47"/>
        <v>Dar respuesta a los Requerimientos Legales Internos en el marco de la normatividad vigente</v>
      </c>
      <c r="AO45" s="833">
        <f t="shared" si="48"/>
        <v>0</v>
      </c>
      <c r="AP45" s="860" t="s">
        <v>48</v>
      </c>
      <c r="AQ45" s="66">
        <v>5</v>
      </c>
      <c r="AR45" s="827" t="str">
        <f t="shared" si="49"/>
        <v>Dar respuesta a los Requerimientos Legales Internos en el marco de la normatividad vigente</v>
      </c>
      <c r="AS45" s="831">
        <v>0</v>
      </c>
      <c r="AT45" s="835">
        <v>5</v>
      </c>
      <c r="AU45" s="831">
        <v>0</v>
      </c>
      <c r="AV45" s="828">
        <f t="shared" si="50"/>
        <v>1</v>
      </c>
      <c r="AW45" s="828" t="e">
        <f t="shared" si="51"/>
        <v>#DIV/0!</v>
      </c>
      <c r="AX45" s="828">
        <f t="shared" si="52"/>
        <v>0.25</v>
      </c>
      <c r="AY45" s="828" t="e">
        <f t="shared" si="53"/>
        <v>#DIV/0!</v>
      </c>
      <c r="AZ45" s="829" t="s">
        <v>1351</v>
      </c>
      <c r="BA45" s="66">
        <v>6</v>
      </c>
      <c r="BB45" s="827" t="str">
        <f t="shared" si="54"/>
        <v>Dar respuesta a los Requerimientos Legales Internos en el marco de la normatividad vigente</v>
      </c>
      <c r="BC45" s="831">
        <v>0</v>
      </c>
      <c r="BD45" s="838">
        <v>6</v>
      </c>
      <c r="BE45" s="831">
        <v>0</v>
      </c>
      <c r="BF45" s="828">
        <f t="shared" si="55"/>
        <v>1</v>
      </c>
      <c r="BG45" s="828" t="e">
        <f t="shared" si="56"/>
        <v>#DIV/0!</v>
      </c>
      <c r="BH45" s="828">
        <f t="shared" si="57"/>
        <v>0.55000000000000004</v>
      </c>
      <c r="BI45" s="828" t="e">
        <f t="shared" si="58"/>
        <v>#DIV/0!</v>
      </c>
      <c r="BJ45" s="829" t="s">
        <v>1698</v>
      </c>
      <c r="BK45" s="66">
        <v>5</v>
      </c>
      <c r="BL45" s="827" t="str">
        <f t="shared" si="59"/>
        <v>Dar respuesta a los Requerimientos Legales Internos en el marco de la normatividad vigente</v>
      </c>
      <c r="BM45" s="831">
        <v>0</v>
      </c>
      <c r="BN45" s="956">
        <v>5</v>
      </c>
      <c r="BO45" s="955">
        <v>0</v>
      </c>
      <c r="BP45" s="828">
        <f t="shared" si="60"/>
        <v>1</v>
      </c>
      <c r="BQ45" s="828" t="e">
        <f t="shared" si="61"/>
        <v>#DIV/0!</v>
      </c>
      <c r="BR45" s="828">
        <f t="shared" si="62"/>
        <v>0.8</v>
      </c>
      <c r="BS45" s="828" t="e">
        <f t="shared" si="63"/>
        <v>#DIV/0!</v>
      </c>
      <c r="BT45" s="958" t="s">
        <v>1815</v>
      </c>
      <c r="BU45" s="66">
        <v>4</v>
      </c>
      <c r="BV45" s="827" t="str">
        <f t="shared" si="64"/>
        <v>Dar respuesta a los Requerimientos Legales Internos en el marco de la normatividad vigente</v>
      </c>
      <c r="BW45" s="831">
        <v>0</v>
      </c>
      <c r="BX45" s="835"/>
      <c r="BY45" s="835"/>
      <c r="BZ45" s="826">
        <f t="shared" si="65"/>
        <v>0</v>
      </c>
      <c r="CA45" s="826" t="e">
        <f t="shared" si="66"/>
        <v>#DIV/0!</v>
      </c>
      <c r="CB45" s="826">
        <f t="shared" si="67"/>
        <v>0.8</v>
      </c>
      <c r="CC45" s="826" t="e">
        <f t="shared" si="68"/>
        <v>#DIV/0!</v>
      </c>
      <c r="CD45" s="826"/>
      <c r="CE45" s="640">
        <f t="shared" si="69"/>
        <v>1</v>
      </c>
      <c r="CF45" s="640" t="str">
        <f t="shared" si="70"/>
        <v>No Prog ni Ejec</v>
      </c>
      <c r="CG45" s="640">
        <f t="shared" si="71"/>
        <v>1</v>
      </c>
      <c r="CH45" s="640" t="str">
        <f t="shared" si="72"/>
        <v>No Prog ni Ejec</v>
      </c>
      <c r="CI45" s="640">
        <f t="shared" si="73"/>
        <v>1</v>
      </c>
      <c r="CJ45" s="640" t="str">
        <f t="shared" si="74"/>
        <v>No Prog ni Ejec</v>
      </c>
      <c r="CK45" s="640">
        <f t="shared" si="75"/>
        <v>0</v>
      </c>
      <c r="CL45" s="698" t="str">
        <f t="shared" si="76"/>
        <v>No Prog ni Ejec</v>
      </c>
      <c r="CM45" s="128">
        <f t="shared" si="6"/>
        <v>0</v>
      </c>
      <c r="CW45" s="122">
        <v>6</v>
      </c>
    </row>
    <row r="46" spans="1:107" s="70" customFormat="1" ht="382.5" x14ac:dyDescent="0.2">
      <c r="A46" s="834">
        <v>11800</v>
      </c>
      <c r="B46" s="827" t="s">
        <v>3</v>
      </c>
      <c r="C46" s="827" t="s">
        <v>330</v>
      </c>
      <c r="D46" s="827"/>
      <c r="E46" s="827" t="s">
        <v>1020</v>
      </c>
      <c r="F46" s="827"/>
      <c r="G46" s="827"/>
      <c r="H46" s="827"/>
      <c r="I46" s="827"/>
      <c r="J46" s="827"/>
      <c r="K46" s="827"/>
      <c r="L46" s="827"/>
      <c r="M46" s="827"/>
      <c r="N46" s="827"/>
      <c r="O46" s="827"/>
      <c r="P46" s="827"/>
      <c r="Q46" s="827" t="s">
        <v>204</v>
      </c>
      <c r="R46" s="827" t="s">
        <v>204</v>
      </c>
      <c r="S46" s="835" t="s">
        <v>116</v>
      </c>
      <c r="T46" s="827" t="s">
        <v>94</v>
      </c>
      <c r="U46" s="827" t="s">
        <v>204</v>
      </c>
      <c r="V46" s="827" t="s">
        <v>204</v>
      </c>
      <c r="W46" s="835" t="s">
        <v>943</v>
      </c>
      <c r="X46" s="827" t="s">
        <v>381</v>
      </c>
      <c r="Y46" s="838" t="s">
        <v>408</v>
      </c>
      <c r="Z46" s="865">
        <v>18</v>
      </c>
      <c r="AA46" s="835" t="s">
        <v>938</v>
      </c>
      <c r="AB46" s="827" t="s">
        <v>384</v>
      </c>
      <c r="AC46" s="831">
        <v>0</v>
      </c>
      <c r="AD46" s="832">
        <v>1</v>
      </c>
      <c r="AE46" s="827" t="s">
        <v>19</v>
      </c>
      <c r="AF46" s="827" t="s">
        <v>25</v>
      </c>
      <c r="AG46" s="827" t="s">
        <v>204</v>
      </c>
      <c r="AH46" s="827" t="s">
        <v>635</v>
      </c>
      <c r="AI46" s="827" t="s">
        <v>83</v>
      </c>
      <c r="AJ46" s="827" t="s">
        <v>1287</v>
      </c>
      <c r="AK46" s="827" t="s">
        <v>1778</v>
      </c>
      <c r="AL46" s="827" t="s">
        <v>44</v>
      </c>
      <c r="AM46" s="66">
        <v>18</v>
      </c>
      <c r="AN46" s="827" t="str">
        <f t="shared" si="47"/>
        <v>Dar respuesta a los Requerimientos Legales Externos en el marco de la normatividad vigente</v>
      </c>
      <c r="AO46" s="833">
        <f t="shared" si="48"/>
        <v>0</v>
      </c>
      <c r="AP46" s="860" t="s">
        <v>48</v>
      </c>
      <c r="AQ46" s="66">
        <v>8</v>
      </c>
      <c r="AR46" s="827" t="str">
        <f t="shared" si="49"/>
        <v>Dar respuesta a los Requerimientos Legales Externos en el marco de la normatividad vigente</v>
      </c>
      <c r="AS46" s="831">
        <v>0</v>
      </c>
      <c r="AT46" s="835">
        <v>8</v>
      </c>
      <c r="AU46" s="831">
        <v>0</v>
      </c>
      <c r="AV46" s="828">
        <f t="shared" si="50"/>
        <v>1</v>
      </c>
      <c r="AW46" s="828" t="e">
        <f t="shared" si="51"/>
        <v>#DIV/0!</v>
      </c>
      <c r="AX46" s="828">
        <f>+(AT46/AM46)</f>
        <v>0.44444444444444442</v>
      </c>
      <c r="AY46" s="828" t="e">
        <f t="shared" si="53"/>
        <v>#DIV/0!</v>
      </c>
      <c r="AZ46" s="829" t="s">
        <v>1352</v>
      </c>
      <c r="BA46" s="66">
        <v>4</v>
      </c>
      <c r="BB46" s="827" t="str">
        <f t="shared" si="54"/>
        <v>Dar respuesta a los Requerimientos Legales Externos en el marco de la normatividad vigente</v>
      </c>
      <c r="BC46" s="831">
        <v>0</v>
      </c>
      <c r="BD46" s="838">
        <v>4</v>
      </c>
      <c r="BE46" s="831">
        <v>0</v>
      </c>
      <c r="BF46" s="828">
        <f t="shared" si="55"/>
        <v>1</v>
      </c>
      <c r="BG46" s="828" t="e">
        <f t="shared" si="56"/>
        <v>#DIV/0!</v>
      </c>
      <c r="BH46" s="828">
        <f t="shared" si="57"/>
        <v>0.66666666666666663</v>
      </c>
      <c r="BI46" s="828" t="e">
        <f t="shared" si="58"/>
        <v>#DIV/0!</v>
      </c>
      <c r="BJ46" s="829" t="s">
        <v>1699</v>
      </c>
      <c r="BK46" s="66">
        <v>5</v>
      </c>
      <c r="BL46" s="827" t="str">
        <f t="shared" si="59"/>
        <v>Dar respuesta a los Requerimientos Legales Externos en el marco de la normatividad vigente</v>
      </c>
      <c r="BM46" s="831">
        <v>0</v>
      </c>
      <c r="BN46" s="956">
        <v>5</v>
      </c>
      <c r="BO46" s="955">
        <v>0</v>
      </c>
      <c r="BP46" s="828">
        <f t="shared" si="60"/>
        <v>1</v>
      </c>
      <c r="BQ46" s="828" t="e">
        <f t="shared" si="61"/>
        <v>#DIV/0!</v>
      </c>
      <c r="BR46" s="828">
        <f t="shared" si="62"/>
        <v>0.94444444444444442</v>
      </c>
      <c r="BS46" s="828" t="e">
        <f t="shared" si="63"/>
        <v>#DIV/0!</v>
      </c>
      <c r="BT46" s="958" t="s">
        <v>1816</v>
      </c>
      <c r="BU46" s="66">
        <v>1</v>
      </c>
      <c r="BV46" s="827" t="str">
        <f t="shared" si="64"/>
        <v>Dar respuesta a los Requerimientos Legales Externos en el marco de la normatividad vigente</v>
      </c>
      <c r="BW46" s="831">
        <v>0</v>
      </c>
      <c r="BX46" s="835"/>
      <c r="BY46" s="835"/>
      <c r="BZ46" s="826">
        <f t="shared" si="65"/>
        <v>0</v>
      </c>
      <c r="CA46" s="826" t="e">
        <f t="shared" si="66"/>
        <v>#DIV/0!</v>
      </c>
      <c r="CB46" s="826">
        <f t="shared" si="67"/>
        <v>0.94444444444444442</v>
      </c>
      <c r="CC46" s="826" t="e">
        <f t="shared" si="68"/>
        <v>#DIV/0!</v>
      </c>
      <c r="CD46" s="826"/>
      <c r="CE46" s="640">
        <f t="shared" si="69"/>
        <v>1</v>
      </c>
      <c r="CF46" s="640" t="str">
        <f t="shared" si="70"/>
        <v>No Prog ni Ejec</v>
      </c>
      <c r="CG46" s="640">
        <f t="shared" si="71"/>
        <v>1</v>
      </c>
      <c r="CH46" s="640" t="str">
        <f t="shared" si="72"/>
        <v>No Prog ni Ejec</v>
      </c>
      <c r="CI46" s="640">
        <f t="shared" si="73"/>
        <v>1</v>
      </c>
      <c r="CJ46" s="640" t="str">
        <f t="shared" si="74"/>
        <v>No Prog ni Ejec</v>
      </c>
      <c r="CK46" s="640">
        <f t="shared" si="75"/>
        <v>0</v>
      </c>
      <c r="CL46" s="698" t="str">
        <f t="shared" si="76"/>
        <v>No Prog ni Ejec</v>
      </c>
      <c r="CM46" s="128">
        <f t="shared" si="6"/>
        <v>0</v>
      </c>
      <c r="CW46" s="122">
        <v>6</v>
      </c>
    </row>
    <row r="47" spans="1:107" s="70" customFormat="1" ht="127.5" x14ac:dyDescent="0.2">
      <c r="A47" s="834">
        <v>11800</v>
      </c>
      <c r="B47" s="827" t="s">
        <v>3</v>
      </c>
      <c r="C47" s="827" t="s">
        <v>330</v>
      </c>
      <c r="D47" s="827"/>
      <c r="E47" s="827" t="s">
        <v>1020</v>
      </c>
      <c r="F47" s="827"/>
      <c r="G47" s="827"/>
      <c r="H47" s="827"/>
      <c r="I47" s="827"/>
      <c r="J47" s="827"/>
      <c r="K47" s="827"/>
      <c r="L47" s="827"/>
      <c r="M47" s="827"/>
      <c r="N47" s="827"/>
      <c r="O47" s="827"/>
      <c r="P47" s="827"/>
      <c r="Q47" s="827" t="s">
        <v>204</v>
      </c>
      <c r="R47" s="827" t="s">
        <v>204</v>
      </c>
      <c r="S47" s="835" t="s">
        <v>116</v>
      </c>
      <c r="T47" s="827" t="s">
        <v>94</v>
      </c>
      <c r="U47" s="827" t="s">
        <v>204</v>
      </c>
      <c r="V47" s="827" t="s">
        <v>204</v>
      </c>
      <c r="W47" s="835" t="s">
        <v>944</v>
      </c>
      <c r="X47" s="827" t="s">
        <v>382</v>
      </c>
      <c r="Y47" s="838" t="s">
        <v>408</v>
      </c>
      <c r="Z47" s="66">
        <v>2</v>
      </c>
      <c r="AA47" s="835" t="s">
        <v>939</v>
      </c>
      <c r="AB47" s="827" t="s">
        <v>119</v>
      </c>
      <c r="AC47" s="831">
        <v>0</v>
      </c>
      <c r="AD47" s="832">
        <v>1</v>
      </c>
      <c r="AE47" s="827" t="s">
        <v>287</v>
      </c>
      <c r="AF47" s="827" t="s">
        <v>304</v>
      </c>
      <c r="AG47" s="827" t="s">
        <v>204</v>
      </c>
      <c r="AH47" s="827" t="s">
        <v>635</v>
      </c>
      <c r="AI47" s="827" t="s">
        <v>83</v>
      </c>
      <c r="AJ47" s="827" t="s">
        <v>1288</v>
      </c>
      <c r="AK47" s="827" t="s">
        <v>1779</v>
      </c>
      <c r="AL47" s="827" t="s">
        <v>44</v>
      </c>
      <c r="AM47" s="870">
        <v>2</v>
      </c>
      <c r="AN47" s="827" t="str">
        <f t="shared" si="47"/>
        <v>Medir el grado de cumplimiento de las acciones que hacen parte del Plan de mejoramiento institucional derivadas de la Auditoría de la CGR.</v>
      </c>
      <c r="AO47" s="833">
        <f t="shared" si="48"/>
        <v>0</v>
      </c>
      <c r="AP47" s="860" t="s">
        <v>48</v>
      </c>
      <c r="AQ47" s="66">
        <v>1</v>
      </c>
      <c r="AR47" s="827" t="str">
        <f t="shared" si="49"/>
        <v>Medir el grado de cumplimiento de las acciones que hacen parte del Plan de mejoramiento institucional derivadas de la Auditoría de la CGR.</v>
      </c>
      <c r="AS47" s="831">
        <v>0</v>
      </c>
      <c r="AT47" s="835">
        <v>1</v>
      </c>
      <c r="AU47" s="831">
        <v>0</v>
      </c>
      <c r="AV47" s="828">
        <f t="shared" si="50"/>
        <v>1</v>
      </c>
      <c r="AW47" s="828" t="e">
        <f t="shared" si="51"/>
        <v>#DIV/0!</v>
      </c>
      <c r="AX47" s="828">
        <f t="shared" si="52"/>
        <v>0.5</v>
      </c>
      <c r="AY47" s="828" t="e">
        <f t="shared" si="53"/>
        <v>#DIV/0!</v>
      </c>
      <c r="AZ47" s="829" t="s">
        <v>1353</v>
      </c>
      <c r="BA47" s="865">
        <v>0</v>
      </c>
      <c r="BB47" s="827" t="str">
        <f t="shared" si="54"/>
        <v>Medir el grado de cumplimiento de las acciones que hacen parte del Plan de mejoramiento institucional derivadas de la Auditoría de la CGR.</v>
      </c>
      <c r="BC47" s="831">
        <v>0</v>
      </c>
      <c r="BD47" s="838">
        <v>0</v>
      </c>
      <c r="BE47" s="831">
        <v>0</v>
      </c>
      <c r="BF47" s="828" t="e">
        <f t="shared" si="55"/>
        <v>#DIV/0!</v>
      </c>
      <c r="BG47" s="828" t="e">
        <f t="shared" si="56"/>
        <v>#DIV/0!</v>
      </c>
      <c r="BH47" s="828">
        <f t="shared" si="57"/>
        <v>0.5</v>
      </c>
      <c r="BI47" s="828" t="e">
        <f t="shared" si="58"/>
        <v>#DIV/0!</v>
      </c>
      <c r="BJ47" s="829" t="s">
        <v>1700</v>
      </c>
      <c r="BK47" s="66">
        <v>1</v>
      </c>
      <c r="BL47" s="827" t="str">
        <f t="shared" si="59"/>
        <v>Medir el grado de cumplimiento de las acciones que hacen parte del Plan de mejoramiento institucional derivadas de la Auditoría de la CGR.</v>
      </c>
      <c r="BM47" s="831">
        <v>0</v>
      </c>
      <c r="BN47" s="956">
        <v>1</v>
      </c>
      <c r="BO47" s="955">
        <v>0</v>
      </c>
      <c r="BP47" s="828">
        <f t="shared" si="60"/>
        <v>1</v>
      </c>
      <c r="BQ47" s="828" t="e">
        <f t="shared" si="61"/>
        <v>#DIV/0!</v>
      </c>
      <c r="BR47" s="828">
        <f t="shared" si="62"/>
        <v>1</v>
      </c>
      <c r="BS47" s="828" t="e">
        <f t="shared" si="63"/>
        <v>#DIV/0!</v>
      </c>
      <c r="BT47" s="958" t="s">
        <v>1817</v>
      </c>
      <c r="BU47" s="865">
        <v>0</v>
      </c>
      <c r="BV47" s="827" t="str">
        <f t="shared" si="64"/>
        <v>Medir el grado de cumplimiento de las acciones que hacen parte del Plan de mejoramiento institucional derivadas de la Auditoría de la CGR.</v>
      </c>
      <c r="BW47" s="831">
        <v>0</v>
      </c>
      <c r="BX47" s="835"/>
      <c r="BY47" s="835"/>
      <c r="BZ47" s="826" t="e">
        <f t="shared" si="65"/>
        <v>#DIV/0!</v>
      </c>
      <c r="CA47" s="826" t="e">
        <f t="shared" si="66"/>
        <v>#DIV/0!</v>
      </c>
      <c r="CB47" s="826">
        <f t="shared" si="67"/>
        <v>1</v>
      </c>
      <c r="CC47" s="826" t="e">
        <f t="shared" si="68"/>
        <v>#DIV/0!</v>
      </c>
      <c r="CD47" s="826"/>
      <c r="CE47" s="640">
        <f t="shared" si="69"/>
        <v>1</v>
      </c>
      <c r="CF47" s="640" t="str">
        <f t="shared" si="70"/>
        <v>No Prog ni Ejec</v>
      </c>
      <c r="CG47" s="640" t="str">
        <f t="shared" si="71"/>
        <v>No Prog ni Ejec</v>
      </c>
      <c r="CH47" s="640" t="str">
        <f t="shared" si="72"/>
        <v>No Prog ni Ejec</v>
      </c>
      <c r="CI47" s="640">
        <f t="shared" si="73"/>
        <v>1</v>
      </c>
      <c r="CJ47" s="640" t="str">
        <f t="shared" si="74"/>
        <v>No Prog ni Ejec</v>
      </c>
      <c r="CK47" s="640" t="str">
        <f t="shared" si="75"/>
        <v>No Prog ni Ejec</v>
      </c>
      <c r="CL47" s="698" t="str">
        <f t="shared" si="76"/>
        <v>No Prog ni Ejec</v>
      </c>
      <c r="CM47" s="128">
        <f t="shared" si="6"/>
        <v>0</v>
      </c>
      <c r="CW47" s="122">
        <v>6</v>
      </c>
    </row>
    <row r="48" spans="1:107" s="70" customFormat="1" ht="216.75" x14ac:dyDescent="0.2">
      <c r="A48" s="834">
        <v>11800</v>
      </c>
      <c r="B48" s="827" t="s">
        <v>3</v>
      </c>
      <c r="C48" s="827" t="s">
        <v>330</v>
      </c>
      <c r="D48" s="827"/>
      <c r="E48" s="827" t="s">
        <v>1020</v>
      </c>
      <c r="F48" s="827"/>
      <c r="G48" s="827"/>
      <c r="H48" s="827"/>
      <c r="I48" s="827"/>
      <c r="J48" s="827"/>
      <c r="K48" s="827"/>
      <c r="L48" s="827"/>
      <c r="M48" s="827"/>
      <c r="N48" s="827"/>
      <c r="O48" s="827"/>
      <c r="P48" s="827"/>
      <c r="Q48" s="827" t="s">
        <v>204</v>
      </c>
      <c r="R48" s="827" t="s">
        <v>204</v>
      </c>
      <c r="S48" s="835" t="s">
        <v>116</v>
      </c>
      <c r="T48" s="827" t="s">
        <v>94</v>
      </c>
      <c r="U48" s="827" t="s">
        <v>204</v>
      </c>
      <c r="V48" s="827" t="s">
        <v>204</v>
      </c>
      <c r="W48" s="835" t="s">
        <v>945</v>
      </c>
      <c r="X48" s="827" t="s">
        <v>383</v>
      </c>
      <c r="Y48" s="838" t="s">
        <v>408</v>
      </c>
      <c r="Z48" s="66">
        <v>12</v>
      </c>
      <c r="AA48" s="835" t="s">
        <v>940</v>
      </c>
      <c r="AB48" s="827" t="s">
        <v>385</v>
      </c>
      <c r="AC48" s="831">
        <v>0</v>
      </c>
      <c r="AD48" s="832">
        <v>1</v>
      </c>
      <c r="AE48" s="827" t="s">
        <v>19</v>
      </c>
      <c r="AF48" s="827" t="s">
        <v>25</v>
      </c>
      <c r="AG48" s="827" t="s">
        <v>204</v>
      </c>
      <c r="AH48" s="827" t="s">
        <v>635</v>
      </c>
      <c r="AI48" s="827" t="s">
        <v>83</v>
      </c>
      <c r="AJ48" s="827" t="s">
        <v>204</v>
      </c>
      <c r="AK48" s="827" t="s">
        <v>1780</v>
      </c>
      <c r="AL48" s="827" t="s">
        <v>44</v>
      </c>
      <c r="AM48" s="870">
        <v>12</v>
      </c>
      <c r="AN48" s="827" t="str">
        <f t="shared" si="47"/>
        <v>Comunicar a través de Boletines informativos temas de autocontrol y fomentar la cultura del autocontrol en la ADRES.</v>
      </c>
      <c r="AO48" s="833">
        <f t="shared" si="48"/>
        <v>0</v>
      </c>
      <c r="AP48" s="860" t="s">
        <v>48</v>
      </c>
      <c r="AQ48" s="66">
        <v>3</v>
      </c>
      <c r="AR48" s="827" t="str">
        <f t="shared" si="49"/>
        <v>Comunicar a través de Boletines informativos temas de autocontrol y fomentar la cultura del autocontrol en la ADRES.</v>
      </c>
      <c r="AS48" s="831">
        <v>0</v>
      </c>
      <c r="AT48" s="835">
        <v>3</v>
      </c>
      <c r="AU48" s="831">
        <v>0</v>
      </c>
      <c r="AV48" s="828">
        <f t="shared" si="50"/>
        <v>1</v>
      </c>
      <c r="AW48" s="828" t="e">
        <f t="shared" si="51"/>
        <v>#DIV/0!</v>
      </c>
      <c r="AX48" s="828">
        <f t="shared" si="52"/>
        <v>0.25</v>
      </c>
      <c r="AY48" s="828" t="e">
        <f t="shared" si="53"/>
        <v>#DIV/0!</v>
      </c>
      <c r="AZ48" s="829" t="s">
        <v>1354</v>
      </c>
      <c r="BA48" s="865">
        <v>3</v>
      </c>
      <c r="BB48" s="827" t="str">
        <f t="shared" si="54"/>
        <v>Comunicar a través de Boletines informativos temas de autocontrol y fomentar la cultura del autocontrol en la ADRES.</v>
      </c>
      <c r="BC48" s="831">
        <v>0</v>
      </c>
      <c r="BD48" s="838">
        <v>3</v>
      </c>
      <c r="BE48" s="831">
        <v>0</v>
      </c>
      <c r="BF48" s="828">
        <f t="shared" si="55"/>
        <v>1</v>
      </c>
      <c r="BG48" s="828" t="e">
        <f t="shared" si="56"/>
        <v>#DIV/0!</v>
      </c>
      <c r="BH48" s="828">
        <f t="shared" si="57"/>
        <v>0.5</v>
      </c>
      <c r="BI48" s="828" t="e">
        <f t="shared" si="58"/>
        <v>#DIV/0!</v>
      </c>
      <c r="BJ48" s="829" t="s">
        <v>1701</v>
      </c>
      <c r="BK48" s="66">
        <v>3</v>
      </c>
      <c r="BL48" s="827" t="str">
        <f t="shared" si="59"/>
        <v>Comunicar a través de Boletines informativos temas de autocontrol y fomentar la cultura del autocontrol en la ADRES.</v>
      </c>
      <c r="BM48" s="831">
        <v>0</v>
      </c>
      <c r="BN48" s="956">
        <v>3</v>
      </c>
      <c r="BO48" s="955">
        <v>0</v>
      </c>
      <c r="BP48" s="828">
        <f t="shared" si="60"/>
        <v>1</v>
      </c>
      <c r="BQ48" s="828" t="e">
        <f t="shared" si="61"/>
        <v>#DIV/0!</v>
      </c>
      <c r="BR48" s="828">
        <f t="shared" si="62"/>
        <v>0.75</v>
      </c>
      <c r="BS48" s="828" t="e">
        <f t="shared" si="63"/>
        <v>#DIV/0!</v>
      </c>
      <c r="BT48" s="958" t="s">
        <v>1818</v>
      </c>
      <c r="BU48" s="865">
        <v>3</v>
      </c>
      <c r="BV48" s="827" t="str">
        <f t="shared" si="64"/>
        <v>Comunicar a través de Boletines informativos temas de autocontrol y fomentar la cultura del autocontrol en la ADRES.</v>
      </c>
      <c r="BW48" s="831">
        <v>0</v>
      </c>
      <c r="BX48" s="835"/>
      <c r="BY48" s="835"/>
      <c r="BZ48" s="826">
        <f t="shared" si="65"/>
        <v>0</v>
      </c>
      <c r="CA48" s="826" t="e">
        <f t="shared" si="66"/>
        <v>#DIV/0!</v>
      </c>
      <c r="CB48" s="826">
        <f t="shared" si="67"/>
        <v>0.75</v>
      </c>
      <c r="CC48" s="826" t="e">
        <f t="shared" si="68"/>
        <v>#DIV/0!</v>
      </c>
      <c r="CD48" s="826"/>
      <c r="CE48" s="640">
        <f t="shared" si="69"/>
        <v>1</v>
      </c>
      <c r="CF48" s="640" t="str">
        <f t="shared" si="70"/>
        <v>No Prog ni Ejec</v>
      </c>
      <c r="CG48" s="640">
        <f t="shared" si="71"/>
        <v>1</v>
      </c>
      <c r="CH48" s="640" t="str">
        <f t="shared" si="72"/>
        <v>No Prog ni Ejec</v>
      </c>
      <c r="CI48" s="640">
        <f t="shared" si="73"/>
        <v>1</v>
      </c>
      <c r="CJ48" s="640" t="str">
        <f t="shared" si="74"/>
        <v>No Prog ni Ejec</v>
      </c>
      <c r="CK48" s="640">
        <f t="shared" si="75"/>
        <v>0</v>
      </c>
      <c r="CL48" s="698" t="str">
        <f t="shared" si="76"/>
        <v>No Prog ni Ejec</v>
      </c>
      <c r="CM48" s="128">
        <f t="shared" si="6"/>
        <v>0</v>
      </c>
      <c r="CW48" s="122">
        <v>6</v>
      </c>
    </row>
    <row r="49" spans="1:106" s="70" customFormat="1" ht="114.75" x14ac:dyDescent="0.2">
      <c r="A49" s="834">
        <v>11800</v>
      </c>
      <c r="B49" s="827" t="s">
        <v>3</v>
      </c>
      <c r="C49" s="827" t="s">
        <v>336</v>
      </c>
      <c r="D49" s="827" t="s">
        <v>1020</v>
      </c>
      <c r="E49" s="827"/>
      <c r="F49" s="827"/>
      <c r="G49" s="827"/>
      <c r="H49" s="827"/>
      <c r="I49" s="827"/>
      <c r="J49" s="827"/>
      <c r="K49" s="827"/>
      <c r="L49" s="827"/>
      <c r="M49" s="827"/>
      <c r="N49" s="827"/>
      <c r="O49" s="827"/>
      <c r="P49" s="827"/>
      <c r="Q49" s="827" t="s">
        <v>1126</v>
      </c>
      <c r="R49" s="827" t="s">
        <v>1132</v>
      </c>
      <c r="S49" s="835" t="s">
        <v>116</v>
      </c>
      <c r="T49" s="827" t="s">
        <v>94</v>
      </c>
      <c r="U49" s="827" t="s">
        <v>204</v>
      </c>
      <c r="V49" s="827" t="s">
        <v>204</v>
      </c>
      <c r="W49" s="835" t="s">
        <v>963</v>
      </c>
      <c r="X49" s="827" t="s">
        <v>1058</v>
      </c>
      <c r="Y49" s="838" t="s">
        <v>391</v>
      </c>
      <c r="Z49" s="66">
        <v>3</v>
      </c>
      <c r="AA49" s="835" t="s">
        <v>962</v>
      </c>
      <c r="AB49" s="827" t="s">
        <v>1057</v>
      </c>
      <c r="AC49" s="831">
        <v>0</v>
      </c>
      <c r="AD49" s="832">
        <v>1</v>
      </c>
      <c r="AE49" s="827" t="s">
        <v>17</v>
      </c>
      <c r="AF49" s="827" t="s">
        <v>295</v>
      </c>
      <c r="AG49" s="827" t="s">
        <v>204</v>
      </c>
      <c r="AH49" s="827" t="s">
        <v>635</v>
      </c>
      <c r="AI49" s="827" t="s">
        <v>1048</v>
      </c>
      <c r="AJ49" s="827" t="s">
        <v>1277</v>
      </c>
      <c r="AK49" s="827" t="s">
        <v>1059</v>
      </c>
      <c r="AL49" s="827" t="s">
        <v>204</v>
      </c>
      <c r="AM49" s="67">
        <v>3</v>
      </c>
      <c r="AN49" s="827" t="str">
        <f t="shared" si="47"/>
        <v>Realizar reuniones de autocontrol y seguimiento a los procesos que evidencien el monitoreo a los riesgos, indicadores, planes de mejoramiento, manuales y documentos asociados</v>
      </c>
      <c r="AO49" s="833">
        <f t="shared" si="48"/>
        <v>0</v>
      </c>
      <c r="AP49" s="860" t="s">
        <v>48</v>
      </c>
      <c r="AQ49" s="67">
        <v>0</v>
      </c>
      <c r="AR49" s="827" t="str">
        <f t="shared" si="49"/>
        <v>Realizar reuniones de autocontrol y seguimiento a los procesos que evidencien el monitoreo a los riesgos, indicadores, planes de mejoramiento, manuales y documentos asociados</v>
      </c>
      <c r="AS49" s="831">
        <f>+AO49/4</f>
        <v>0</v>
      </c>
      <c r="AT49" s="835">
        <v>0</v>
      </c>
      <c r="AU49" s="831">
        <v>0</v>
      </c>
      <c r="AV49" s="828" t="e">
        <f t="shared" si="50"/>
        <v>#DIV/0!</v>
      </c>
      <c r="AW49" s="828" t="e">
        <f t="shared" si="51"/>
        <v>#DIV/0!</v>
      </c>
      <c r="AX49" s="828">
        <f t="shared" si="52"/>
        <v>0</v>
      </c>
      <c r="AY49" s="828" t="e">
        <f t="shared" si="53"/>
        <v>#DIV/0!</v>
      </c>
      <c r="AZ49" s="829" t="s">
        <v>1355</v>
      </c>
      <c r="BA49" s="67">
        <v>1</v>
      </c>
      <c r="BB49" s="827" t="str">
        <f t="shared" si="54"/>
        <v>Realizar reuniones de autocontrol y seguimiento a los procesos que evidencien el monitoreo a los riesgos, indicadores, planes de mejoramiento, manuales y documentos asociados</v>
      </c>
      <c r="BC49" s="831">
        <f>+AO49/4</f>
        <v>0</v>
      </c>
      <c r="BD49" s="838">
        <v>1</v>
      </c>
      <c r="BE49" s="831">
        <v>0</v>
      </c>
      <c r="BF49" s="828">
        <f t="shared" si="55"/>
        <v>1</v>
      </c>
      <c r="BG49" s="828" t="e">
        <f t="shared" si="56"/>
        <v>#DIV/0!</v>
      </c>
      <c r="BH49" s="828">
        <f t="shared" si="57"/>
        <v>0.33333333333333331</v>
      </c>
      <c r="BI49" s="828" t="e">
        <f t="shared" si="58"/>
        <v>#DIV/0!</v>
      </c>
      <c r="BJ49" s="829" t="s">
        <v>1702</v>
      </c>
      <c r="BK49" s="67">
        <v>1</v>
      </c>
      <c r="BL49" s="827" t="str">
        <f t="shared" si="59"/>
        <v>Realizar reuniones de autocontrol y seguimiento a los procesos que evidencien el monitoreo a los riesgos, indicadores, planes de mejoramiento, manuales y documentos asociados</v>
      </c>
      <c r="BM49" s="831">
        <f>+AO49/4</f>
        <v>0</v>
      </c>
      <c r="BN49" s="956">
        <v>1</v>
      </c>
      <c r="BO49" s="955">
        <v>0</v>
      </c>
      <c r="BP49" s="828">
        <f t="shared" si="60"/>
        <v>1</v>
      </c>
      <c r="BQ49" s="828" t="e">
        <f t="shared" si="61"/>
        <v>#DIV/0!</v>
      </c>
      <c r="BR49" s="828">
        <f t="shared" si="62"/>
        <v>0.66666666666666663</v>
      </c>
      <c r="BS49" s="828" t="e">
        <f t="shared" si="63"/>
        <v>#DIV/0!</v>
      </c>
      <c r="BT49" s="958" t="s">
        <v>1702</v>
      </c>
      <c r="BU49" s="67">
        <v>1</v>
      </c>
      <c r="BV49" s="827" t="str">
        <f t="shared" si="64"/>
        <v>Realizar reuniones de autocontrol y seguimiento a los procesos que evidencien el monitoreo a los riesgos, indicadores, planes de mejoramiento, manuales y documentos asociados</v>
      </c>
      <c r="BW49" s="831">
        <f>+AO49/4</f>
        <v>0</v>
      </c>
      <c r="BX49" s="835"/>
      <c r="BY49" s="835"/>
      <c r="BZ49" s="826">
        <f t="shared" si="65"/>
        <v>0</v>
      </c>
      <c r="CA49" s="826" t="e">
        <f t="shared" si="66"/>
        <v>#DIV/0!</v>
      </c>
      <c r="CB49" s="826">
        <f t="shared" si="67"/>
        <v>0.66666666666666663</v>
      </c>
      <c r="CC49" s="826" t="e">
        <f t="shared" si="68"/>
        <v>#DIV/0!</v>
      </c>
      <c r="CD49" s="826"/>
      <c r="CE49" s="640" t="str">
        <f t="shared" si="69"/>
        <v>No Prog ni Ejec</v>
      </c>
      <c r="CF49" s="640" t="str">
        <f t="shared" si="70"/>
        <v>No Prog ni Ejec</v>
      </c>
      <c r="CG49" s="640">
        <f t="shared" si="71"/>
        <v>1</v>
      </c>
      <c r="CH49" s="640" t="str">
        <f t="shared" si="72"/>
        <v>No Prog ni Ejec</v>
      </c>
      <c r="CI49" s="640">
        <f t="shared" si="73"/>
        <v>1</v>
      </c>
      <c r="CJ49" s="640" t="str">
        <f t="shared" si="74"/>
        <v>No Prog ni Ejec</v>
      </c>
      <c r="CK49" s="640">
        <f t="shared" si="75"/>
        <v>0</v>
      </c>
      <c r="CL49" s="698" t="str">
        <f t="shared" si="76"/>
        <v>No Prog ni Ejec</v>
      </c>
      <c r="CM49" s="128">
        <f t="shared" si="6"/>
        <v>0</v>
      </c>
      <c r="CW49" s="122"/>
    </row>
    <row r="50" spans="1:106" s="70" customFormat="1" ht="191.25" x14ac:dyDescent="0.2">
      <c r="A50" s="819">
        <v>11700</v>
      </c>
      <c r="B50" s="816" t="s">
        <v>14</v>
      </c>
      <c r="C50" s="816" t="s">
        <v>337</v>
      </c>
      <c r="D50" s="816"/>
      <c r="E50" s="816"/>
      <c r="F50" s="816" t="s">
        <v>1020</v>
      </c>
      <c r="G50" s="816"/>
      <c r="H50" s="816"/>
      <c r="I50" s="816"/>
      <c r="J50" s="816"/>
      <c r="K50" s="816"/>
      <c r="L50" s="816"/>
      <c r="M50" s="816" t="s">
        <v>1020</v>
      </c>
      <c r="N50" s="816"/>
      <c r="O50" s="816"/>
      <c r="P50" s="816"/>
      <c r="Q50" s="816" t="s">
        <v>204</v>
      </c>
      <c r="R50" s="816" t="s">
        <v>204</v>
      </c>
      <c r="S50" s="820" t="s">
        <v>238</v>
      </c>
      <c r="T50" s="816" t="s">
        <v>94</v>
      </c>
      <c r="U50" s="816" t="s">
        <v>204</v>
      </c>
      <c r="V50" s="816" t="s">
        <v>204</v>
      </c>
      <c r="W50" s="820" t="s">
        <v>240</v>
      </c>
      <c r="X50" s="821" t="s">
        <v>604</v>
      </c>
      <c r="Y50" s="815" t="s">
        <v>51</v>
      </c>
      <c r="Z50" s="66">
        <v>811</v>
      </c>
      <c r="AA50" s="835" t="s">
        <v>239</v>
      </c>
      <c r="AB50" s="827" t="s">
        <v>603</v>
      </c>
      <c r="AC50" s="850">
        <v>185000000</v>
      </c>
      <c r="AD50" s="832">
        <v>1</v>
      </c>
      <c r="AE50" s="827" t="s">
        <v>18</v>
      </c>
      <c r="AF50" s="827" t="s">
        <v>305</v>
      </c>
      <c r="AG50" s="827" t="s">
        <v>204</v>
      </c>
      <c r="AH50" s="827" t="s">
        <v>635</v>
      </c>
      <c r="AI50" s="827" t="s">
        <v>1037</v>
      </c>
      <c r="AJ50" s="827" t="s">
        <v>1295</v>
      </c>
      <c r="AK50" s="827" t="s">
        <v>641</v>
      </c>
      <c r="AL50" s="827" t="s">
        <v>204</v>
      </c>
      <c r="AM50" s="66">
        <v>811</v>
      </c>
      <c r="AN50" s="827" t="str">
        <f t="shared" si="47"/>
        <v>Organizar, digitalizar y transferir el archivo documental de gestión correspondiente al periodo comprendido entre agosto de 2017 y agosto de 2018, ubicado en las instalaciones de la ADRES</v>
      </c>
      <c r="AO50" s="850">
        <f t="shared" si="48"/>
        <v>185000000</v>
      </c>
      <c r="AP50" s="860" t="s">
        <v>46</v>
      </c>
      <c r="AQ50" s="66">
        <v>100</v>
      </c>
      <c r="AR50" s="827" t="str">
        <f t="shared" si="49"/>
        <v>Organizar, digitalizar y transferir el archivo documental de gestión correspondiente al periodo comprendido entre agosto de 2017 y agosto de 2018, ubicado en las instalaciones de la ADRES</v>
      </c>
      <c r="AS50" s="831">
        <f>+AC50/8</f>
        <v>23125000</v>
      </c>
      <c r="AT50" s="835">
        <v>84</v>
      </c>
      <c r="AU50" s="835"/>
      <c r="AV50" s="828">
        <f t="shared" ref="AV50:AV56" si="77">+(AT50/AQ50)</f>
        <v>0.84</v>
      </c>
      <c r="AW50" s="828">
        <f t="shared" ref="AW50:AW56" si="78">+(AU50/AS50)</f>
        <v>0</v>
      </c>
      <c r="AX50" s="828">
        <f t="shared" ref="AX50:AX56" si="79">+(AT50/AM50)</f>
        <v>0.10357583230579531</v>
      </c>
      <c r="AY50" s="828">
        <f t="shared" ref="AY50:AY56" si="80">+(AU50/AO50)</f>
        <v>0</v>
      </c>
      <c r="AZ50" s="884" t="s">
        <v>1612</v>
      </c>
      <c r="BA50" s="66">
        <v>300</v>
      </c>
      <c r="BB50" s="827" t="str">
        <f t="shared" si="54"/>
        <v>Organizar, digitalizar y transferir el archivo documental de gestión correspondiente al periodo comprendido entre agosto de 2017 y agosto de 2018, ubicado en las instalaciones de la ADRES</v>
      </c>
      <c r="BC50" s="831">
        <f>(AC50/8)*3</f>
        <v>69375000</v>
      </c>
      <c r="BD50" s="838">
        <v>300</v>
      </c>
      <c r="BE50" s="831">
        <v>69375000</v>
      </c>
      <c r="BF50" s="828">
        <f t="shared" ref="BF50:BF56" si="81">+(BD50/BA50)</f>
        <v>1</v>
      </c>
      <c r="BG50" s="828">
        <f t="shared" ref="BG50:BG56" si="82">+(BE50/BC50)</f>
        <v>1</v>
      </c>
      <c r="BH50" s="828">
        <f t="shared" ref="BH50:BH56" si="83">+(BD50+AT50)/AM50</f>
        <v>0.47348951911220716</v>
      </c>
      <c r="BI50" s="828">
        <f t="shared" ref="BI50:BI56" si="84">+(BE50+AU50)/AO50</f>
        <v>0.375</v>
      </c>
      <c r="BJ50" s="744" t="s">
        <v>1740</v>
      </c>
      <c r="BK50" s="66">
        <v>300</v>
      </c>
      <c r="BL50" s="827" t="str">
        <f t="shared" si="59"/>
        <v>Organizar, digitalizar y transferir el archivo documental de gestión correspondiente al periodo comprendido entre agosto de 2017 y agosto de 2018, ubicado en las instalaciones de la ADRES</v>
      </c>
      <c r="BM50" s="831">
        <f>(AC50/8)*3</f>
        <v>69375000</v>
      </c>
      <c r="BN50" s="998">
        <v>300</v>
      </c>
      <c r="BO50" s="995">
        <v>69375000</v>
      </c>
      <c r="BP50" s="828">
        <f t="shared" ref="BP50:BP56" si="85">+(BN50/BK50)</f>
        <v>1</v>
      </c>
      <c r="BQ50" s="828">
        <f t="shared" ref="BQ50:BQ56" si="86">+(BO50/BM50)</f>
        <v>1</v>
      </c>
      <c r="BR50" s="828">
        <f t="shared" ref="BR50:BR56" si="87">+(BD50+AT50+BN50)/AM50</f>
        <v>0.84340320591861895</v>
      </c>
      <c r="BS50" s="828">
        <f t="shared" ref="BS50:BS56" si="88">+(BE50+AU50+BO50)/AO50</f>
        <v>0.75</v>
      </c>
      <c r="BT50" s="466" t="s">
        <v>1884</v>
      </c>
      <c r="BU50" s="66">
        <v>111</v>
      </c>
      <c r="BV50" s="827" t="str">
        <f t="shared" si="64"/>
        <v>Organizar, digitalizar y transferir el archivo documental de gestión correspondiente al periodo comprendido entre agosto de 2017 y agosto de 2018, ubicado en las instalaciones de la ADRES</v>
      </c>
      <c r="BW50" s="831">
        <f>+AC50/8</f>
        <v>23125000</v>
      </c>
      <c r="BX50" s="835"/>
      <c r="BY50" s="835"/>
      <c r="BZ50" s="826">
        <f t="shared" ref="BZ50:BZ56" si="89">+(BX50/BU50)</f>
        <v>0</v>
      </c>
      <c r="CA50" s="826">
        <f t="shared" ref="CA50:CA56" si="90">+(BY50/BW50)</f>
        <v>0</v>
      </c>
      <c r="CB50" s="826">
        <f t="shared" ref="CB50:CB56" si="91">+(BD50+AT50+BN50+BX50)/AM50</f>
        <v>0.84340320591861895</v>
      </c>
      <c r="CC50" s="826">
        <f t="shared" ref="CC50:CC56" si="92">+(BE50+AU50+BO50+BY50)/AO50</f>
        <v>0.75</v>
      </c>
      <c r="CD50" s="826"/>
      <c r="CE50" s="818">
        <f t="shared" ref="CE50:CE56" si="93">IF(AND(AQ50=0,AT50=0),"No Prog ni Ejec",IF(AQ50=0,CONCATENATE("No Prog, Ejec=  ",AT50),AT50/AQ50))</f>
        <v>0.84</v>
      </c>
      <c r="CF50" s="818">
        <f t="shared" ref="CF50:CF56" si="94">IF(AND(AS50=0,AU50=0),"No Prog ni Ejec",IF(AS50=0,CONCATENATE("No Prog, Ejec=  ",AU50),AU50/AS50))</f>
        <v>0</v>
      </c>
      <c r="CG50" s="818">
        <f t="shared" ref="CG50:CG56" si="95">IF(AND(BA50=0,BD50=0),"No Prog ni Ejec",IF(BA50=0,CONCATENATE("No Prog, Ejec=  ",BD50),BD50/BA50))</f>
        <v>1</v>
      </c>
      <c r="CH50" s="818">
        <f t="shared" ref="CH50:CH56" si="96">IF(AND(BC50=0,BE50=0),"No Prog ni Ejec",IF(BC50=0,CONCATENATE("No Prog, Ejec=  ",BE50),BE50/BC50))</f>
        <v>1</v>
      </c>
      <c r="CI50" s="818">
        <f t="shared" ref="CI50:CI56" si="97">IF(AND(BK50=0,BN50=0),"No Prog ni Ejec",IF(BK50=0,CONCATENATE("No Prog, Ejec=  ",BN50),BN50/BK50))</f>
        <v>1</v>
      </c>
      <c r="CJ50" s="818">
        <f t="shared" ref="CJ50:CJ56" si="98">IF(AND(BM50=0,BO50=0),"No Prog ni Ejec",IF(BM50=0,CONCATENATE("No Prog, Ejec=  ",BO50),BO50/BM50))</f>
        <v>1</v>
      </c>
      <c r="CK50" s="818">
        <f t="shared" ref="CK50:CK56" si="99">IF(AND(BU50=0,BX50=0),"No Prog ni Ejec",IF(BU50=0,CONCATENATE("No Prog, Ejec=  ",BX50),BX50/BU50))</f>
        <v>0</v>
      </c>
      <c r="CL50" s="817">
        <f t="shared" ref="CL50:CL56" si="100">IF(AND(BW50=0,BY50=0),"No Prog ni Ejec",IF(BW50=0,CONCATENATE("No Prog, Ejec=  ",BY50),BY50/BW50))</f>
        <v>0</v>
      </c>
      <c r="CM50" s="128">
        <f t="shared" si="6"/>
        <v>0</v>
      </c>
      <c r="DA50" s="70">
        <v>10</v>
      </c>
    </row>
    <row r="51" spans="1:106" s="70" customFormat="1" ht="89.25" x14ac:dyDescent="0.2">
      <c r="A51" s="697">
        <v>11700</v>
      </c>
      <c r="B51" s="636" t="s">
        <v>14</v>
      </c>
      <c r="C51" s="636" t="s">
        <v>337</v>
      </c>
      <c r="D51" s="636"/>
      <c r="E51" s="636"/>
      <c r="F51" s="636"/>
      <c r="G51" s="636"/>
      <c r="H51" s="636"/>
      <c r="I51" s="636"/>
      <c r="J51" s="636"/>
      <c r="K51" s="636"/>
      <c r="L51" s="636"/>
      <c r="M51" s="636" t="s">
        <v>1020</v>
      </c>
      <c r="N51" s="636"/>
      <c r="O51" s="636"/>
      <c r="P51" s="636"/>
      <c r="Q51" s="636" t="s">
        <v>204</v>
      </c>
      <c r="R51" s="636" t="s">
        <v>204</v>
      </c>
      <c r="S51" s="638" t="s">
        <v>238</v>
      </c>
      <c r="T51" s="636" t="s">
        <v>94</v>
      </c>
      <c r="U51" s="636" t="s">
        <v>204</v>
      </c>
      <c r="V51" s="636" t="s">
        <v>204</v>
      </c>
      <c r="W51" s="638" t="s">
        <v>728</v>
      </c>
      <c r="X51" s="654" t="s">
        <v>461</v>
      </c>
      <c r="Y51" s="650" t="s">
        <v>51</v>
      </c>
      <c r="Z51" s="826">
        <v>1</v>
      </c>
      <c r="AA51" s="835" t="s">
        <v>706</v>
      </c>
      <c r="AB51" s="827" t="s">
        <v>605</v>
      </c>
      <c r="AC51" s="850">
        <v>0</v>
      </c>
      <c r="AD51" s="832">
        <v>1</v>
      </c>
      <c r="AE51" s="827" t="s">
        <v>18</v>
      </c>
      <c r="AF51" s="827" t="s">
        <v>305</v>
      </c>
      <c r="AG51" s="827" t="s">
        <v>204</v>
      </c>
      <c r="AH51" s="827" t="s">
        <v>635</v>
      </c>
      <c r="AI51" s="827" t="s">
        <v>1037</v>
      </c>
      <c r="AJ51" s="827" t="s">
        <v>1295</v>
      </c>
      <c r="AK51" s="827" t="s">
        <v>462</v>
      </c>
      <c r="AL51" s="827" t="s">
        <v>307</v>
      </c>
      <c r="AM51" s="826">
        <v>1</v>
      </c>
      <c r="AN51" s="827" t="str">
        <f t="shared" si="47"/>
        <v>Actualizar las TRD y someterlas a aprobación del Comité Institucional de Gestión y Desempeño</v>
      </c>
      <c r="AO51" s="833">
        <f t="shared" si="48"/>
        <v>0</v>
      </c>
      <c r="AP51" s="860" t="s">
        <v>48</v>
      </c>
      <c r="AQ51" s="826">
        <v>0</v>
      </c>
      <c r="AR51" s="827" t="str">
        <f t="shared" si="49"/>
        <v>Actualizar las TRD y someterlas a aprobación del Comité Institucional de Gestión y Desempeño</v>
      </c>
      <c r="AS51" s="831">
        <v>0</v>
      </c>
      <c r="AT51" s="473">
        <v>0</v>
      </c>
      <c r="AU51" s="751">
        <v>0</v>
      </c>
      <c r="AV51" s="828" t="e">
        <f t="shared" si="77"/>
        <v>#DIV/0!</v>
      </c>
      <c r="AW51" s="828" t="e">
        <f t="shared" si="78"/>
        <v>#DIV/0!</v>
      </c>
      <c r="AX51" s="828">
        <f t="shared" si="79"/>
        <v>0</v>
      </c>
      <c r="AY51" s="828" t="e">
        <f t="shared" si="80"/>
        <v>#DIV/0!</v>
      </c>
      <c r="AZ51" s="493" t="s">
        <v>1333</v>
      </c>
      <c r="BA51" s="826">
        <v>0</v>
      </c>
      <c r="BB51" s="827" t="str">
        <f t="shared" si="54"/>
        <v>Actualizar las TRD y someterlas a aprobación del Comité Institucional de Gestión y Desempeño</v>
      </c>
      <c r="BC51" s="831">
        <v>0</v>
      </c>
      <c r="BD51" s="838">
        <v>0</v>
      </c>
      <c r="BE51" s="831">
        <v>0</v>
      </c>
      <c r="BF51" s="828" t="e">
        <f t="shared" si="81"/>
        <v>#DIV/0!</v>
      </c>
      <c r="BG51" s="828" t="e">
        <f t="shared" si="82"/>
        <v>#DIV/0!</v>
      </c>
      <c r="BH51" s="828">
        <f t="shared" si="83"/>
        <v>0</v>
      </c>
      <c r="BI51" s="828" t="e">
        <f t="shared" si="84"/>
        <v>#DIV/0!</v>
      </c>
      <c r="BJ51" s="830" t="s">
        <v>1626</v>
      </c>
      <c r="BK51" s="826">
        <v>1</v>
      </c>
      <c r="BL51" s="827" t="str">
        <f t="shared" si="59"/>
        <v>Actualizar las TRD y someterlas a aprobación del Comité Institucional de Gestión y Desempeño</v>
      </c>
      <c r="BM51" s="831">
        <v>0</v>
      </c>
      <c r="BN51" s="1000">
        <f>(21/21)*100%</f>
        <v>1</v>
      </c>
      <c r="BO51" s="995">
        <v>0</v>
      </c>
      <c r="BP51" s="828">
        <f t="shared" si="85"/>
        <v>1</v>
      </c>
      <c r="BQ51" s="828" t="e">
        <f t="shared" si="86"/>
        <v>#DIV/0!</v>
      </c>
      <c r="BR51" s="828">
        <f t="shared" si="87"/>
        <v>1</v>
      </c>
      <c r="BS51" s="828" t="e">
        <f t="shared" si="88"/>
        <v>#DIV/0!</v>
      </c>
      <c r="BT51" s="466" t="s">
        <v>1885</v>
      </c>
      <c r="BU51" s="826">
        <v>0</v>
      </c>
      <c r="BV51" s="827" t="str">
        <f t="shared" si="64"/>
        <v>Actualizar las TRD y someterlas a aprobación del Comité Institucional de Gestión y Desempeño</v>
      </c>
      <c r="BW51" s="831">
        <v>0</v>
      </c>
      <c r="BX51" s="835"/>
      <c r="BY51" s="835"/>
      <c r="BZ51" s="826" t="e">
        <f t="shared" si="89"/>
        <v>#DIV/0!</v>
      </c>
      <c r="CA51" s="826" t="e">
        <f t="shared" si="90"/>
        <v>#DIV/0!</v>
      </c>
      <c r="CB51" s="826">
        <f t="shared" si="91"/>
        <v>1</v>
      </c>
      <c r="CC51" s="826" t="e">
        <f t="shared" si="92"/>
        <v>#DIV/0!</v>
      </c>
      <c r="CD51" s="826"/>
      <c r="CE51" s="640" t="str">
        <f t="shared" si="93"/>
        <v>No Prog ni Ejec</v>
      </c>
      <c r="CF51" s="640" t="str">
        <f t="shared" si="94"/>
        <v>No Prog ni Ejec</v>
      </c>
      <c r="CG51" s="640" t="str">
        <f t="shared" si="95"/>
        <v>No Prog ni Ejec</v>
      </c>
      <c r="CH51" s="640" t="str">
        <f t="shared" si="96"/>
        <v>No Prog ni Ejec</v>
      </c>
      <c r="CI51" s="640">
        <f t="shared" si="97"/>
        <v>1</v>
      </c>
      <c r="CJ51" s="640" t="str">
        <f t="shared" si="98"/>
        <v>No Prog ni Ejec</v>
      </c>
      <c r="CK51" s="640" t="str">
        <f t="shared" si="99"/>
        <v>No Prog ni Ejec</v>
      </c>
      <c r="CL51" s="698" t="str">
        <f t="shared" si="100"/>
        <v>No Prog ni Ejec</v>
      </c>
      <c r="CM51" s="128">
        <f t="shared" si="6"/>
        <v>0</v>
      </c>
      <c r="DA51" s="70">
        <v>10</v>
      </c>
    </row>
    <row r="52" spans="1:106" s="70" customFormat="1" ht="140.25" x14ac:dyDescent="0.2">
      <c r="A52" s="697">
        <v>11700</v>
      </c>
      <c r="B52" s="636" t="s">
        <v>14</v>
      </c>
      <c r="C52" s="636" t="s">
        <v>337</v>
      </c>
      <c r="D52" s="636"/>
      <c r="E52" s="636"/>
      <c r="F52" s="636"/>
      <c r="G52" s="636"/>
      <c r="H52" s="636"/>
      <c r="I52" s="636"/>
      <c r="J52" s="636"/>
      <c r="K52" s="636"/>
      <c r="L52" s="636"/>
      <c r="M52" s="636" t="s">
        <v>1020</v>
      </c>
      <c r="N52" s="636"/>
      <c r="O52" s="636"/>
      <c r="P52" s="636"/>
      <c r="Q52" s="636" t="s">
        <v>204</v>
      </c>
      <c r="R52" s="636" t="s">
        <v>204</v>
      </c>
      <c r="S52" s="638" t="s">
        <v>238</v>
      </c>
      <c r="T52" s="636" t="s">
        <v>94</v>
      </c>
      <c r="U52" s="636" t="s">
        <v>204</v>
      </c>
      <c r="V52" s="636" t="s">
        <v>204</v>
      </c>
      <c r="W52" s="638" t="s">
        <v>729</v>
      </c>
      <c r="X52" s="636" t="s">
        <v>607</v>
      </c>
      <c r="Y52" s="650" t="s">
        <v>391</v>
      </c>
      <c r="Z52" s="66">
        <v>1</v>
      </c>
      <c r="AA52" s="835" t="s">
        <v>707</v>
      </c>
      <c r="AB52" s="827" t="s">
        <v>606</v>
      </c>
      <c r="AC52" s="850">
        <v>0</v>
      </c>
      <c r="AD52" s="832">
        <v>1</v>
      </c>
      <c r="AE52" s="827" t="s">
        <v>18</v>
      </c>
      <c r="AF52" s="827" t="s">
        <v>305</v>
      </c>
      <c r="AG52" s="827" t="s">
        <v>204</v>
      </c>
      <c r="AH52" s="827" t="s">
        <v>635</v>
      </c>
      <c r="AI52" s="827" t="s">
        <v>1037</v>
      </c>
      <c r="AJ52" s="827" t="s">
        <v>204</v>
      </c>
      <c r="AK52" s="827" t="s">
        <v>642</v>
      </c>
      <c r="AL52" s="827" t="s">
        <v>204</v>
      </c>
      <c r="AM52" s="66">
        <v>1</v>
      </c>
      <c r="AN52" s="827" t="str">
        <f t="shared" si="47"/>
        <v>Realizar los estudios técnicos, de mercado y económicos para la valoración documental</v>
      </c>
      <c r="AO52" s="833">
        <f t="shared" si="48"/>
        <v>0</v>
      </c>
      <c r="AP52" s="860" t="s">
        <v>48</v>
      </c>
      <c r="AQ52" s="66">
        <v>0</v>
      </c>
      <c r="AR52" s="827" t="str">
        <f t="shared" si="49"/>
        <v>Realizar los estudios técnicos, de mercado y económicos para la valoración documental</v>
      </c>
      <c r="AS52" s="831">
        <v>0</v>
      </c>
      <c r="AT52" s="473">
        <v>0</v>
      </c>
      <c r="AU52" s="498">
        <v>0</v>
      </c>
      <c r="AV52" s="828" t="e">
        <f t="shared" si="77"/>
        <v>#DIV/0!</v>
      </c>
      <c r="AW52" s="828" t="e">
        <f t="shared" si="78"/>
        <v>#DIV/0!</v>
      </c>
      <c r="AX52" s="828">
        <f t="shared" si="79"/>
        <v>0</v>
      </c>
      <c r="AY52" s="828" t="e">
        <f t="shared" si="80"/>
        <v>#DIV/0!</v>
      </c>
      <c r="AZ52" s="493" t="s">
        <v>1333</v>
      </c>
      <c r="BA52" s="66">
        <v>0</v>
      </c>
      <c r="BB52" s="827" t="str">
        <f t="shared" si="54"/>
        <v>Realizar los estudios técnicos, de mercado y económicos para la valoración documental</v>
      </c>
      <c r="BC52" s="831">
        <v>0</v>
      </c>
      <c r="BD52" s="838">
        <v>0</v>
      </c>
      <c r="BE52" s="831">
        <v>0</v>
      </c>
      <c r="BF52" s="828" t="e">
        <f t="shared" si="81"/>
        <v>#DIV/0!</v>
      </c>
      <c r="BG52" s="828" t="e">
        <f t="shared" si="82"/>
        <v>#DIV/0!</v>
      </c>
      <c r="BH52" s="828">
        <f t="shared" si="83"/>
        <v>0</v>
      </c>
      <c r="BI52" s="828" t="e">
        <f t="shared" si="84"/>
        <v>#DIV/0!</v>
      </c>
      <c r="BJ52" s="830" t="s">
        <v>1626</v>
      </c>
      <c r="BK52" s="66">
        <v>1</v>
      </c>
      <c r="BL52" s="827" t="str">
        <f>+AN52</f>
        <v>Realizar los estudios técnicos, de mercado y económicos para la valoración documental</v>
      </c>
      <c r="BM52" s="831">
        <v>0</v>
      </c>
      <c r="BN52" s="998">
        <v>1</v>
      </c>
      <c r="BO52" s="995">
        <v>0</v>
      </c>
      <c r="BP52" s="828">
        <f t="shared" si="85"/>
        <v>1</v>
      </c>
      <c r="BQ52" s="828" t="e">
        <f t="shared" si="86"/>
        <v>#DIV/0!</v>
      </c>
      <c r="BR52" s="828">
        <f t="shared" si="87"/>
        <v>1</v>
      </c>
      <c r="BS52" s="828" t="e">
        <f t="shared" si="88"/>
        <v>#DIV/0!</v>
      </c>
      <c r="BT52" s="466" t="s">
        <v>1886</v>
      </c>
      <c r="BU52" s="66">
        <v>0</v>
      </c>
      <c r="BV52" s="827" t="str">
        <f t="shared" si="64"/>
        <v>Realizar los estudios técnicos, de mercado y económicos para la valoración documental</v>
      </c>
      <c r="BW52" s="831">
        <v>0</v>
      </c>
      <c r="BX52" s="835"/>
      <c r="BY52" s="835"/>
      <c r="BZ52" s="826" t="e">
        <f t="shared" si="89"/>
        <v>#DIV/0!</v>
      </c>
      <c r="CA52" s="826" t="e">
        <f t="shared" si="90"/>
        <v>#DIV/0!</v>
      </c>
      <c r="CB52" s="826">
        <f t="shared" si="91"/>
        <v>1</v>
      </c>
      <c r="CC52" s="826" t="e">
        <f t="shared" si="92"/>
        <v>#DIV/0!</v>
      </c>
      <c r="CD52" s="826"/>
      <c r="CE52" s="640" t="str">
        <f t="shared" si="93"/>
        <v>No Prog ni Ejec</v>
      </c>
      <c r="CF52" s="640" t="str">
        <f t="shared" si="94"/>
        <v>No Prog ni Ejec</v>
      </c>
      <c r="CG52" s="640" t="str">
        <f t="shared" si="95"/>
        <v>No Prog ni Ejec</v>
      </c>
      <c r="CH52" s="640" t="str">
        <f t="shared" si="96"/>
        <v>No Prog ni Ejec</v>
      </c>
      <c r="CI52" s="640">
        <f t="shared" si="97"/>
        <v>1</v>
      </c>
      <c r="CJ52" s="640" t="str">
        <f t="shared" si="98"/>
        <v>No Prog ni Ejec</v>
      </c>
      <c r="CK52" s="640" t="str">
        <f t="shared" si="99"/>
        <v>No Prog ni Ejec</v>
      </c>
      <c r="CL52" s="698" t="str">
        <f t="shared" si="100"/>
        <v>No Prog ni Ejec</v>
      </c>
      <c r="CM52" s="128">
        <f t="shared" si="6"/>
        <v>0</v>
      </c>
      <c r="DA52" s="70">
        <v>10</v>
      </c>
    </row>
    <row r="53" spans="1:106" s="70" customFormat="1" ht="89.25" x14ac:dyDescent="0.2">
      <c r="A53" s="697">
        <v>11700</v>
      </c>
      <c r="B53" s="636" t="s">
        <v>14</v>
      </c>
      <c r="C53" s="636" t="s">
        <v>337</v>
      </c>
      <c r="D53" s="636"/>
      <c r="E53" s="636"/>
      <c r="F53" s="636"/>
      <c r="G53" s="636"/>
      <c r="H53" s="636"/>
      <c r="I53" s="636"/>
      <c r="J53" s="636"/>
      <c r="K53" s="636"/>
      <c r="L53" s="636"/>
      <c r="M53" s="636" t="s">
        <v>1020</v>
      </c>
      <c r="N53" s="636"/>
      <c r="O53" s="636"/>
      <c r="P53" s="636"/>
      <c r="Q53" s="636" t="s">
        <v>204</v>
      </c>
      <c r="R53" s="636" t="s">
        <v>204</v>
      </c>
      <c r="S53" s="638" t="s">
        <v>238</v>
      </c>
      <c r="T53" s="636" t="s">
        <v>94</v>
      </c>
      <c r="U53" s="636" t="s">
        <v>204</v>
      </c>
      <c r="V53" s="636" t="s">
        <v>204</v>
      </c>
      <c r="W53" s="638" t="s">
        <v>730</v>
      </c>
      <c r="X53" s="636" t="s">
        <v>1613</v>
      </c>
      <c r="Y53" s="650" t="s">
        <v>391</v>
      </c>
      <c r="Z53" s="67">
        <v>1</v>
      </c>
      <c r="AA53" s="835" t="s">
        <v>708</v>
      </c>
      <c r="AB53" s="827" t="s">
        <v>608</v>
      </c>
      <c r="AC53" s="850">
        <v>0</v>
      </c>
      <c r="AD53" s="832">
        <v>1</v>
      </c>
      <c r="AE53" s="827" t="s">
        <v>17</v>
      </c>
      <c r="AF53" s="827" t="s">
        <v>26</v>
      </c>
      <c r="AG53" s="827" t="s">
        <v>631</v>
      </c>
      <c r="AH53" s="827" t="s">
        <v>635</v>
      </c>
      <c r="AI53" s="827" t="s">
        <v>1037</v>
      </c>
      <c r="AJ53" s="827" t="s">
        <v>204</v>
      </c>
      <c r="AK53" s="827" t="s">
        <v>1614</v>
      </c>
      <c r="AL53" s="827" t="s">
        <v>204</v>
      </c>
      <c r="AM53" s="66">
        <v>1</v>
      </c>
      <c r="AN53" s="827" t="str">
        <f t="shared" ref="AN53:AN73" si="101">+AB53</f>
        <v>Definir la política de cero papel y someterla a aprobación del Comité Institucional de Gestión y Desempeño</v>
      </c>
      <c r="AO53" s="833">
        <f>+AC53</f>
        <v>0</v>
      </c>
      <c r="AP53" s="860" t="s">
        <v>48</v>
      </c>
      <c r="AQ53" s="66">
        <v>0</v>
      </c>
      <c r="AR53" s="827" t="str">
        <f>+AN53</f>
        <v>Definir la política de cero papel y someterla a aprobación del Comité Institucional de Gestión y Desempeño</v>
      </c>
      <c r="AS53" s="831">
        <v>0</v>
      </c>
      <c r="AT53" s="473">
        <v>0</v>
      </c>
      <c r="AU53" s="498">
        <v>0</v>
      </c>
      <c r="AV53" s="828" t="e">
        <f t="shared" si="77"/>
        <v>#DIV/0!</v>
      </c>
      <c r="AW53" s="828" t="e">
        <f t="shared" si="78"/>
        <v>#DIV/0!</v>
      </c>
      <c r="AX53" s="828">
        <f t="shared" si="79"/>
        <v>0</v>
      </c>
      <c r="AY53" s="828" t="e">
        <f t="shared" si="80"/>
        <v>#DIV/0!</v>
      </c>
      <c r="AZ53" s="493" t="s">
        <v>1333</v>
      </c>
      <c r="BA53" s="66">
        <v>1</v>
      </c>
      <c r="BB53" s="827" t="str">
        <f>+AN53</f>
        <v>Definir la política de cero papel y someterla a aprobación del Comité Institucional de Gestión y Desempeño</v>
      </c>
      <c r="BC53" s="831">
        <v>0</v>
      </c>
      <c r="BD53" s="624">
        <v>1</v>
      </c>
      <c r="BE53" s="831">
        <v>0</v>
      </c>
      <c r="BF53" s="828">
        <f t="shared" si="81"/>
        <v>1</v>
      </c>
      <c r="BG53" s="828" t="e">
        <f t="shared" si="82"/>
        <v>#DIV/0!</v>
      </c>
      <c r="BH53" s="828">
        <f t="shared" si="83"/>
        <v>1</v>
      </c>
      <c r="BI53" s="828" t="e">
        <f t="shared" si="84"/>
        <v>#DIV/0!</v>
      </c>
      <c r="BJ53" s="830" t="s">
        <v>1627</v>
      </c>
      <c r="BK53" s="66">
        <v>0</v>
      </c>
      <c r="BL53" s="827" t="str">
        <f>+AN53</f>
        <v>Definir la política de cero papel y someterla a aprobación del Comité Institucional de Gestión y Desempeño</v>
      </c>
      <c r="BM53" s="831">
        <v>0</v>
      </c>
      <c r="BN53" s="998">
        <v>0</v>
      </c>
      <c r="BO53" s="995">
        <v>0</v>
      </c>
      <c r="BP53" s="828" t="e">
        <f t="shared" si="85"/>
        <v>#DIV/0!</v>
      </c>
      <c r="BQ53" s="828" t="e">
        <f t="shared" si="86"/>
        <v>#DIV/0!</v>
      </c>
      <c r="BR53" s="828">
        <f t="shared" si="87"/>
        <v>1</v>
      </c>
      <c r="BS53" s="828" t="e">
        <f t="shared" si="88"/>
        <v>#DIV/0!</v>
      </c>
      <c r="BT53" s="994" t="s">
        <v>1887</v>
      </c>
      <c r="BU53" s="66">
        <v>0</v>
      </c>
      <c r="BV53" s="827" t="str">
        <f>+AN53</f>
        <v>Definir la política de cero papel y someterla a aprobación del Comité Institucional de Gestión y Desempeño</v>
      </c>
      <c r="BW53" s="831">
        <v>0</v>
      </c>
      <c r="BX53" s="835"/>
      <c r="BY53" s="835"/>
      <c r="BZ53" s="826" t="e">
        <f t="shared" si="89"/>
        <v>#DIV/0!</v>
      </c>
      <c r="CA53" s="826" t="e">
        <f t="shared" si="90"/>
        <v>#DIV/0!</v>
      </c>
      <c r="CB53" s="826">
        <f t="shared" si="91"/>
        <v>1</v>
      </c>
      <c r="CC53" s="826" t="e">
        <f t="shared" si="92"/>
        <v>#DIV/0!</v>
      </c>
      <c r="CD53" s="826"/>
      <c r="CE53" s="640" t="str">
        <f t="shared" si="93"/>
        <v>No Prog ni Ejec</v>
      </c>
      <c r="CF53" s="640" t="str">
        <f t="shared" si="94"/>
        <v>No Prog ni Ejec</v>
      </c>
      <c r="CG53" s="640">
        <f t="shared" si="95"/>
        <v>1</v>
      </c>
      <c r="CH53" s="640" t="str">
        <f t="shared" si="96"/>
        <v>No Prog ni Ejec</v>
      </c>
      <c r="CI53" s="640" t="str">
        <f t="shared" si="97"/>
        <v>No Prog ni Ejec</v>
      </c>
      <c r="CJ53" s="640" t="str">
        <f t="shared" si="98"/>
        <v>No Prog ni Ejec</v>
      </c>
      <c r="CK53" s="640" t="str">
        <f t="shared" si="99"/>
        <v>No Prog ni Ejec</v>
      </c>
      <c r="CL53" s="698" t="str">
        <f t="shared" si="100"/>
        <v>No Prog ni Ejec</v>
      </c>
      <c r="CM53" s="128">
        <f t="shared" si="6"/>
        <v>0</v>
      </c>
      <c r="CW53" s="122">
        <v>6</v>
      </c>
    </row>
    <row r="54" spans="1:106" s="70" customFormat="1" ht="140.25" x14ac:dyDescent="0.2">
      <c r="A54" s="697">
        <v>11700</v>
      </c>
      <c r="B54" s="636" t="s">
        <v>14</v>
      </c>
      <c r="C54" s="636" t="s">
        <v>330</v>
      </c>
      <c r="D54" s="636"/>
      <c r="E54" s="636" t="s">
        <v>1020</v>
      </c>
      <c r="F54" s="636"/>
      <c r="G54" s="636"/>
      <c r="H54" s="636"/>
      <c r="I54" s="636"/>
      <c r="J54" s="636"/>
      <c r="K54" s="636"/>
      <c r="L54" s="636"/>
      <c r="M54" s="636"/>
      <c r="N54" s="636"/>
      <c r="O54" s="636"/>
      <c r="P54" s="636"/>
      <c r="Q54" s="636" t="s">
        <v>204</v>
      </c>
      <c r="R54" s="636" t="s">
        <v>204</v>
      </c>
      <c r="S54" s="638" t="s">
        <v>238</v>
      </c>
      <c r="T54" s="636" t="s">
        <v>94</v>
      </c>
      <c r="U54" s="636" t="s">
        <v>204</v>
      </c>
      <c r="V54" s="636" t="s">
        <v>204</v>
      </c>
      <c r="W54" s="638" t="s">
        <v>731</v>
      </c>
      <c r="X54" s="636" t="s">
        <v>1615</v>
      </c>
      <c r="Y54" s="650" t="s">
        <v>391</v>
      </c>
      <c r="Z54" s="67">
        <v>1</v>
      </c>
      <c r="AA54" s="835" t="s">
        <v>709</v>
      </c>
      <c r="AB54" s="827" t="s">
        <v>609</v>
      </c>
      <c r="AC54" s="850">
        <v>0</v>
      </c>
      <c r="AD54" s="832">
        <v>1</v>
      </c>
      <c r="AE54" s="827" t="s">
        <v>17</v>
      </c>
      <c r="AF54" s="827" t="s">
        <v>26</v>
      </c>
      <c r="AG54" s="827" t="s">
        <v>631</v>
      </c>
      <c r="AH54" s="827" t="s">
        <v>635</v>
      </c>
      <c r="AI54" s="827" t="s">
        <v>1037</v>
      </c>
      <c r="AJ54" s="827" t="s">
        <v>204</v>
      </c>
      <c r="AK54" s="827" t="s">
        <v>1616</v>
      </c>
      <c r="AL54" s="827" t="s">
        <v>204</v>
      </c>
      <c r="AM54" s="66">
        <v>1</v>
      </c>
      <c r="AN54" s="827" t="str">
        <f t="shared" si="101"/>
        <v>Definir la política y los indicadores de gestión ambiental y someterlos a aprobación del Comité Institucional de Desarrollo Administrativo</v>
      </c>
      <c r="AO54" s="833">
        <f>+AC54</f>
        <v>0</v>
      </c>
      <c r="AP54" s="860" t="s">
        <v>46</v>
      </c>
      <c r="AQ54" s="66">
        <v>0</v>
      </c>
      <c r="AR54" s="827" t="str">
        <f>+AN54</f>
        <v>Definir la política y los indicadores de gestión ambiental y someterlos a aprobación del Comité Institucional de Desarrollo Administrativo</v>
      </c>
      <c r="AS54" s="831">
        <v>0</v>
      </c>
      <c r="AT54" s="473">
        <v>0</v>
      </c>
      <c r="AU54" s="498">
        <v>0</v>
      </c>
      <c r="AV54" s="828" t="e">
        <f t="shared" si="77"/>
        <v>#DIV/0!</v>
      </c>
      <c r="AW54" s="828" t="e">
        <f t="shared" si="78"/>
        <v>#DIV/0!</v>
      </c>
      <c r="AX54" s="828">
        <f t="shared" si="79"/>
        <v>0</v>
      </c>
      <c r="AY54" s="828" t="e">
        <f t="shared" si="80"/>
        <v>#DIV/0!</v>
      </c>
      <c r="AZ54" s="493" t="s">
        <v>1333</v>
      </c>
      <c r="BA54" s="66">
        <v>0</v>
      </c>
      <c r="BB54" s="827" t="str">
        <f>+AN54</f>
        <v>Definir la política y los indicadores de gestión ambiental y someterlos a aprobación del Comité Institucional de Desarrollo Administrativo</v>
      </c>
      <c r="BC54" s="831">
        <v>0</v>
      </c>
      <c r="BD54" s="838">
        <v>0</v>
      </c>
      <c r="BE54" s="831">
        <v>0</v>
      </c>
      <c r="BF54" s="828" t="e">
        <f t="shared" si="81"/>
        <v>#DIV/0!</v>
      </c>
      <c r="BG54" s="828" t="e">
        <f t="shared" si="82"/>
        <v>#DIV/0!</v>
      </c>
      <c r="BH54" s="828">
        <f t="shared" si="83"/>
        <v>0</v>
      </c>
      <c r="BI54" s="828" t="e">
        <f t="shared" si="84"/>
        <v>#DIV/0!</v>
      </c>
      <c r="BJ54" s="830" t="s">
        <v>1626</v>
      </c>
      <c r="BK54" s="66">
        <v>1</v>
      </c>
      <c r="BL54" s="827" t="str">
        <f>+AN54</f>
        <v>Definir la política y los indicadores de gestión ambiental y someterlos a aprobación del Comité Institucional de Desarrollo Administrativo</v>
      </c>
      <c r="BM54" s="831">
        <v>0</v>
      </c>
      <c r="BN54" s="998">
        <v>1</v>
      </c>
      <c r="BO54" s="995">
        <v>0</v>
      </c>
      <c r="BP54" s="828">
        <f t="shared" si="85"/>
        <v>1</v>
      </c>
      <c r="BQ54" s="828" t="e">
        <f t="shared" si="86"/>
        <v>#DIV/0!</v>
      </c>
      <c r="BR54" s="828">
        <f t="shared" si="87"/>
        <v>1</v>
      </c>
      <c r="BS54" s="828" t="e">
        <f t="shared" si="88"/>
        <v>#DIV/0!</v>
      </c>
      <c r="BT54" s="466" t="s">
        <v>1888</v>
      </c>
      <c r="BU54" s="66">
        <v>0</v>
      </c>
      <c r="BV54" s="827" t="str">
        <f>+AN54</f>
        <v>Definir la política y los indicadores de gestión ambiental y someterlos a aprobación del Comité Institucional de Desarrollo Administrativo</v>
      </c>
      <c r="BW54" s="831">
        <v>0</v>
      </c>
      <c r="BX54" s="835"/>
      <c r="BY54" s="835"/>
      <c r="BZ54" s="826" t="e">
        <f t="shared" si="89"/>
        <v>#DIV/0!</v>
      </c>
      <c r="CA54" s="826" t="e">
        <f t="shared" si="90"/>
        <v>#DIV/0!</v>
      </c>
      <c r="CB54" s="826">
        <f t="shared" si="91"/>
        <v>1</v>
      </c>
      <c r="CC54" s="826" t="e">
        <f t="shared" si="92"/>
        <v>#DIV/0!</v>
      </c>
      <c r="CD54" s="826"/>
      <c r="CE54" s="640" t="str">
        <f t="shared" si="93"/>
        <v>No Prog ni Ejec</v>
      </c>
      <c r="CF54" s="640" t="str">
        <f t="shared" si="94"/>
        <v>No Prog ni Ejec</v>
      </c>
      <c r="CG54" s="640" t="str">
        <f t="shared" si="95"/>
        <v>No Prog ni Ejec</v>
      </c>
      <c r="CH54" s="640" t="str">
        <f t="shared" si="96"/>
        <v>No Prog ni Ejec</v>
      </c>
      <c r="CI54" s="640">
        <f t="shared" si="97"/>
        <v>1</v>
      </c>
      <c r="CJ54" s="640" t="str">
        <f t="shared" si="98"/>
        <v>No Prog ni Ejec</v>
      </c>
      <c r="CK54" s="640" t="str">
        <f t="shared" si="99"/>
        <v>No Prog ni Ejec</v>
      </c>
      <c r="CL54" s="698" t="str">
        <f t="shared" si="100"/>
        <v>No Prog ni Ejec</v>
      </c>
      <c r="CM54" s="128">
        <f t="shared" si="6"/>
        <v>0</v>
      </c>
      <c r="CW54" s="122">
        <v>6</v>
      </c>
    </row>
    <row r="55" spans="1:106" s="70" customFormat="1" ht="127.5" x14ac:dyDescent="0.2">
      <c r="A55" s="697">
        <v>11700</v>
      </c>
      <c r="B55" s="636" t="s">
        <v>14</v>
      </c>
      <c r="C55" s="636" t="s">
        <v>330</v>
      </c>
      <c r="D55" s="636"/>
      <c r="E55" s="636" t="s">
        <v>1020</v>
      </c>
      <c r="F55" s="636"/>
      <c r="G55" s="636"/>
      <c r="H55" s="636"/>
      <c r="I55" s="636"/>
      <c r="J55" s="636"/>
      <c r="K55" s="636"/>
      <c r="L55" s="636"/>
      <c r="M55" s="636"/>
      <c r="N55" s="636"/>
      <c r="O55" s="636"/>
      <c r="P55" s="636"/>
      <c r="Q55" s="636" t="s">
        <v>204</v>
      </c>
      <c r="R55" s="636" t="s">
        <v>204</v>
      </c>
      <c r="S55" s="638" t="s">
        <v>238</v>
      </c>
      <c r="T55" s="636" t="s">
        <v>94</v>
      </c>
      <c r="U55" s="636" t="s">
        <v>204</v>
      </c>
      <c r="V55" s="636" t="s">
        <v>204</v>
      </c>
      <c r="W55" s="638" t="s">
        <v>732</v>
      </c>
      <c r="X55" s="636" t="s">
        <v>704</v>
      </c>
      <c r="Y55" s="650" t="s">
        <v>391</v>
      </c>
      <c r="Z55" s="67">
        <v>1</v>
      </c>
      <c r="AA55" s="835" t="s">
        <v>710</v>
      </c>
      <c r="AB55" s="827" t="s">
        <v>610</v>
      </c>
      <c r="AC55" s="850">
        <v>0</v>
      </c>
      <c r="AD55" s="832">
        <v>1</v>
      </c>
      <c r="AE55" s="827" t="s">
        <v>17</v>
      </c>
      <c r="AF55" s="827" t="s">
        <v>295</v>
      </c>
      <c r="AG55" s="827" t="s">
        <v>631</v>
      </c>
      <c r="AH55" s="827" t="s">
        <v>635</v>
      </c>
      <c r="AI55" s="827" t="s">
        <v>1037</v>
      </c>
      <c r="AJ55" s="827" t="s">
        <v>635</v>
      </c>
      <c r="AK55" s="827" t="s">
        <v>705</v>
      </c>
      <c r="AL55" s="827" t="s">
        <v>204</v>
      </c>
      <c r="AM55" s="66">
        <v>1</v>
      </c>
      <c r="AN55" s="827" t="str">
        <f t="shared" si="101"/>
        <v>Revisar los formatos de los procesos a cargo de la Dirección Administrativa y Financiera para determinar su conveniencia</v>
      </c>
      <c r="AO55" s="833">
        <f>+AC55</f>
        <v>0</v>
      </c>
      <c r="AP55" s="860" t="s">
        <v>46</v>
      </c>
      <c r="AQ55" s="66">
        <v>1</v>
      </c>
      <c r="AR55" s="827" t="str">
        <f>+AN55</f>
        <v>Revisar los formatos de los procesos a cargo de la Dirección Administrativa y Financiera para determinar su conveniencia</v>
      </c>
      <c r="AS55" s="831">
        <v>0</v>
      </c>
      <c r="AT55" s="473">
        <v>1</v>
      </c>
      <c r="AU55" s="498">
        <v>0</v>
      </c>
      <c r="AV55" s="828">
        <f t="shared" si="77"/>
        <v>1</v>
      </c>
      <c r="AW55" s="828" t="e">
        <f t="shared" si="78"/>
        <v>#DIV/0!</v>
      </c>
      <c r="AX55" s="828">
        <f t="shared" si="79"/>
        <v>1</v>
      </c>
      <c r="AY55" s="828" t="e">
        <f t="shared" si="80"/>
        <v>#DIV/0!</v>
      </c>
      <c r="AZ55" s="493" t="s">
        <v>1617</v>
      </c>
      <c r="BA55" s="66">
        <v>0</v>
      </c>
      <c r="BB55" s="827" t="str">
        <f>+AN55</f>
        <v>Revisar los formatos de los procesos a cargo de la Dirección Administrativa y Financiera para determinar su conveniencia</v>
      </c>
      <c r="BC55" s="831">
        <v>0</v>
      </c>
      <c r="BD55" s="838">
        <v>0</v>
      </c>
      <c r="BE55" s="831">
        <v>0</v>
      </c>
      <c r="BF55" s="828" t="e">
        <f t="shared" si="81"/>
        <v>#DIV/0!</v>
      </c>
      <c r="BG55" s="828" t="e">
        <f t="shared" si="82"/>
        <v>#DIV/0!</v>
      </c>
      <c r="BH55" s="828">
        <f t="shared" si="83"/>
        <v>1</v>
      </c>
      <c r="BI55" s="828" t="e">
        <f t="shared" si="84"/>
        <v>#DIV/0!</v>
      </c>
      <c r="BJ55" s="830" t="s">
        <v>1626</v>
      </c>
      <c r="BK55" s="66">
        <v>0</v>
      </c>
      <c r="BL55" s="827" t="str">
        <f>+AN55</f>
        <v>Revisar los formatos de los procesos a cargo de la Dirección Administrativa y Financiera para determinar su conveniencia</v>
      </c>
      <c r="BM55" s="831">
        <v>0</v>
      </c>
      <c r="BN55" s="998">
        <v>0</v>
      </c>
      <c r="BO55" s="995">
        <v>0</v>
      </c>
      <c r="BP55" s="828" t="e">
        <f t="shared" si="85"/>
        <v>#DIV/0!</v>
      </c>
      <c r="BQ55" s="828" t="e">
        <f t="shared" si="86"/>
        <v>#DIV/0!</v>
      </c>
      <c r="BR55" s="828">
        <f t="shared" si="87"/>
        <v>1</v>
      </c>
      <c r="BS55" s="828" t="e">
        <f t="shared" si="88"/>
        <v>#DIV/0!</v>
      </c>
      <c r="BT55" s="994" t="s">
        <v>1887</v>
      </c>
      <c r="BU55" s="66">
        <v>0</v>
      </c>
      <c r="BV55" s="827" t="str">
        <f>+AN55</f>
        <v>Revisar los formatos de los procesos a cargo de la Dirección Administrativa y Financiera para determinar su conveniencia</v>
      </c>
      <c r="BW55" s="831">
        <v>0</v>
      </c>
      <c r="BX55" s="835"/>
      <c r="BY55" s="835"/>
      <c r="BZ55" s="826" t="e">
        <f t="shared" si="89"/>
        <v>#DIV/0!</v>
      </c>
      <c r="CA55" s="826" t="e">
        <f t="shared" si="90"/>
        <v>#DIV/0!</v>
      </c>
      <c r="CB55" s="826">
        <f t="shared" si="91"/>
        <v>1</v>
      </c>
      <c r="CC55" s="826" t="e">
        <f t="shared" si="92"/>
        <v>#DIV/0!</v>
      </c>
      <c r="CD55" s="826"/>
      <c r="CE55" s="640">
        <f t="shared" si="93"/>
        <v>1</v>
      </c>
      <c r="CF55" s="640" t="str">
        <f t="shared" si="94"/>
        <v>No Prog ni Ejec</v>
      </c>
      <c r="CG55" s="640" t="str">
        <f t="shared" si="95"/>
        <v>No Prog ni Ejec</v>
      </c>
      <c r="CH55" s="640" t="str">
        <f t="shared" si="96"/>
        <v>No Prog ni Ejec</v>
      </c>
      <c r="CI55" s="640" t="str">
        <f t="shared" si="97"/>
        <v>No Prog ni Ejec</v>
      </c>
      <c r="CJ55" s="640" t="str">
        <f t="shared" si="98"/>
        <v>No Prog ni Ejec</v>
      </c>
      <c r="CK55" s="640" t="str">
        <f t="shared" si="99"/>
        <v>No Prog ni Ejec</v>
      </c>
      <c r="CL55" s="698" t="str">
        <f t="shared" si="100"/>
        <v>No Prog ni Ejec</v>
      </c>
      <c r="CM55" s="128">
        <f t="shared" si="6"/>
        <v>0</v>
      </c>
      <c r="CW55" s="122">
        <v>6</v>
      </c>
    </row>
    <row r="56" spans="1:106" s="70" customFormat="1" ht="267.75" x14ac:dyDescent="0.2">
      <c r="A56" s="697">
        <v>11700</v>
      </c>
      <c r="B56" s="636" t="s">
        <v>14</v>
      </c>
      <c r="C56" s="654" t="s">
        <v>672</v>
      </c>
      <c r="D56" s="654"/>
      <c r="E56" s="654"/>
      <c r="F56" s="654" t="s">
        <v>1020</v>
      </c>
      <c r="G56" s="654" t="s">
        <v>1020</v>
      </c>
      <c r="H56" s="654"/>
      <c r="I56" s="654" t="s">
        <v>1020</v>
      </c>
      <c r="J56" s="654"/>
      <c r="K56" s="654"/>
      <c r="L56" s="654" t="s">
        <v>1020</v>
      </c>
      <c r="M56" s="654"/>
      <c r="N56" s="654"/>
      <c r="O56" s="654"/>
      <c r="P56" s="654"/>
      <c r="Q56" s="636" t="s">
        <v>204</v>
      </c>
      <c r="R56" s="636" t="s">
        <v>204</v>
      </c>
      <c r="S56" s="638" t="s">
        <v>238</v>
      </c>
      <c r="T56" s="636" t="s">
        <v>94</v>
      </c>
      <c r="U56" s="636" t="s">
        <v>204</v>
      </c>
      <c r="V56" s="636" t="s">
        <v>204</v>
      </c>
      <c r="W56" s="638" t="s">
        <v>733</v>
      </c>
      <c r="X56" s="636" t="s">
        <v>695</v>
      </c>
      <c r="Y56" s="650" t="s">
        <v>391</v>
      </c>
      <c r="Z56" s="870">
        <v>1</v>
      </c>
      <c r="AA56" s="835" t="s">
        <v>711</v>
      </c>
      <c r="AB56" s="827" t="s">
        <v>679</v>
      </c>
      <c r="AC56" s="1209">
        <v>106329768</v>
      </c>
      <c r="AD56" s="832">
        <v>1</v>
      </c>
      <c r="AE56" s="827" t="s">
        <v>16</v>
      </c>
      <c r="AF56" s="827" t="s">
        <v>21</v>
      </c>
      <c r="AG56" s="827" t="s">
        <v>204</v>
      </c>
      <c r="AH56" s="827" t="s">
        <v>635</v>
      </c>
      <c r="AI56" s="827" t="s">
        <v>77</v>
      </c>
      <c r="AJ56" s="827" t="s">
        <v>1290</v>
      </c>
      <c r="AK56" s="827" t="s">
        <v>703</v>
      </c>
      <c r="AL56" s="827" t="s">
        <v>43</v>
      </c>
      <c r="AM56" s="870">
        <v>1</v>
      </c>
      <c r="AN56" s="827" t="str">
        <f t="shared" si="101"/>
        <v xml:space="preserve">Socializar y divulgar las Políticas de SST y Prevención de alcohol y drogas a todos los servidores públicos y partes interesadas. </v>
      </c>
      <c r="AO56" s="1148">
        <f>+AC56</f>
        <v>106329768</v>
      </c>
      <c r="AP56" s="860" t="s">
        <v>46</v>
      </c>
      <c r="AQ56" s="865">
        <v>1</v>
      </c>
      <c r="AR56" s="827" t="str">
        <f>+AN56</f>
        <v xml:space="preserve">Socializar y divulgar las Políticas de SST y Prevención de alcohol y drogas a todos los servidores públicos y partes interesadas. </v>
      </c>
      <c r="AS56" s="1209">
        <f>+AO56/4</f>
        <v>26582442</v>
      </c>
      <c r="AT56" s="473">
        <v>1</v>
      </c>
      <c r="AU56" s="1226">
        <f>3692006+3692006+4430407+4430407</f>
        <v>16244826</v>
      </c>
      <c r="AV56" s="828">
        <f t="shared" si="77"/>
        <v>1</v>
      </c>
      <c r="AW56" s="1073">
        <f t="shared" si="78"/>
        <v>0.61111112365071651</v>
      </c>
      <c r="AX56" s="828">
        <f t="shared" si="79"/>
        <v>1</v>
      </c>
      <c r="AY56" s="1073">
        <f t="shared" si="80"/>
        <v>0.15277778091267913</v>
      </c>
      <c r="AZ56" s="472" t="s">
        <v>1618</v>
      </c>
      <c r="BA56" s="865">
        <v>0</v>
      </c>
      <c r="BB56" s="827" t="str">
        <f>+AN56</f>
        <v xml:space="preserve">Socializar y divulgar las Políticas de SST y Prevención de alcohol y drogas a todos los servidores públicos y partes interesadas. </v>
      </c>
      <c r="BC56" s="1209">
        <f>$AC$56/4</f>
        <v>26582442</v>
      </c>
      <c r="BD56" s="838">
        <v>0</v>
      </c>
      <c r="BE56" s="1075">
        <f>4430407+4430407+4430407</f>
        <v>13291221</v>
      </c>
      <c r="BF56" s="828" t="e">
        <f t="shared" si="81"/>
        <v>#DIV/0!</v>
      </c>
      <c r="BG56" s="1073">
        <f t="shared" si="82"/>
        <v>0.5</v>
      </c>
      <c r="BH56" s="828">
        <f t="shared" si="83"/>
        <v>1</v>
      </c>
      <c r="BI56" s="1073">
        <f t="shared" si="84"/>
        <v>0.27777778091267913</v>
      </c>
      <c r="BJ56" s="830" t="s">
        <v>1334</v>
      </c>
      <c r="BK56" s="865">
        <v>0</v>
      </c>
      <c r="BL56" s="827" t="str">
        <f>+AN56</f>
        <v xml:space="preserve">Socializar y divulgar las Políticas de SST y Prevención de alcohol y drogas a todos los servidores públicos y partes interesadas. </v>
      </c>
      <c r="BM56" s="1209">
        <f>$AC$56/4</f>
        <v>26582442</v>
      </c>
      <c r="BN56" s="998">
        <v>0</v>
      </c>
      <c r="BO56" s="1075">
        <f>4430407+8860814+4430407+4430407+4430407+4430407+8122413+4430407</f>
        <v>43565669</v>
      </c>
      <c r="BP56" s="828" t="e">
        <f t="shared" si="85"/>
        <v>#DIV/0!</v>
      </c>
      <c r="BQ56" s="1073">
        <f t="shared" si="86"/>
        <v>1.6388888951586915</v>
      </c>
      <c r="BR56" s="828">
        <f t="shared" si="87"/>
        <v>1</v>
      </c>
      <c r="BS56" s="1073">
        <f t="shared" si="88"/>
        <v>0.68750000470235206</v>
      </c>
      <c r="BT56" s="994" t="s">
        <v>1334</v>
      </c>
      <c r="BU56" s="865">
        <v>0</v>
      </c>
      <c r="BV56" s="827" t="str">
        <f>+AN56</f>
        <v xml:space="preserve">Socializar y divulgar las Políticas de SST y Prevención de alcohol y drogas a todos los servidores públicos y partes interesadas. </v>
      </c>
      <c r="BW56" s="1209">
        <f>$AC$56/4</f>
        <v>26582442</v>
      </c>
      <c r="BX56" s="835"/>
      <c r="BY56" s="1139"/>
      <c r="BZ56" s="826" t="e">
        <f t="shared" si="89"/>
        <v>#DIV/0!</v>
      </c>
      <c r="CA56" s="1141">
        <f t="shared" si="90"/>
        <v>0</v>
      </c>
      <c r="CB56" s="826">
        <f t="shared" si="91"/>
        <v>1</v>
      </c>
      <c r="CC56" s="1141">
        <f t="shared" si="92"/>
        <v>0.68750000470235206</v>
      </c>
      <c r="CD56" s="826"/>
      <c r="CE56" s="640">
        <f t="shared" si="93"/>
        <v>1</v>
      </c>
      <c r="CF56" s="1092">
        <f t="shared" si="94"/>
        <v>0.61111112365071651</v>
      </c>
      <c r="CG56" s="640" t="str">
        <f t="shared" si="95"/>
        <v>No Prog ni Ejec</v>
      </c>
      <c r="CH56" s="1092">
        <f t="shared" si="96"/>
        <v>0.5</v>
      </c>
      <c r="CI56" s="640" t="str">
        <f t="shared" si="97"/>
        <v>No Prog ni Ejec</v>
      </c>
      <c r="CJ56" s="1092">
        <f t="shared" si="98"/>
        <v>1.6388888951586915</v>
      </c>
      <c r="CK56" s="640" t="str">
        <f t="shared" si="99"/>
        <v>No Prog ni Ejec</v>
      </c>
      <c r="CL56" s="1091">
        <f t="shared" si="100"/>
        <v>0</v>
      </c>
      <c r="CM56" s="128">
        <f t="shared" si="6"/>
        <v>0</v>
      </c>
      <c r="CU56" s="70">
        <v>4</v>
      </c>
    </row>
    <row r="57" spans="1:106" s="70" customFormat="1" ht="140.25" x14ac:dyDescent="0.2">
      <c r="A57" s="697">
        <v>11700</v>
      </c>
      <c r="B57" s="636" t="s">
        <v>14</v>
      </c>
      <c r="C57" s="654" t="s">
        <v>507</v>
      </c>
      <c r="D57" s="654"/>
      <c r="E57" s="654"/>
      <c r="F57" s="654" t="s">
        <v>1020</v>
      </c>
      <c r="G57" s="654"/>
      <c r="H57" s="654"/>
      <c r="I57" s="654" t="s">
        <v>1020</v>
      </c>
      <c r="J57" s="654"/>
      <c r="K57" s="654"/>
      <c r="L57" s="654" t="s">
        <v>1020</v>
      </c>
      <c r="M57" s="654"/>
      <c r="N57" s="654"/>
      <c r="O57" s="654"/>
      <c r="P57" s="654"/>
      <c r="Q57" s="636" t="s">
        <v>204</v>
      </c>
      <c r="R57" s="636" t="s">
        <v>204</v>
      </c>
      <c r="S57" s="638" t="s">
        <v>238</v>
      </c>
      <c r="T57" s="636" t="s">
        <v>94</v>
      </c>
      <c r="U57" s="636" t="s">
        <v>204</v>
      </c>
      <c r="V57" s="636" t="s">
        <v>204</v>
      </c>
      <c r="W57" s="638" t="s">
        <v>734</v>
      </c>
      <c r="X57" s="636" t="s">
        <v>667</v>
      </c>
      <c r="Y57" s="650" t="s">
        <v>391</v>
      </c>
      <c r="Z57" s="870">
        <v>1</v>
      </c>
      <c r="AA57" s="835" t="s">
        <v>712</v>
      </c>
      <c r="AB57" s="827" t="s">
        <v>673</v>
      </c>
      <c r="AC57" s="1209"/>
      <c r="AD57" s="832">
        <v>1</v>
      </c>
      <c r="AE57" s="827" t="s">
        <v>16</v>
      </c>
      <c r="AF57" s="827" t="s">
        <v>21</v>
      </c>
      <c r="AG57" s="827" t="s">
        <v>204</v>
      </c>
      <c r="AH57" s="827" t="s">
        <v>635</v>
      </c>
      <c r="AI57" s="827" t="s">
        <v>77</v>
      </c>
      <c r="AJ57" s="827" t="s">
        <v>1289</v>
      </c>
      <c r="AK57" s="827" t="s">
        <v>703</v>
      </c>
      <c r="AL57" s="827" t="s">
        <v>43</v>
      </c>
      <c r="AM57" s="870">
        <v>1</v>
      </c>
      <c r="AN57" s="827" t="str">
        <f t="shared" si="101"/>
        <v>Actualizar la matriz de requisitos legales</v>
      </c>
      <c r="AO57" s="1148"/>
      <c r="AP57" s="860" t="s">
        <v>46</v>
      </c>
      <c r="AQ57" s="865">
        <v>0</v>
      </c>
      <c r="AR57" s="827" t="str">
        <f t="shared" ref="AR57:AR67" si="102">+AN57</f>
        <v>Actualizar la matriz de requisitos legales</v>
      </c>
      <c r="AS57" s="1209"/>
      <c r="AT57" s="835">
        <v>0</v>
      </c>
      <c r="AU57" s="1075"/>
      <c r="AV57" s="828" t="e">
        <f t="shared" ref="AV57:AV67" si="103">+(AT57/AQ57)</f>
        <v>#DIV/0!</v>
      </c>
      <c r="AW57" s="1073"/>
      <c r="AX57" s="828">
        <f t="shared" ref="AX57:AX67" si="104">+(AT57/AM57)</f>
        <v>0</v>
      </c>
      <c r="AY57" s="1073"/>
      <c r="AZ57" s="499" t="s">
        <v>1334</v>
      </c>
      <c r="BA57" s="865">
        <v>0</v>
      </c>
      <c r="BB57" s="827" t="str">
        <f t="shared" ref="BB57:BB67" si="105">+AN57</f>
        <v>Actualizar la matriz de requisitos legales</v>
      </c>
      <c r="BC57" s="1209"/>
      <c r="BD57" s="838">
        <v>0</v>
      </c>
      <c r="BE57" s="1075"/>
      <c r="BF57" s="828" t="e">
        <f t="shared" ref="BF57:BF67" si="106">+(BD57/BA57)</f>
        <v>#DIV/0!</v>
      </c>
      <c r="BG57" s="1073"/>
      <c r="BH57" s="828">
        <f t="shared" ref="BH57:BH67" si="107">+(BD57+AT57)/AM57</f>
        <v>0</v>
      </c>
      <c r="BI57" s="1073"/>
      <c r="BJ57" s="829" t="s">
        <v>1628</v>
      </c>
      <c r="BK57" s="865">
        <v>1</v>
      </c>
      <c r="BL57" s="827" t="str">
        <f t="shared" ref="BL57:BL67" si="108">+AN57</f>
        <v>Actualizar la matriz de requisitos legales</v>
      </c>
      <c r="BM57" s="1209"/>
      <c r="BN57" s="998">
        <v>1</v>
      </c>
      <c r="BO57" s="1075"/>
      <c r="BP57" s="828">
        <f t="shared" ref="BP57:BP67" si="109">+(BN57/BK57)</f>
        <v>1</v>
      </c>
      <c r="BQ57" s="1073"/>
      <c r="BR57" s="828">
        <f t="shared" ref="BR57:BR67" si="110">+(BD57+AT57+BN57)/AM57</f>
        <v>1</v>
      </c>
      <c r="BS57" s="1073"/>
      <c r="BT57" s="997" t="s">
        <v>1889</v>
      </c>
      <c r="BU57" s="865">
        <v>0</v>
      </c>
      <c r="BV57" s="827" t="str">
        <f t="shared" ref="BV57:BV67" si="111">+AN57</f>
        <v>Actualizar la matriz de requisitos legales</v>
      </c>
      <c r="BW57" s="1209"/>
      <c r="BX57" s="835"/>
      <c r="BY57" s="1139"/>
      <c r="BZ57" s="826" t="e">
        <f t="shared" ref="BZ57:BZ67" si="112">+(BX57/BU57)</f>
        <v>#DIV/0!</v>
      </c>
      <c r="CA57" s="1141"/>
      <c r="CB57" s="826">
        <f t="shared" ref="CB57:CB67" si="113">+(BD57+AT57+BN57+BX57)/AM57</f>
        <v>1</v>
      </c>
      <c r="CC57" s="1141"/>
      <c r="CD57" s="826"/>
      <c r="CE57" s="640" t="str">
        <f t="shared" ref="CE57:CE67" si="114">IF(AND(AQ57=0,AT57=0),"No Prog ni Ejec",IF(AQ57=0,CONCATENATE("No Prog, Ejec=  ",AT57),AT57/AQ57))</f>
        <v>No Prog ni Ejec</v>
      </c>
      <c r="CF57" s="1092"/>
      <c r="CG57" s="640" t="str">
        <f t="shared" ref="CG57:CG67" si="115">IF(AND(BA57=0,BD57=0),"No Prog ni Ejec",IF(BA57=0,CONCATENATE("No Prog, Ejec=  ",BD57),BD57/BA57))</f>
        <v>No Prog ni Ejec</v>
      </c>
      <c r="CH57" s="1092"/>
      <c r="CI57" s="640">
        <f t="shared" ref="CI57:CI67" si="116">IF(AND(BK57=0,BN57=0),"No Prog ni Ejec",IF(BK57=0,CONCATENATE("No Prog, Ejec=  ",BN57),BN57/BK57))</f>
        <v>1</v>
      </c>
      <c r="CJ57" s="1092"/>
      <c r="CK57" s="640" t="str">
        <f t="shared" ref="CK57:CK67" si="117">IF(AND(BU57=0,BX57=0),"No Prog ni Ejec",IF(BU57=0,CONCATENATE("No Prog, Ejec=  ",BX57),BX57/BU57))</f>
        <v>No Prog ni Ejec</v>
      </c>
      <c r="CL57" s="1091"/>
      <c r="CM57" s="128">
        <f t="shared" si="6"/>
        <v>0</v>
      </c>
      <c r="CY57" s="70">
        <v>8</v>
      </c>
      <c r="DB57" s="70">
        <v>11</v>
      </c>
    </row>
    <row r="58" spans="1:106" s="70" customFormat="1" ht="331.5" x14ac:dyDescent="0.2">
      <c r="A58" s="697">
        <v>11700</v>
      </c>
      <c r="B58" s="636" t="s">
        <v>14</v>
      </c>
      <c r="C58" s="654" t="s">
        <v>507</v>
      </c>
      <c r="D58" s="654"/>
      <c r="E58" s="654"/>
      <c r="F58" s="654" t="s">
        <v>1020</v>
      </c>
      <c r="G58" s="654"/>
      <c r="H58" s="654"/>
      <c r="I58" s="654" t="s">
        <v>1020</v>
      </c>
      <c r="J58" s="654"/>
      <c r="K58" s="654"/>
      <c r="L58" s="654" t="s">
        <v>1020</v>
      </c>
      <c r="M58" s="654"/>
      <c r="N58" s="654"/>
      <c r="O58" s="654"/>
      <c r="P58" s="654"/>
      <c r="Q58" s="636" t="s">
        <v>204</v>
      </c>
      <c r="R58" s="636" t="s">
        <v>204</v>
      </c>
      <c r="S58" s="638" t="s">
        <v>238</v>
      </c>
      <c r="T58" s="636" t="s">
        <v>94</v>
      </c>
      <c r="U58" s="636" t="s">
        <v>204</v>
      </c>
      <c r="V58" s="636" t="s">
        <v>204</v>
      </c>
      <c r="W58" s="638" t="s">
        <v>735</v>
      </c>
      <c r="X58" s="636" t="s">
        <v>668</v>
      </c>
      <c r="Y58" s="650" t="s">
        <v>391</v>
      </c>
      <c r="Z58" s="870">
        <v>1</v>
      </c>
      <c r="AA58" s="835" t="s">
        <v>713</v>
      </c>
      <c r="AB58" s="827" t="s">
        <v>674</v>
      </c>
      <c r="AC58" s="1209"/>
      <c r="AD58" s="832">
        <v>1</v>
      </c>
      <c r="AE58" s="827" t="s">
        <v>16</v>
      </c>
      <c r="AF58" s="827" t="s">
        <v>21</v>
      </c>
      <c r="AG58" s="827" t="s">
        <v>204</v>
      </c>
      <c r="AH58" s="827" t="s">
        <v>635</v>
      </c>
      <c r="AI58" s="827" t="s">
        <v>77</v>
      </c>
      <c r="AJ58" s="827" t="s">
        <v>1289</v>
      </c>
      <c r="AK58" s="827" t="s">
        <v>703</v>
      </c>
      <c r="AL58" s="827" t="s">
        <v>43</v>
      </c>
      <c r="AM58" s="870">
        <v>1</v>
      </c>
      <c r="AN58" s="827" t="str">
        <f t="shared" si="101"/>
        <v>Realizar verificación y actualización de los documentos del SG-SST según requerimientos del decreto 1072 de 2015 y Resolución 1111 de 2017.</v>
      </c>
      <c r="AO58" s="1148"/>
      <c r="AP58" s="860" t="s">
        <v>46</v>
      </c>
      <c r="AQ58" s="865">
        <v>0</v>
      </c>
      <c r="AR58" s="827" t="str">
        <f t="shared" si="102"/>
        <v>Realizar verificación y actualización de los documentos del SG-SST según requerimientos del decreto 1072 de 2015 y Resolución 1111 de 2017.</v>
      </c>
      <c r="AS58" s="1209"/>
      <c r="AT58" s="473">
        <v>0</v>
      </c>
      <c r="AU58" s="1226"/>
      <c r="AV58" s="828" t="e">
        <f t="shared" si="103"/>
        <v>#DIV/0!</v>
      </c>
      <c r="AW58" s="1073"/>
      <c r="AX58" s="828">
        <f t="shared" si="104"/>
        <v>0</v>
      </c>
      <c r="AY58" s="1073"/>
      <c r="AZ58" s="472" t="s">
        <v>1619</v>
      </c>
      <c r="BA58" s="865">
        <v>0</v>
      </c>
      <c r="BB58" s="827" t="str">
        <f t="shared" si="105"/>
        <v>Realizar verificación y actualización de los documentos del SG-SST según requerimientos del decreto 1072 de 2015 y Resolución 1111 de 2017.</v>
      </c>
      <c r="BC58" s="1209"/>
      <c r="BD58" s="838">
        <v>0</v>
      </c>
      <c r="BE58" s="1075"/>
      <c r="BF58" s="828" t="e">
        <f t="shared" si="106"/>
        <v>#DIV/0!</v>
      </c>
      <c r="BG58" s="1073"/>
      <c r="BH58" s="828">
        <f t="shared" si="107"/>
        <v>0</v>
      </c>
      <c r="BI58" s="1073"/>
      <c r="BJ58" s="830" t="s">
        <v>1334</v>
      </c>
      <c r="BK58" s="865">
        <v>1</v>
      </c>
      <c r="BL58" s="827" t="str">
        <f t="shared" si="108"/>
        <v>Realizar verificación y actualización de los documentos del SG-SST según requerimientos del decreto 1072 de 2015 y Resolución 1111 de 2017.</v>
      </c>
      <c r="BM58" s="1209"/>
      <c r="BN58" s="998">
        <v>1</v>
      </c>
      <c r="BO58" s="1075"/>
      <c r="BP58" s="828">
        <f t="shared" si="109"/>
        <v>1</v>
      </c>
      <c r="BQ58" s="1073"/>
      <c r="BR58" s="828">
        <f t="shared" si="110"/>
        <v>1</v>
      </c>
      <c r="BS58" s="1073"/>
      <c r="BT58" s="997" t="s">
        <v>1890</v>
      </c>
      <c r="BU58" s="865">
        <v>0</v>
      </c>
      <c r="BV58" s="827" t="str">
        <f t="shared" si="111"/>
        <v>Realizar verificación y actualización de los documentos del SG-SST según requerimientos del decreto 1072 de 2015 y Resolución 1111 de 2017.</v>
      </c>
      <c r="BW58" s="1209"/>
      <c r="BX58" s="835"/>
      <c r="BY58" s="1139"/>
      <c r="BZ58" s="826" t="e">
        <f t="shared" si="112"/>
        <v>#DIV/0!</v>
      </c>
      <c r="CA58" s="1141"/>
      <c r="CB58" s="826">
        <f t="shared" si="113"/>
        <v>1</v>
      </c>
      <c r="CC58" s="1141"/>
      <c r="CD58" s="826"/>
      <c r="CE58" s="640" t="str">
        <f t="shared" si="114"/>
        <v>No Prog ni Ejec</v>
      </c>
      <c r="CF58" s="1092"/>
      <c r="CG58" s="640" t="str">
        <f t="shared" si="115"/>
        <v>No Prog ni Ejec</v>
      </c>
      <c r="CH58" s="1092"/>
      <c r="CI58" s="640">
        <f t="shared" si="116"/>
        <v>1</v>
      </c>
      <c r="CJ58" s="1092"/>
      <c r="CK58" s="640" t="str">
        <f t="shared" si="117"/>
        <v>No Prog ni Ejec</v>
      </c>
      <c r="CL58" s="1091"/>
      <c r="CM58" s="128">
        <f t="shared" si="6"/>
        <v>0</v>
      </c>
      <c r="CY58" s="70">
        <v>8</v>
      </c>
      <c r="DB58" s="70">
        <v>11</v>
      </c>
    </row>
    <row r="59" spans="1:106" s="70" customFormat="1" ht="127.5" x14ac:dyDescent="0.2">
      <c r="A59" s="697">
        <v>11700</v>
      </c>
      <c r="B59" s="636" t="s">
        <v>14</v>
      </c>
      <c r="C59" s="654" t="s">
        <v>507</v>
      </c>
      <c r="D59" s="654"/>
      <c r="E59" s="654"/>
      <c r="F59" s="654" t="s">
        <v>1020</v>
      </c>
      <c r="G59" s="654"/>
      <c r="H59" s="654"/>
      <c r="I59" s="654" t="s">
        <v>1020</v>
      </c>
      <c r="J59" s="654"/>
      <c r="K59" s="654"/>
      <c r="L59" s="654" t="s">
        <v>1020</v>
      </c>
      <c r="M59" s="654"/>
      <c r="N59" s="654"/>
      <c r="O59" s="654"/>
      <c r="P59" s="654"/>
      <c r="Q59" s="636" t="s">
        <v>204</v>
      </c>
      <c r="R59" s="636" t="s">
        <v>204</v>
      </c>
      <c r="S59" s="638" t="s">
        <v>238</v>
      </c>
      <c r="T59" s="636" t="s">
        <v>94</v>
      </c>
      <c r="U59" s="636" t="s">
        <v>204</v>
      </c>
      <c r="V59" s="636" t="s">
        <v>204</v>
      </c>
      <c r="W59" s="638" t="s">
        <v>736</v>
      </c>
      <c r="X59" s="636" t="s">
        <v>682</v>
      </c>
      <c r="Y59" s="650" t="s">
        <v>391</v>
      </c>
      <c r="Z59" s="870">
        <v>1</v>
      </c>
      <c r="AA59" s="835" t="s">
        <v>714</v>
      </c>
      <c r="AB59" s="827" t="s">
        <v>680</v>
      </c>
      <c r="AC59" s="1209"/>
      <c r="AD59" s="832">
        <v>1</v>
      </c>
      <c r="AE59" s="827" t="s">
        <v>16</v>
      </c>
      <c r="AF59" s="827" t="s">
        <v>21</v>
      </c>
      <c r="AG59" s="827" t="s">
        <v>204</v>
      </c>
      <c r="AH59" s="827" t="s">
        <v>635</v>
      </c>
      <c r="AI59" s="827" t="s">
        <v>77</v>
      </c>
      <c r="AJ59" s="827" t="s">
        <v>1289</v>
      </c>
      <c r="AK59" s="827" t="s">
        <v>703</v>
      </c>
      <c r="AL59" s="827" t="s">
        <v>43</v>
      </c>
      <c r="AM59" s="870">
        <v>1</v>
      </c>
      <c r="AN59" s="827" t="str">
        <f t="shared" si="101"/>
        <v>Elaborar  programa de medicina preventiva y definir las actividades de intervención de la ATEL.</v>
      </c>
      <c r="AO59" s="1148"/>
      <c r="AP59" s="860" t="s">
        <v>46</v>
      </c>
      <c r="AQ59" s="865">
        <v>0</v>
      </c>
      <c r="AR59" s="827" t="str">
        <f t="shared" si="102"/>
        <v>Elaborar  programa de medicina preventiva y definir las actividades de intervención de la ATEL.</v>
      </c>
      <c r="AS59" s="1209"/>
      <c r="AT59" s="473">
        <v>0</v>
      </c>
      <c r="AU59" s="1226"/>
      <c r="AV59" s="828" t="e">
        <f t="shared" si="103"/>
        <v>#DIV/0!</v>
      </c>
      <c r="AW59" s="1073"/>
      <c r="AX59" s="828">
        <f t="shared" si="104"/>
        <v>0</v>
      </c>
      <c r="AY59" s="1073"/>
      <c r="AZ59" s="472" t="s">
        <v>1620</v>
      </c>
      <c r="BA59" s="865">
        <v>0</v>
      </c>
      <c r="BB59" s="827" t="str">
        <f t="shared" si="105"/>
        <v>Elaborar  programa de medicina preventiva y definir las actividades de intervención de la ATEL.</v>
      </c>
      <c r="BC59" s="1209"/>
      <c r="BD59" s="838">
        <v>0</v>
      </c>
      <c r="BE59" s="1075"/>
      <c r="BF59" s="828" t="e">
        <f t="shared" si="106"/>
        <v>#DIV/0!</v>
      </c>
      <c r="BG59" s="1073"/>
      <c r="BH59" s="828">
        <f t="shared" si="107"/>
        <v>0</v>
      </c>
      <c r="BI59" s="1073"/>
      <c r="BJ59" s="830" t="s">
        <v>1334</v>
      </c>
      <c r="BK59" s="865">
        <v>1</v>
      </c>
      <c r="BL59" s="827" t="str">
        <f t="shared" si="108"/>
        <v>Elaborar  programa de medicina preventiva y definir las actividades de intervención de la ATEL.</v>
      </c>
      <c r="BM59" s="1209"/>
      <c r="BN59" s="998">
        <v>1</v>
      </c>
      <c r="BO59" s="1075"/>
      <c r="BP59" s="828">
        <f t="shared" si="109"/>
        <v>1</v>
      </c>
      <c r="BQ59" s="1073"/>
      <c r="BR59" s="828">
        <f t="shared" si="110"/>
        <v>1</v>
      </c>
      <c r="BS59" s="1073"/>
      <c r="BT59" s="997" t="s">
        <v>1891</v>
      </c>
      <c r="BU59" s="865">
        <v>0</v>
      </c>
      <c r="BV59" s="827" t="str">
        <f t="shared" si="111"/>
        <v>Elaborar  programa de medicina preventiva y definir las actividades de intervención de la ATEL.</v>
      </c>
      <c r="BW59" s="1209"/>
      <c r="BX59" s="835"/>
      <c r="BY59" s="1139"/>
      <c r="BZ59" s="826" t="e">
        <f t="shared" si="112"/>
        <v>#DIV/0!</v>
      </c>
      <c r="CA59" s="1141"/>
      <c r="CB59" s="826">
        <f t="shared" si="113"/>
        <v>1</v>
      </c>
      <c r="CC59" s="1141"/>
      <c r="CD59" s="826"/>
      <c r="CE59" s="640" t="str">
        <f t="shared" si="114"/>
        <v>No Prog ni Ejec</v>
      </c>
      <c r="CF59" s="1092"/>
      <c r="CG59" s="640" t="str">
        <f t="shared" si="115"/>
        <v>No Prog ni Ejec</v>
      </c>
      <c r="CH59" s="1092"/>
      <c r="CI59" s="640">
        <f t="shared" si="116"/>
        <v>1</v>
      </c>
      <c r="CJ59" s="1092"/>
      <c r="CK59" s="640" t="str">
        <f t="shared" si="117"/>
        <v>No Prog ni Ejec</v>
      </c>
      <c r="CL59" s="1091"/>
      <c r="CM59" s="128">
        <f t="shared" si="6"/>
        <v>0</v>
      </c>
      <c r="CY59" s="70">
        <v>8</v>
      </c>
      <c r="DB59" s="70">
        <v>11</v>
      </c>
    </row>
    <row r="60" spans="1:106" s="70" customFormat="1" ht="229.5" x14ac:dyDescent="0.2">
      <c r="A60" s="697">
        <v>11700</v>
      </c>
      <c r="B60" s="636" t="s">
        <v>14</v>
      </c>
      <c r="C60" s="654" t="s">
        <v>507</v>
      </c>
      <c r="D60" s="654"/>
      <c r="E60" s="654"/>
      <c r="F60" s="654" t="s">
        <v>1020</v>
      </c>
      <c r="G60" s="654"/>
      <c r="H60" s="654"/>
      <c r="I60" s="654" t="s">
        <v>1020</v>
      </c>
      <c r="J60" s="654"/>
      <c r="K60" s="654"/>
      <c r="L60" s="654" t="s">
        <v>1020</v>
      </c>
      <c r="M60" s="654"/>
      <c r="N60" s="654"/>
      <c r="O60" s="654"/>
      <c r="P60" s="654"/>
      <c r="Q60" s="636" t="s">
        <v>204</v>
      </c>
      <c r="R60" s="636" t="s">
        <v>204</v>
      </c>
      <c r="S60" s="638" t="s">
        <v>238</v>
      </c>
      <c r="T60" s="636" t="s">
        <v>94</v>
      </c>
      <c r="U60" s="636" t="s">
        <v>204</v>
      </c>
      <c r="V60" s="636" t="s">
        <v>204</v>
      </c>
      <c r="W60" s="638" t="s">
        <v>737</v>
      </c>
      <c r="X60" s="636" t="s">
        <v>683</v>
      </c>
      <c r="Y60" s="650" t="s">
        <v>391</v>
      </c>
      <c r="Z60" s="870">
        <v>1</v>
      </c>
      <c r="AA60" s="835" t="s">
        <v>715</v>
      </c>
      <c r="AB60" s="827" t="s">
        <v>681</v>
      </c>
      <c r="AC60" s="1209"/>
      <c r="AD60" s="832">
        <v>1</v>
      </c>
      <c r="AE60" s="827" t="s">
        <v>16</v>
      </c>
      <c r="AF60" s="827" t="s">
        <v>21</v>
      </c>
      <c r="AG60" s="827" t="s">
        <v>204</v>
      </c>
      <c r="AH60" s="827" t="s">
        <v>635</v>
      </c>
      <c r="AI60" s="827" t="s">
        <v>77</v>
      </c>
      <c r="AJ60" s="827" t="s">
        <v>1289</v>
      </c>
      <c r="AK60" s="827" t="s">
        <v>703</v>
      </c>
      <c r="AL60" s="827" t="s">
        <v>43</v>
      </c>
      <c r="AM60" s="870">
        <v>1</v>
      </c>
      <c r="AN60" s="827" t="str">
        <f t="shared" si="101"/>
        <v xml:space="preserve">Elaborar programa de orden y aseso  y definir las actividades de intervención </v>
      </c>
      <c r="AO60" s="1148"/>
      <c r="AP60" s="860" t="s">
        <v>46</v>
      </c>
      <c r="AQ60" s="865">
        <v>0</v>
      </c>
      <c r="AR60" s="827" t="str">
        <f t="shared" si="102"/>
        <v xml:space="preserve">Elaborar programa de orden y aseso  y definir las actividades de intervención </v>
      </c>
      <c r="AS60" s="1209"/>
      <c r="AT60" s="473">
        <v>0</v>
      </c>
      <c r="AU60" s="1226"/>
      <c r="AV60" s="828" t="e">
        <f t="shared" si="103"/>
        <v>#DIV/0!</v>
      </c>
      <c r="AW60" s="1073"/>
      <c r="AX60" s="828">
        <f t="shared" si="104"/>
        <v>0</v>
      </c>
      <c r="AY60" s="1073"/>
      <c r="AZ60" s="472" t="s">
        <v>1621</v>
      </c>
      <c r="BA60" s="865">
        <v>0</v>
      </c>
      <c r="BB60" s="827" t="str">
        <f t="shared" si="105"/>
        <v xml:space="preserve">Elaborar programa de orden y aseso  y definir las actividades de intervención </v>
      </c>
      <c r="BC60" s="1209"/>
      <c r="BD60" s="838">
        <v>0</v>
      </c>
      <c r="BE60" s="1075"/>
      <c r="BF60" s="828" t="e">
        <f t="shared" si="106"/>
        <v>#DIV/0!</v>
      </c>
      <c r="BG60" s="1073"/>
      <c r="BH60" s="828">
        <f t="shared" si="107"/>
        <v>0</v>
      </c>
      <c r="BI60" s="1073"/>
      <c r="BJ60" s="830" t="s">
        <v>1334</v>
      </c>
      <c r="BK60" s="865">
        <v>1</v>
      </c>
      <c r="BL60" s="827" t="str">
        <f t="shared" si="108"/>
        <v xml:space="preserve">Elaborar programa de orden y aseso  y definir las actividades de intervención </v>
      </c>
      <c r="BM60" s="1209"/>
      <c r="BN60" s="998">
        <v>1</v>
      </c>
      <c r="BO60" s="1075"/>
      <c r="BP60" s="828">
        <f t="shared" si="109"/>
        <v>1</v>
      </c>
      <c r="BQ60" s="1073"/>
      <c r="BR60" s="828">
        <f t="shared" si="110"/>
        <v>1</v>
      </c>
      <c r="BS60" s="1073"/>
      <c r="BT60" s="997" t="s">
        <v>1892</v>
      </c>
      <c r="BU60" s="865">
        <v>0</v>
      </c>
      <c r="BV60" s="827" t="str">
        <f t="shared" si="111"/>
        <v xml:space="preserve">Elaborar programa de orden y aseso  y definir las actividades de intervención </v>
      </c>
      <c r="BW60" s="1209"/>
      <c r="BX60" s="835"/>
      <c r="BY60" s="1139"/>
      <c r="BZ60" s="826" t="e">
        <f t="shared" si="112"/>
        <v>#DIV/0!</v>
      </c>
      <c r="CA60" s="1141"/>
      <c r="CB60" s="826">
        <f t="shared" si="113"/>
        <v>1</v>
      </c>
      <c r="CC60" s="1141"/>
      <c r="CD60" s="826"/>
      <c r="CE60" s="640" t="str">
        <f t="shared" si="114"/>
        <v>No Prog ni Ejec</v>
      </c>
      <c r="CF60" s="1092"/>
      <c r="CG60" s="640" t="str">
        <f t="shared" si="115"/>
        <v>No Prog ni Ejec</v>
      </c>
      <c r="CH60" s="1092"/>
      <c r="CI60" s="640">
        <f t="shared" si="116"/>
        <v>1</v>
      </c>
      <c r="CJ60" s="1092"/>
      <c r="CK60" s="640" t="str">
        <f t="shared" si="117"/>
        <v>No Prog ni Ejec</v>
      </c>
      <c r="CL60" s="1091"/>
      <c r="CM60" s="128">
        <f t="shared" si="6"/>
        <v>0</v>
      </c>
      <c r="CY60" s="70">
        <v>8</v>
      </c>
      <c r="DB60" s="70">
        <v>11</v>
      </c>
    </row>
    <row r="61" spans="1:106" s="70" customFormat="1" ht="102" x14ac:dyDescent="0.2">
      <c r="A61" s="697">
        <v>11700</v>
      </c>
      <c r="B61" s="636" t="s">
        <v>14</v>
      </c>
      <c r="C61" s="654" t="s">
        <v>507</v>
      </c>
      <c r="D61" s="654"/>
      <c r="E61" s="654"/>
      <c r="F61" s="654" t="s">
        <v>1020</v>
      </c>
      <c r="G61" s="654"/>
      <c r="H61" s="654"/>
      <c r="I61" s="654" t="s">
        <v>1020</v>
      </c>
      <c r="J61" s="654"/>
      <c r="K61" s="654"/>
      <c r="L61" s="654" t="s">
        <v>1020</v>
      </c>
      <c r="M61" s="654"/>
      <c r="N61" s="654"/>
      <c r="O61" s="654"/>
      <c r="P61" s="654"/>
      <c r="Q61" s="636" t="s">
        <v>204</v>
      </c>
      <c r="R61" s="636" t="s">
        <v>204</v>
      </c>
      <c r="S61" s="638" t="s">
        <v>238</v>
      </c>
      <c r="T61" s="636" t="s">
        <v>94</v>
      </c>
      <c r="U61" s="636" t="s">
        <v>204</v>
      </c>
      <c r="V61" s="636" t="s">
        <v>204</v>
      </c>
      <c r="W61" s="638" t="s">
        <v>738</v>
      </c>
      <c r="X61" s="636" t="s">
        <v>690</v>
      </c>
      <c r="Y61" s="650" t="s">
        <v>391</v>
      </c>
      <c r="Z61" s="870">
        <v>2</v>
      </c>
      <c r="AA61" s="835" t="s">
        <v>716</v>
      </c>
      <c r="AB61" s="827" t="s">
        <v>684</v>
      </c>
      <c r="AC61" s="1209"/>
      <c r="AD61" s="832">
        <v>1</v>
      </c>
      <c r="AE61" s="827" t="s">
        <v>16</v>
      </c>
      <c r="AF61" s="827" t="s">
        <v>21</v>
      </c>
      <c r="AG61" s="827" t="s">
        <v>204</v>
      </c>
      <c r="AH61" s="827" t="s">
        <v>635</v>
      </c>
      <c r="AI61" s="827" t="s">
        <v>77</v>
      </c>
      <c r="AJ61" s="827" t="s">
        <v>1289</v>
      </c>
      <c r="AK61" s="827" t="s">
        <v>703</v>
      </c>
      <c r="AL61" s="827" t="s">
        <v>43</v>
      </c>
      <c r="AM61" s="870">
        <v>2</v>
      </c>
      <c r="AN61" s="827" t="str">
        <f t="shared" si="101"/>
        <v>Elaborar el programa de vigilancia epidemiológicos  de riesgo Psicosocial y Biomecánico y definir las actividades de  intervención.</v>
      </c>
      <c r="AO61" s="1148"/>
      <c r="AP61" s="860" t="s">
        <v>46</v>
      </c>
      <c r="AQ61" s="865">
        <v>0</v>
      </c>
      <c r="AR61" s="827" t="str">
        <f t="shared" si="102"/>
        <v>Elaborar el programa de vigilancia epidemiológicos  de riesgo Psicosocial y Biomecánico y definir las actividades de  intervención.</v>
      </c>
      <c r="AS61" s="1209"/>
      <c r="AT61" s="835">
        <v>0</v>
      </c>
      <c r="AU61" s="1075"/>
      <c r="AV61" s="828" t="e">
        <f t="shared" si="103"/>
        <v>#DIV/0!</v>
      </c>
      <c r="AW61" s="1073"/>
      <c r="AX61" s="828">
        <f t="shared" si="104"/>
        <v>0</v>
      </c>
      <c r="AY61" s="1073"/>
      <c r="AZ61" s="499" t="s">
        <v>1334</v>
      </c>
      <c r="BA61" s="865">
        <v>0</v>
      </c>
      <c r="BB61" s="827" t="str">
        <f t="shared" si="105"/>
        <v>Elaborar el programa de vigilancia epidemiológicos  de riesgo Psicosocial y Biomecánico y definir las actividades de  intervención.</v>
      </c>
      <c r="BC61" s="1209"/>
      <c r="BD61" s="838">
        <v>0</v>
      </c>
      <c r="BE61" s="1075"/>
      <c r="BF61" s="828" t="e">
        <f t="shared" si="106"/>
        <v>#DIV/0!</v>
      </c>
      <c r="BG61" s="1073"/>
      <c r="BH61" s="828">
        <f t="shared" si="107"/>
        <v>0</v>
      </c>
      <c r="BI61" s="1073"/>
      <c r="BJ61" s="829" t="s">
        <v>1628</v>
      </c>
      <c r="BK61" s="865">
        <v>1</v>
      </c>
      <c r="BL61" s="827" t="str">
        <f t="shared" si="108"/>
        <v>Elaborar el programa de vigilancia epidemiológicos  de riesgo Psicosocial y Biomecánico y definir las actividades de  intervención.</v>
      </c>
      <c r="BM61" s="1209"/>
      <c r="BN61" s="998">
        <v>1</v>
      </c>
      <c r="BO61" s="1075"/>
      <c r="BP61" s="828">
        <f t="shared" si="109"/>
        <v>1</v>
      </c>
      <c r="BQ61" s="1073"/>
      <c r="BR61" s="828">
        <f t="shared" si="110"/>
        <v>0.5</v>
      </c>
      <c r="BS61" s="1073"/>
      <c r="BT61" s="997" t="s">
        <v>1893</v>
      </c>
      <c r="BU61" s="865">
        <v>1</v>
      </c>
      <c r="BV61" s="827" t="str">
        <f t="shared" si="111"/>
        <v>Elaborar el programa de vigilancia epidemiológicos  de riesgo Psicosocial y Biomecánico y definir las actividades de  intervención.</v>
      </c>
      <c r="BW61" s="1209"/>
      <c r="BX61" s="835"/>
      <c r="BY61" s="1139"/>
      <c r="BZ61" s="826">
        <f t="shared" si="112"/>
        <v>0</v>
      </c>
      <c r="CA61" s="1141"/>
      <c r="CB61" s="826">
        <f t="shared" si="113"/>
        <v>0.5</v>
      </c>
      <c r="CC61" s="1141"/>
      <c r="CD61" s="826"/>
      <c r="CE61" s="640" t="str">
        <f t="shared" si="114"/>
        <v>No Prog ni Ejec</v>
      </c>
      <c r="CF61" s="1092"/>
      <c r="CG61" s="640" t="str">
        <f t="shared" si="115"/>
        <v>No Prog ni Ejec</v>
      </c>
      <c r="CH61" s="1092"/>
      <c r="CI61" s="640">
        <f t="shared" si="116"/>
        <v>1</v>
      </c>
      <c r="CJ61" s="1092"/>
      <c r="CK61" s="640">
        <f t="shared" si="117"/>
        <v>0</v>
      </c>
      <c r="CL61" s="1091"/>
      <c r="CM61" s="128">
        <f t="shared" si="6"/>
        <v>0</v>
      </c>
      <c r="CY61" s="70">
        <v>8</v>
      </c>
      <c r="DB61" s="70">
        <v>11</v>
      </c>
    </row>
    <row r="62" spans="1:106" s="70" customFormat="1" ht="127.5" x14ac:dyDescent="0.2">
      <c r="A62" s="697">
        <v>11700</v>
      </c>
      <c r="B62" s="636" t="s">
        <v>14</v>
      </c>
      <c r="C62" s="654" t="s">
        <v>507</v>
      </c>
      <c r="D62" s="654"/>
      <c r="E62" s="654"/>
      <c r="F62" s="654" t="s">
        <v>1020</v>
      </c>
      <c r="G62" s="654"/>
      <c r="H62" s="654"/>
      <c r="I62" s="654" t="s">
        <v>1020</v>
      </c>
      <c r="J62" s="654"/>
      <c r="K62" s="654"/>
      <c r="L62" s="654" t="s">
        <v>1020</v>
      </c>
      <c r="M62" s="654"/>
      <c r="N62" s="654"/>
      <c r="O62" s="654"/>
      <c r="P62" s="654"/>
      <c r="Q62" s="636" t="s">
        <v>204</v>
      </c>
      <c r="R62" s="636" t="s">
        <v>204</v>
      </c>
      <c r="S62" s="638" t="s">
        <v>238</v>
      </c>
      <c r="T62" s="636" t="s">
        <v>94</v>
      </c>
      <c r="U62" s="636" t="s">
        <v>204</v>
      </c>
      <c r="V62" s="636" t="s">
        <v>204</v>
      </c>
      <c r="W62" s="638" t="s">
        <v>739</v>
      </c>
      <c r="X62" s="636" t="s">
        <v>691</v>
      </c>
      <c r="Y62" s="650" t="s">
        <v>391</v>
      </c>
      <c r="Z62" s="870">
        <v>1</v>
      </c>
      <c r="AA62" s="835" t="s">
        <v>717</v>
      </c>
      <c r="AB62" s="827" t="s">
        <v>685</v>
      </c>
      <c r="AC62" s="1209"/>
      <c r="AD62" s="832">
        <v>1</v>
      </c>
      <c r="AE62" s="827" t="s">
        <v>16</v>
      </c>
      <c r="AF62" s="827" t="s">
        <v>21</v>
      </c>
      <c r="AG62" s="827" t="s">
        <v>204</v>
      </c>
      <c r="AH62" s="827" t="s">
        <v>635</v>
      </c>
      <c r="AI62" s="827" t="s">
        <v>77</v>
      </c>
      <c r="AJ62" s="827" t="s">
        <v>1289</v>
      </c>
      <c r="AK62" s="827" t="s">
        <v>703</v>
      </c>
      <c r="AL62" s="827" t="s">
        <v>43</v>
      </c>
      <c r="AM62" s="870">
        <f>+Z62</f>
        <v>1</v>
      </c>
      <c r="AN62" s="827" t="str">
        <f t="shared" si="101"/>
        <v>Elaborar el programa de manejo de sustancias químicas (Sistema Globalmente armonizado)</v>
      </c>
      <c r="AO62" s="1148"/>
      <c r="AP62" s="860" t="s">
        <v>46</v>
      </c>
      <c r="AQ62" s="865">
        <v>0</v>
      </c>
      <c r="AR62" s="827" t="str">
        <f t="shared" si="102"/>
        <v>Elaborar el programa de manejo de sustancias químicas (Sistema Globalmente armonizado)</v>
      </c>
      <c r="AS62" s="1209"/>
      <c r="AT62" s="835">
        <v>0</v>
      </c>
      <c r="AU62" s="1075"/>
      <c r="AV62" s="828" t="e">
        <f t="shared" si="103"/>
        <v>#DIV/0!</v>
      </c>
      <c r="AW62" s="1073"/>
      <c r="AX62" s="828">
        <f t="shared" si="104"/>
        <v>0</v>
      </c>
      <c r="AY62" s="1073"/>
      <c r="AZ62" s="499" t="s">
        <v>1334</v>
      </c>
      <c r="BA62" s="865">
        <v>0</v>
      </c>
      <c r="BB62" s="827" t="str">
        <f t="shared" si="105"/>
        <v>Elaborar el programa de manejo de sustancias químicas (Sistema Globalmente armonizado)</v>
      </c>
      <c r="BC62" s="1209"/>
      <c r="BD62" s="838">
        <v>0</v>
      </c>
      <c r="BE62" s="1075"/>
      <c r="BF62" s="828" t="e">
        <f t="shared" si="106"/>
        <v>#DIV/0!</v>
      </c>
      <c r="BG62" s="1073"/>
      <c r="BH62" s="828">
        <f t="shared" si="107"/>
        <v>0</v>
      </c>
      <c r="BI62" s="1073"/>
      <c r="BJ62" s="829" t="s">
        <v>1629</v>
      </c>
      <c r="BK62" s="865">
        <v>1</v>
      </c>
      <c r="BL62" s="827" t="str">
        <f t="shared" si="108"/>
        <v>Elaborar el programa de manejo de sustancias químicas (Sistema Globalmente armonizado)</v>
      </c>
      <c r="BM62" s="1209"/>
      <c r="BN62" s="998">
        <v>1</v>
      </c>
      <c r="BO62" s="1075"/>
      <c r="BP62" s="828">
        <f t="shared" si="109"/>
        <v>1</v>
      </c>
      <c r="BQ62" s="1073"/>
      <c r="BR62" s="828">
        <f t="shared" si="110"/>
        <v>1</v>
      </c>
      <c r="BS62" s="1073"/>
      <c r="BT62" s="997" t="s">
        <v>1894</v>
      </c>
      <c r="BU62" s="865">
        <v>0</v>
      </c>
      <c r="BV62" s="827" t="str">
        <f t="shared" si="111"/>
        <v>Elaborar el programa de manejo de sustancias químicas (Sistema Globalmente armonizado)</v>
      </c>
      <c r="BW62" s="1209"/>
      <c r="BX62" s="835"/>
      <c r="BY62" s="1139"/>
      <c r="BZ62" s="826" t="e">
        <f t="shared" si="112"/>
        <v>#DIV/0!</v>
      </c>
      <c r="CA62" s="1141"/>
      <c r="CB62" s="826">
        <f t="shared" si="113"/>
        <v>1</v>
      </c>
      <c r="CC62" s="1141"/>
      <c r="CD62" s="826"/>
      <c r="CE62" s="640" t="str">
        <f t="shared" si="114"/>
        <v>No Prog ni Ejec</v>
      </c>
      <c r="CF62" s="1092"/>
      <c r="CG62" s="640" t="str">
        <f t="shared" si="115"/>
        <v>No Prog ni Ejec</v>
      </c>
      <c r="CH62" s="1092"/>
      <c r="CI62" s="640">
        <f t="shared" si="116"/>
        <v>1</v>
      </c>
      <c r="CJ62" s="1092"/>
      <c r="CK62" s="640" t="str">
        <f t="shared" si="117"/>
        <v>No Prog ni Ejec</v>
      </c>
      <c r="CL62" s="1091"/>
      <c r="CM62" s="128">
        <f t="shared" si="6"/>
        <v>0</v>
      </c>
      <c r="CY62" s="70">
        <v>8</v>
      </c>
      <c r="DB62" s="70">
        <v>11</v>
      </c>
    </row>
    <row r="63" spans="1:106" s="70" customFormat="1" ht="242.25" x14ac:dyDescent="0.2">
      <c r="A63" s="697">
        <v>11700</v>
      </c>
      <c r="B63" s="636" t="s">
        <v>14</v>
      </c>
      <c r="C63" s="654" t="s">
        <v>672</v>
      </c>
      <c r="D63" s="654"/>
      <c r="E63" s="654"/>
      <c r="F63" s="654" t="s">
        <v>1020</v>
      </c>
      <c r="G63" s="654" t="s">
        <v>1020</v>
      </c>
      <c r="H63" s="654"/>
      <c r="I63" s="654" t="s">
        <v>1020</v>
      </c>
      <c r="J63" s="654"/>
      <c r="K63" s="654"/>
      <c r="L63" s="654" t="s">
        <v>1020</v>
      </c>
      <c r="M63" s="654"/>
      <c r="N63" s="654"/>
      <c r="O63" s="654"/>
      <c r="P63" s="654"/>
      <c r="Q63" s="636" t="s">
        <v>204</v>
      </c>
      <c r="R63" s="636" t="s">
        <v>204</v>
      </c>
      <c r="S63" s="638" t="s">
        <v>238</v>
      </c>
      <c r="T63" s="636" t="s">
        <v>94</v>
      </c>
      <c r="U63" s="636" t="s">
        <v>204</v>
      </c>
      <c r="V63" s="636" t="s">
        <v>204</v>
      </c>
      <c r="W63" s="638" t="s">
        <v>740</v>
      </c>
      <c r="X63" s="636" t="s">
        <v>696</v>
      </c>
      <c r="Y63" s="650" t="s">
        <v>391</v>
      </c>
      <c r="Z63" s="870">
        <v>1</v>
      </c>
      <c r="AA63" s="835" t="s">
        <v>718</v>
      </c>
      <c r="AB63" s="827" t="s">
        <v>686</v>
      </c>
      <c r="AC63" s="1209"/>
      <c r="AD63" s="832">
        <v>1</v>
      </c>
      <c r="AE63" s="827" t="s">
        <v>16</v>
      </c>
      <c r="AF63" s="827" t="s">
        <v>21</v>
      </c>
      <c r="AG63" s="827" t="s">
        <v>204</v>
      </c>
      <c r="AH63" s="827" t="s">
        <v>635</v>
      </c>
      <c r="AI63" s="827" t="s">
        <v>77</v>
      </c>
      <c r="AJ63" s="827" t="s">
        <v>1290</v>
      </c>
      <c r="AK63" s="827" t="s">
        <v>703</v>
      </c>
      <c r="AL63" s="827" t="s">
        <v>43</v>
      </c>
      <c r="AM63" s="870">
        <v>1</v>
      </c>
      <c r="AN63" s="827" t="str">
        <f t="shared" si="101"/>
        <v>Socializar y divulgar los roles y responsabilidades a todos los servidores públicos y partes interesadas</v>
      </c>
      <c r="AO63" s="1148"/>
      <c r="AP63" s="860" t="s">
        <v>46</v>
      </c>
      <c r="AQ63" s="865">
        <v>1</v>
      </c>
      <c r="AR63" s="827" t="str">
        <f t="shared" si="102"/>
        <v>Socializar y divulgar los roles y responsabilidades a todos los servidores públicos y partes interesadas</v>
      </c>
      <c r="AS63" s="1209"/>
      <c r="AT63" s="473">
        <v>1</v>
      </c>
      <c r="AU63" s="1226"/>
      <c r="AV63" s="828">
        <f t="shared" si="103"/>
        <v>1</v>
      </c>
      <c r="AW63" s="1073"/>
      <c r="AX63" s="828">
        <f t="shared" si="104"/>
        <v>1</v>
      </c>
      <c r="AY63" s="1073"/>
      <c r="AZ63" s="472" t="s">
        <v>1770</v>
      </c>
      <c r="BA63" s="865">
        <v>0</v>
      </c>
      <c r="BB63" s="827" t="str">
        <f t="shared" si="105"/>
        <v>Socializar y divulgar los roles y responsabilidades a todos los servidores públicos y partes interesadas</v>
      </c>
      <c r="BC63" s="1209"/>
      <c r="BD63" s="838">
        <v>0</v>
      </c>
      <c r="BE63" s="1075"/>
      <c r="BF63" s="828" t="e">
        <f t="shared" si="106"/>
        <v>#DIV/0!</v>
      </c>
      <c r="BG63" s="1073"/>
      <c r="BH63" s="828">
        <f t="shared" si="107"/>
        <v>1</v>
      </c>
      <c r="BI63" s="1073"/>
      <c r="BJ63" s="829" t="s">
        <v>1630</v>
      </c>
      <c r="BK63" s="865">
        <v>0</v>
      </c>
      <c r="BL63" s="827" t="str">
        <f t="shared" si="108"/>
        <v>Socializar y divulgar los roles y responsabilidades a todos los servidores públicos y partes interesadas</v>
      </c>
      <c r="BM63" s="1209"/>
      <c r="BN63" s="998">
        <v>0</v>
      </c>
      <c r="BO63" s="1075"/>
      <c r="BP63" s="828" t="e">
        <f t="shared" si="109"/>
        <v>#DIV/0!</v>
      </c>
      <c r="BQ63" s="1073"/>
      <c r="BR63" s="828">
        <f t="shared" si="110"/>
        <v>1</v>
      </c>
      <c r="BS63" s="1073"/>
      <c r="BT63" s="994" t="s">
        <v>1334</v>
      </c>
      <c r="BU63" s="865">
        <v>0</v>
      </c>
      <c r="BV63" s="827" t="str">
        <f t="shared" si="111"/>
        <v>Socializar y divulgar los roles y responsabilidades a todos los servidores públicos y partes interesadas</v>
      </c>
      <c r="BW63" s="1209"/>
      <c r="BX63" s="835"/>
      <c r="BY63" s="1139"/>
      <c r="BZ63" s="826" t="e">
        <f t="shared" si="112"/>
        <v>#DIV/0!</v>
      </c>
      <c r="CA63" s="1141"/>
      <c r="CB63" s="826">
        <f t="shared" si="113"/>
        <v>1</v>
      </c>
      <c r="CC63" s="1141"/>
      <c r="CD63" s="826"/>
      <c r="CE63" s="640">
        <f t="shared" si="114"/>
        <v>1</v>
      </c>
      <c r="CF63" s="1092"/>
      <c r="CG63" s="640" t="str">
        <f t="shared" si="115"/>
        <v>No Prog ni Ejec</v>
      </c>
      <c r="CH63" s="1092"/>
      <c r="CI63" s="640" t="str">
        <f t="shared" si="116"/>
        <v>No Prog ni Ejec</v>
      </c>
      <c r="CJ63" s="1092"/>
      <c r="CK63" s="640" t="str">
        <f t="shared" si="117"/>
        <v>No Prog ni Ejec</v>
      </c>
      <c r="CL63" s="1091"/>
      <c r="CM63" s="128">
        <f t="shared" si="6"/>
        <v>0</v>
      </c>
      <c r="CU63" s="70">
        <v>4</v>
      </c>
    </row>
    <row r="64" spans="1:106" s="70" customFormat="1" ht="99" customHeight="1" x14ac:dyDescent="0.2">
      <c r="A64" s="697">
        <v>11700</v>
      </c>
      <c r="B64" s="636" t="s">
        <v>14</v>
      </c>
      <c r="C64" s="654" t="s">
        <v>507</v>
      </c>
      <c r="D64" s="654"/>
      <c r="E64" s="654"/>
      <c r="F64" s="654" t="s">
        <v>1020</v>
      </c>
      <c r="G64" s="654"/>
      <c r="H64" s="654"/>
      <c r="I64" s="654" t="s">
        <v>1020</v>
      </c>
      <c r="J64" s="654"/>
      <c r="K64" s="654"/>
      <c r="L64" s="654" t="s">
        <v>1020</v>
      </c>
      <c r="M64" s="654"/>
      <c r="N64" s="654"/>
      <c r="O64" s="654"/>
      <c r="P64" s="654"/>
      <c r="Q64" s="636" t="s">
        <v>204</v>
      </c>
      <c r="R64" s="636" t="s">
        <v>204</v>
      </c>
      <c r="S64" s="638" t="s">
        <v>238</v>
      </c>
      <c r="T64" s="636" t="s">
        <v>94</v>
      </c>
      <c r="U64" s="636" t="s">
        <v>204</v>
      </c>
      <c r="V64" s="636" t="s">
        <v>204</v>
      </c>
      <c r="W64" s="638" t="s">
        <v>741</v>
      </c>
      <c r="X64" s="636" t="s">
        <v>693</v>
      </c>
      <c r="Y64" s="650" t="s">
        <v>391</v>
      </c>
      <c r="Z64" s="870">
        <v>1</v>
      </c>
      <c r="AA64" s="835" t="s">
        <v>719</v>
      </c>
      <c r="AB64" s="827" t="s">
        <v>692</v>
      </c>
      <c r="AC64" s="1209"/>
      <c r="AD64" s="832">
        <v>1</v>
      </c>
      <c r="AE64" s="827" t="s">
        <v>16</v>
      </c>
      <c r="AF64" s="827" t="s">
        <v>21</v>
      </c>
      <c r="AG64" s="827" t="s">
        <v>204</v>
      </c>
      <c r="AH64" s="827" t="s">
        <v>635</v>
      </c>
      <c r="AI64" s="827" t="s">
        <v>77</v>
      </c>
      <c r="AJ64" s="827" t="s">
        <v>1290</v>
      </c>
      <c r="AK64" s="827" t="s">
        <v>703</v>
      </c>
      <c r="AL64" s="827" t="s">
        <v>43</v>
      </c>
      <c r="AM64" s="870">
        <v>1</v>
      </c>
      <c r="AN64" s="827" t="str">
        <f t="shared" si="101"/>
        <v xml:space="preserve">Realizar Rendición de Cuentas  del Sistema de Seguridad y Salud en el Trabajo a todos los niveles de la Entidad </v>
      </c>
      <c r="AO64" s="1148"/>
      <c r="AP64" s="860" t="s">
        <v>46</v>
      </c>
      <c r="AQ64" s="865">
        <v>0</v>
      </c>
      <c r="AR64" s="827" t="str">
        <f t="shared" si="102"/>
        <v xml:space="preserve">Realizar Rendición de Cuentas  del Sistema de Seguridad y Salud en el Trabajo a todos los niveles de la Entidad </v>
      </c>
      <c r="AS64" s="1209"/>
      <c r="AT64" s="835">
        <v>0</v>
      </c>
      <c r="AU64" s="1075"/>
      <c r="AV64" s="828" t="e">
        <f t="shared" si="103"/>
        <v>#DIV/0!</v>
      </c>
      <c r="AW64" s="1073"/>
      <c r="AX64" s="828">
        <f t="shared" si="104"/>
        <v>0</v>
      </c>
      <c r="AY64" s="1073"/>
      <c r="AZ64" s="499" t="s">
        <v>1334</v>
      </c>
      <c r="BA64" s="865">
        <v>0</v>
      </c>
      <c r="BB64" s="827" t="str">
        <f t="shared" si="105"/>
        <v xml:space="preserve">Realizar Rendición de Cuentas  del Sistema de Seguridad y Salud en el Trabajo a todos los niveles de la Entidad </v>
      </c>
      <c r="BC64" s="1209"/>
      <c r="BD64" s="838">
        <v>0</v>
      </c>
      <c r="BE64" s="1075"/>
      <c r="BF64" s="828" t="e">
        <f t="shared" si="106"/>
        <v>#DIV/0!</v>
      </c>
      <c r="BG64" s="1073"/>
      <c r="BH64" s="828">
        <f t="shared" si="107"/>
        <v>0</v>
      </c>
      <c r="BI64" s="1073"/>
      <c r="BJ64" s="830" t="s">
        <v>1334</v>
      </c>
      <c r="BK64" s="865">
        <v>0</v>
      </c>
      <c r="BL64" s="827" t="str">
        <f t="shared" si="108"/>
        <v xml:space="preserve">Realizar Rendición de Cuentas  del Sistema de Seguridad y Salud en el Trabajo a todos los niveles de la Entidad </v>
      </c>
      <c r="BM64" s="1209"/>
      <c r="BN64" s="998">
        <v>0</v>
      </c>
      <c r="BO64" s="1075"/>
      <c r="BP64" s="828" t="e">
        <f t="shared" si="109"/>
        <v>#DIV/0!</v>
      </c>
      <c r="BQ64" s="1073"/>
      <c r="BR64" s="828">
        <f t="shared" si="110"/>
        <v>0</v>
      </c>
      <c r="BS64" s="1073"/>
      <c r="BT64" s="994" t="s">
        <v>1334</v>
      </c>
      <c r="BU64" s="865">
        <v>1</v>
      </c>
      <c r="BV64" s="827" t="str">
        <f t="shared" si="111"/>
        <v xml:space="preserve">Realizar Rendición de Cuentas  del Sistema de Seguridad y Salud en el Trabajo a todos los niveles de la Entidad </v>
      </c>
      <c r="BW64" s="1209"/>
      <c r="BX64" s="835"/>
      <c r="BY64" s="1139"/>
      <c r="BZ64" s="826">
        <f t="shared" si="112"/>
        <v>0</v>
      </c>
      <c r="CA64" s="1141"/>
      <c r="CB64" s="826">
        <f t="shared" si="113"/>
        <v>0</v>
      </c>
      <c r="CC64" s="1141"/>
      <c r="CD64" s="826"/>
      <c r="CE64" s="640" t="str">
        <f t="shared" si="114"/>
        <v>No Prog ni Ejec</v>
      </c>
      <c r="CF64" s="1092"/>
      <c r="CG64" s="640" t="str">
        <f t="shared" si="115"/>
        <v>No Prog ni Ejec</v>
      </c>
      <c r="CH64" s="1092"/>
      <c r="CI64" s="640" t="str">
        <f t="shared" si="116"/>
        <v>No Prog ni Ejec</v>
      </c>
      <c r="CJ64" s="1092"/>
      <c r="CK64" s="640">
        <f t="shared" si="117"/>
        <v>0</v>
      </c>
      <c r="CL64" s="1091"/>
      <c r="CM64" s="128">
        <f t="shared" si="6"/>
        <v>0</v>
      </c>
      <c r="CY64" s="70">
        <v>8</v>
      </c>
      <c r="DB64" s="70">
        <v>11</v>
      </c>
    </row>
    <row r="65" spans="1:107" s="578" customFormat="1" ht="103.5" hidden="1" customHeight="1" x14ac:dyDescent="0.2">
      <c r="A65" s="726">
        <v>11700</v>
      </c>
      <c r="B65" s="632" t="s">
        <v>14</v>
      </c>
      <c r="C65" s="570" t="s">
        <v>672</v>
      </c>
      <c r="D65" s="654"/>
      <c r="E65" s="654"/>
      <c r="F65" s="654" t="s">
        <v>1020</v>
      </c>
      <c r="G65" s="654" t="s">
        <v>1020</v>
      </c>
      <c r="H65" s="654"/>
      <c r="I65" s="654" t="s">
        <v>1020</v>
      </c>
      <c r="J65" s="654"/>
      <c r="K65" s="654"/>
      <c r="L65" s="654" t="s">
        <v>1020</v>
      </c>
      <c r="M65" s="654"/>
      <c r="N65" s="654"/>
      <c r="O65" s="654"/>
      <c r="P65" s="654"/>
      <c r="Q65" s="636" t="s">
        <v>204</v>
      </c>
      <c r="R65" s="636" t="s">
        <v>204</v>
      </c>
      <c r="S65" s="638" t="s">
        <v>238</v>
      </c>
      <c r="T65" s="636" t="s">
        <v>94</v>
      </c>
      <c r="U65" s="636" t="s">
        <v>204</v>
      </c>
      <c r="V65" s="636" t="s">
        <v>204</v>
      </c>
      <c r="W65" s="637" t="s">
        <v>742</v>
      </c>
      <c r="X65" s="632" t="s">
        <v>694</v>
      </c>
      <c r="Y65" s="572" t="s">
        <v>391</v>
      </c>
      <c r="Z65" s="593">
        <v>3</v>
      </c>
      <c r="AA65" s="858" t="s">
        <v>720</v>
      </c>
      <c r="AB65" s="853" t="s">
        <v>687</v>
      </c>
      <c r="AC65" s="1210"/>
      <c r="AD65" s="832">
        <v>1</v>
      </c>
      <c r="AE65" s="827" t="s">
        <v>16</v>
      </c>
      <c r="AF65" s="827" t="s">
        <v>21</v>
      </c>
      <c r="AG65" s="827" t="s">
        <v>204</v>
      </c>
      <c r="AH65" s="827" t="s">
        <v>635</v>
      </c>
      <c r="AI65" s="827" t="s">
        <v>77</v>
      </c>
      <c r="AJ65" s="827" t="s">
        <v>1290</v>
      </c>
      <c r="AK65" s="853" t="s">
        <v>703</v>
      </c>
      <c r="AL65" s="827" t="s">
        <v>43</v>
      </c>
      <c r="AM65" s="593">
        <v>3</v>
      </c>
      <c r="AN65" s="853" t="str">
        <f t="shared" si="101"/>
        <v>Divulgar el Plan de Emergencias</v>
      </c>
      <c r="AO65" s="1206"/>
      <c r="AP65" s="860" t="s">
        <v>46</v>
      </c>
      <c r="AQ65" s="895">
        <v>1</v>
      </c>
      <c r="AR65" s="853" t="str">
        <f t="shared" si="102"/>
        <v>Divulgar el Plan de Emergencias</v>
      </c>
      <c r="AS65" s="1210"/>
      <c r="AT65" s="858">
        <v>0</v>
      </c>
      <c r="AU65" s="1199"/>
      <c r="AV65" s="856">
        <f t="shared" si="103"/>
        <v>0</v>
      </c>
      <c r="AW65" s="1207"/>
      <c r="AX65" s="856">
        <f t="shared" si="104"/>
        <v>0</v>
      </c>
      <c r="AY65" s="1207"/>
      <c r="AZ65" s="594"/>
      <c r="BA65" s="895">
        <v>1</v>
      </c>
      <c r="BB65" s="853" t="str">
        <f t="shared" si="105"/>
        <v>Divulgar el Plan de Emergencias</v>
      </c>
      <c r="BC65" s="1210"/>
      <c r="BD65" s="572">
        <v>0</v>
      </c>
      <c r="BE65" s="1199"/>
      <c r="BF65" s="856">
        <f t="shared" si="106"/>
        <v>0</v>
      </c>
      <c r="BG65" s="1207"/>
      <c r="BH65" s="856">
        <f t="shared" si="107"/>
        <v>0</v>
      </c>
      <c r="BI65" s="1207"/>
      <c r="BJ65" s="745" t="s">
        <v>1631</v>
      </c>
      <c r="BK65" s="895">
        <v>0</v>
      </c>
      <c r="BL65" s="853" t="str">
        <f t="shared" si="108"/>
        <v>Divulgar el Plan de Emergencias</v>
      </c>
      <c r="BM65" s="1210"/>
      <c r="BN65" s="1009">
        <v>0</v>
      </c>
      <c r="BO65" s="1199"/>
      <c r="BP65" s="856" t="e">
        <f t="shared" si="109"/>
        <v>#DIV/0!</v>
      </c>
      <c r="BQ65" s="1207"/>
      <c r="BR65" s="856">
        <f t="shared" si="110"/>
        <v>0</v>
      </c>
      <c r="BS65" s="1207"/>
      <c r="BT65" s="1012" t="s">
        <v>1895</v>
      </c>
      <c r="BU65" s="895">
        <v>1</v>
      </c>
      <c r="BV65" s="853" t="str">
        <f t="shared" si="111"/>
        <v>Divulgar el Plan de Emergencias</v>
      </c>
      <c r="BW65" s="1210"/>
      <c r="BX65" s="858"/>
      <c r="BY65" s="1205"/>
      <c r="BZ65" s="863">
        <f t="shared" si="112"/>
        <v>0</v>
      </c>
      <c r="CA65" s="1217"/>
      <c r="CB65" s="863">
        <f t="shared" si="113"/>
        <v>0</v>
      </c>
      <c r="CC65" s="1217"/>
      <c r="CD65" s="863"/>
      <c r="CE65" s="642">
        <f t="shared" si="114"/>
        <v>0</v>
      </c>
      <c r="CF65" s="1224"/>
      <c r="CG65" s="642">
        <f t="shared" si="115"/>
        <v>0</v>
      </c>
      <c r="CH65" s="1224"/>
      <c r="CI65" s="642" t="str">
        <f t="shared" si="116"/>
        <v>No Prog ni Ejec</v>
      </c>
      <c r="CJ65" s="1224"/>
      <c r="CK65" s="642">
        <f t="shared" si="117"/>
        <v>0</v>
      </c>
      <c r="CL65" s="1225"/>
      <c r="CM65" s="577">
        <f t="shared" si="6"/>
        <v>0</v>
      </c>
      <c r="CR65" s="70"/>
      <c r="CS65" s="70"/>
      <c r="CT65" s="70"/>
      <c r="CU65" s="70">
        <v>4</v>
      </c>
      <c r="CV65" s="70"/>
      <c r="CW65" s="70"/>
      <c r="CX65" s="70"/>
      <c r="CY65" s="70"/>
      <c r="CZ65" s="70"/>
      <c r="DA65" s="70"/>
      <c r="DB65" s="70"/>
      <c r="DC65" s="70"/>
    </row>
    <row r="66" spans="1:107" s="578" customFormat="1" ht="96" hidden="1" customHeight="1" x14ac:dyDescent="0.2">
      <c r="A66" s="726">
        <v>11700</v>
      </c>
      <c r="B66" s="632" t="s">
        <v>14</v>
      </c>
      <c r="C66" s="570" t="s">
        <v>672</v>
      </c>
      <c r="D66" s="654"/>
      <c r="E66" s="654"/>
      <c r="F66" s="654" t="s">
        <v>1020</v>
      </c>
      <c r="G66" s="654" t="s">
        <v>1020</v>
      </c>
      <c r="H66" s="654"/>
      <c r="I66" s="654" t="s">
        <v>1020</v>
      </c>
      <c r="J66" s="654"/>
      <c r="K66" s="654"/>
      <c r="L66" s="654" t="s">
        <v>1020</v>
      </c>
      <c r="M66" s="654"/>
      <c r="N66" s="654"/>
      <c r="O66" s="654"/>
      <c r="P66" s="654"/>
      <c r="Q66" s="636" t="s">
        <v>204</v>
      </c>
      <c r="R66" s="636" t="s">
        <v>204</v>
      </c>
      <c r="S66" s="638" t="s">
        <v>238</v>
      </c>
      <c r="T66" s="636" t="s">
        <v>94</v>
      </c>
      <c r="U66" s="636" t="s">
        <v>204</v>
      </c>
      <c r="V66" s="636" t="s">
        <v>204</v>
      </c>
      <c r="W66" s="637" t="s">
        <v>743</v>
      </c>
      <c r="X66" s="632" t="s">
        <v>697</v>
      </c>
      <c r="Y66" s="572" t="s">
        <v>391</v>
      </c>
      <c r="Z66" s="593">
        <v>1</v>
      </c>
      <c r="AA66" s="858" t="s">
        <v>721</v>
      </c>
      <c r="AB66" s="853" t="s">
        <v>689</v>
      </c>
      <c r="AC66" s="1210"/>
      <c r="AD66" s="832">
        <v>1</v>
      </c>
      <c r="AE66" s="827" t="s">
        <v>16</v>
      </c>
      <c r="AF66" s="827" t="s">
        <v>21</v>
      </c>
      <c r="AG66" s="827" t="s">
        <v>204</v>
      </c>
      <c r="AH66" s="827" t="s">
        <v>635</v>
      </c>
      <c r="AI66" s="827" t="s">
        <v>77</v>
      </c>
      <c r="AJ66" s="827" t="s">
        <v>1290</v>
      </c>
      <c r="AK66" s="853" t="s">
        <v>703</v>
      </c>
      <c r="AL66" s="827" t="s">
        <v>43</v>
      </c>
      <c r="AM66" s="593">
        <v>1</v>
      </c>
      <c r="AN66" s="853" t="str">
        <f t="shared" si="101"/>
        <v>Divulgar el programa de inspecciones</v>
      </c>
      <c r="AO66" s="1206"/>
      <c r="AP66" s="860" t="s">
        <v>46</v>
      </c>
      <c r="AQ66" s="895">
        <v>0</v>
      </c>
      <c r="AR66" s="853" t="str">
        <f t="shared" si="102"/>
        <v>Divulgar el programa de inspecciones</v>
      </c>
      <c r="AS66" s="1210"/>
      <c r="AT66" s="858">
        <v>0</v>
      </c>
      <c r="AU66" s="1199"/>
      <c r="AV66" s="856" t="e">
        <f t="shared" si="103"/>
        <v>#DIV/0!</v>
      </c>
      <c r="AW66" s="1207"/>
      <c r="AX66" s="856">
        <f t="shared" si="104"/>
        <v>0</v>
      </c>
      <c r="AY66" s="1207"/>
      <c r="AZ66" s="594" t="s">
        <v>1334</v>
      </c>
      <c r="BA66" s="895">
        <v>1</v>
      </c>
      <c r="BB66" s="853" t="str">
        <f t="shared" si="105"/>
        <v>Divulgar el programa de inspecciones</v>
      </c>
      <c r="BC66" s="1210"/>
      <c r="BD66" s="572">
        <v>0</v>
      </c>
      <c r="BE66" s="1199"/>
      <c r="BF66" s="856">
        <f t="shared" si="106"/>
        <v>0</v>
      </c>
      <c r="BG66" s="1207"/>
      <c r="BH66" s="856">
        <f t="shared" si="107"/>
        <v>0</v>
      </c>
      <c r="BI66" s="1207"/>
      <c r="BJ66" s="745" t="s">
        <v>1632</v>
      </c>
      <c r="BK66" s="895">
        <v>0</v>
      </c>
      <c r="BL66" s="853" t="str">
        <f t="shared" si="108"/>
        <v>Divulgar el programa de inspecciones</v>
      </c>
      <c r="BM66" s="1210"/>
      <c r="BN66" s="1009">
        <v>0</v>
      </c>
      <c r="BO66" s="1199"/>
      <c r="BP66" s="856" t="e">
        <f t="shared" si="109"/>
        <v>#DIV/0!</v>
      </c>
      <c r="BQ66" s="1207"/>
      <c r="BR66" s="856">
        <f t="shared" si="110"/>
        <v>0</v>
      </c>
      <c r="BS66" s="1207"/>
      <c r="BT66" s="1012" t="s">
        <v>1896</v>
      </c>
      <c r="BU66" s="895">
        <v>0</v>
      </c>
      <c r="BV66" s="853" t="str">
        <f t="shared" si="111"/>
        <v>Divulgar el programa de inspecciones</v>
      </c>
      <c r="BW66" s="1210"/>
      <c r="BX66" s="858"/>
      <c r="BY66" s="1205"/>
      <c r="BZ66" s="863" t="e">
        <f t="shared" si="112"/>
        <v>#DIV/0!</v>
      </c>
      <c r="CA66" s="1217"/>
      <c r="CB66" s="863">
        <f t="shared" si="113"/>
        <v>0</v>
      </c>
      <c r="CC66" s="1217"/>
      <c r="CD66" s="863"/>
      <c r="CE66" s="642" t="str">
        <f t="shared" si="114"/>
        <v>No Prog ni Ejec</v>
      </c>
      <c r="CF66" s="1224"/>
      <c r="CG66" s="642">
        <f t="shared" si="115"/>
        <v>0</v>
      </c>
      <c r="CH66" s="1224"/>
      <c r="CI66" s="642" t="str">
        <f t="shared" si="116"/>
        <v>No Prog ni Ejec</v>
      </c>
      <c r="CJ66" s="1224"/>
      <c r="CK66" s="642" t="str">
        <f t="shared" si="117"/>
        <v>No Prog ni Ejec</v>
      </c>
      <c r="CL66" s="1225"/>
      <c r="CM66" s="577">
        <f t="shared" si="6"/>
        <v>0</v>
      </c>
      <c r="CR66" s="70"/>
      <c r="CS66" s="70"/>
      <c r="CT66" s="70"/>
      <c r="CU66" s="70">
        <v>4</v>
      </c>
      <c r="CV66" s="70"/>
      <c r="CW66" s="70"/>
      <c r="CX66" s="70"/>
      <c r="CY66" s="70"/>
      <c r="CZ66" s="70"/>
      <c r="DA66" s="70"/>
      <c r="DB66" s="70"/>
      <c r="DC66" s="70"/>
    </row>
    <row r="67" spans="1:107" s="578" customFormat="1" ht="89.25" hidden="1" x14ac:dyDescent="0.2">
      <c r="A67" s="726">
        <v>11700</v>
      </c>
      <c r="B67" s="632" t="s">
        <v>14</v>
      </c>
      <c r="C67" s="570" t="s">
        <v>507</v>
      </c>
      <c r="D67" s="654"/>
      <c r="E67" s="654"/>
      <c r="F67" s="654" t="s">
        <v>1020</v>
      </c>
      <c r="G67" s="654"/>
      <c r="H67" s="654"/>
      <c r="I67" s="654" t="s">
        <v>1020</v>
      </c>
      <c r="J67" s="654"/>
      <c r="K67" s="654"/>
      <c r="L67" s="654" t="s">
        <v>1020</v>
      </c>
      <c r="M67" s="654"/>
      <c r="N67" s="654"/>
      <c r="O67" s="654"/>
      <c r="P67" s="654"/>
      <c r="Q67" s="636" t="s">
        <v>204</v>
      </c>
      <c r="R67" s="636" t="s">
        <v>204</v>
      </c>
      <c r="S67" s="638" t="s">
        <v>238</v>
      </c>
      <c r="T67" s="636" t="s">
        <v>94</v>
      </c>
      <c r="U67" s="636" t="s">
        <v>204</v>
      </c>
      <c r="V67" s="636" t="s">
        <v>204</v>
      </c>
      <c r="W67" s="637" t="s">
        <v>744</v>
      </c>
      <c r="X67" s="632" t="s">
        <v>698</v>
      </c>
      <c r="Y67" s="572" t="s">
        <v>391</v>
      </c>
      <c r="Z67" s="593">
        <v>2</v>
      </c>
      <c r="AA67" s="858" t="s">
        <v>722</v>
      </c>
      <c r="AB67" s="853" t="s">
        <v>688</v>
      </c>
      <c r="AC67" s="1210"/>
      <c r="AD67" s="832">
        <v>1</v>
      </c>
      <c r="AE67" s="827" t="s">
        <v>16</v>
      </c>
      <c r="AF67" s="827" t="s">
        <v>21</v>
      </c>
      <c r="AG67" s="827" t="s">
        <v>204</v>
      </c>
      <c r="AH67" s="827" t="s">
        <v>635</v>
      </c>
      <c r="AI67" s="827" t="s">
        <v>77</v>
      </c>
      <c r="AJ67" s="827" t="s">
        <v>1290</v>
      </c>
      <c r="AK67" s="853" t="s">
        <v>703</v>
      </c>
      <c r="AL67" s="827" t="s">
        <v>43</v>
      </c>
      <c r="AM67" s="593">
        <v>2</v>
      </c>
      <c r="AN67" s="853" t="str">
        <f t="shared" si="101"/>
        <v>Divulgar el programa de mantenimiento</v>
      </c>
      <c r="AO67" s="1206"/>
      <c r="AP67" s="860" t="s">
        <v>46</v>
      </c>
      <c r="AQ67" s="895">
        <v>0</v>
      </c>
      <c r="AR67" s="853" t="str">
        <f t="shared" si="102"/>
        <v>Divulgar el programa de mantenimiento</v>
      </c>
      <c r="AS67" s="1210"/>
      <c r="AT67" s="858">
        <v>0</v>
      </c>
      <c r="AU67" s="1199"/>
      <c r="AV67" s="856" t="e">
        <f t="shared" si="103"/>
        <v>#DIV/0!</v>
      </c>
      <c r="AW67" s="1207"/>
      <c r="AX67" s="856">
        <f t="shared" si="104"/>
        <v>0</v>
      </c>
      <c r="AY67" s="1207"/>
      <c r="AZ67" s="594" t="s">
        <v>1334</v>
      </c>
      <c r="BA67" s="895">
        <v>1</v>
      </c>
      <c r="BB67" s="853" t="str">
        <f t="shared" si="105"/>
        <v>Divulgar el programa de mantenimiento</v>
      </c>
      <c r="BC67" s="1210"/>
      <c r="BD67" s="572">
        <v>0</v>
      </c>
      <c r="BE67" s="1199"/>
      <c r="BF67" s="856">
        <f t="shared" si="106"/>
        <v>0</v>
      </c>
      <c r="BG67" s="1207"/>
      <c r="BH67" s="856">
        <f t="shared" si="107"/>
        <v>0</v>
      </c>
      <c r="BI67" s="1207"/>
      <c r="BJ67" s="745" t="s">
        <v>1632</v>
      </c>
      <c r="BK67" s="895">
        <v>0</v>
      </c>
      <c r="BL67" s="853" t="str">
        <f t="shared" si="108"/>
        <v>Divulgar el programa de mantenimiento</v>
      </c>
      <c r="BM67" s="1210"/>
      <c r="BN67" s="1009">
        <v>0</v>
      </c>
      <c r="BO67" s="1199"/>
      <c r="BP67" s="856" t="e">
        <f t="shared" si="109"/>
        <v>#DIV/0!</v>
      </c>
      <c r="BQ67" s="1207"/>
      <c r="BR67" s="856">
        <f t="shared" si="110"/>
        <v>0</v>
      </c>
      <c r="BS67" s="1207"/>
      <c r="BT67" s="1012" t="s">
        <v>1897</v>
      </c>
      <c r="BU67" s="895">
        <v>1</v>
      </c>
      <c r="BV67" s="853" t="str">
        <f t="shared" si="111"/>
        <v>Divulgar el programa de mantenimiento</v>
      </c>
      <c r="BW67" s="1210"/>
      <c r="BX67" s="858"/>
      <c r="BY67" s="1205"/>
      <c r="BZ67" s="863">
        <f t="shared" si="112"/>
        <v>0</v>
      </c>
      <c r="CA67" s="1217"/>
      <c r="CB67" s="863">
        <f t="shared" si="113"/>
        <v>0</v>
      </c>
      <c r="CC67" s="1217"/>
      <c r="CD67" s="863"/>
      <c r="CE67" s="642" t="str">
        <f t="shared" si="114"/>
        <v>No Prog ni Ejec</v>
      </c>
      <c r="CF67" s="1224"/>
      <c r="CG67" s="642">
        <f t="shared" si="115"/>
        <v>0</v>
      </c>
      <c r="CH67" s="1224"/>
      <c r="CI67" s="642" t="str">
        <f t="shared" si="116"/>
        <v>No Prog ni Ejec</v>
      </c>
      <c r="CJ67" s="1224"/>
      <c r="CK67" s="642">
        <f t="shared" si="117"/>
        <v>0</v>
      </c>
      <c r="CL67" s="1225"/>
      <c r="CM67" s="577">
        <f t="shared" si="6"/>
        <v>0</v>
      </c>
      <c r="CR67" s="70"/>
      <c r="CS67" s="70"/>
      <c r="CT67" s="70"/>
      <c r="CU67" s="70"/>
      <c r="CV67" s="70"/>
      <c r="CW67" s="70"/>
      <c r="CX67" s="70"/>
      <c r="CY67" s="70">
        <v>8</v>
      </c>
      <c r="CZ67" s="70"/>
      <c r="DA67" s="70"/>
      <c r="DB67" s="70">
        <v>11</v>
      </c>
      <c r="DC67" s="70"/>
    </row>
    <row r="68" spans="1:107" s="70" customFormat="1" ht="178.5" x14ac:dyDescent="0.2">
      <c r="A68" s="697">
        <v>11700</v>
      </c>
      <c r="B68" s="636" t="s">
        <v>14</v>
      </c>
      <c r="C68" s="654" t="s">
        <v>507</v>
      </c>
      <c r="D68" s="654"/>
      <c r="E68" s="654"/>
      <c r="F68" s="654" t="s">
        <v>1020</v>
      </c>
      <c r="G68" s="654"/>
      <c r="H68" s="654"/>
      <c r="I68" s="654" t="s">
        <v>1020</v>
      </c>
      <c r="J68" s="654"/>
      <c r="K68" s="654"/>
      <c r="L68" s="654" t="s">
        <v>1020</v>
      </c>
      <c r="M68" s="654"/>
      <c r="N68" s="654"/>
      <c r="O68" s="654"/>
      <c r="P68" s="654"/>
      <c r="Q68" s="636" t="s">
        <v>204</v>
      </c>
      <c r="R68" s="636" t="s">
        <v>204</v>
      </c>
      <c r="S68" s="638" t="s">
        <v>238</v>
      </c>
      <c r="T68" s="636" t="s">
        <v>94</v>
      </c>
      <c r="U68" s="636" t="s">
        <v>204</v>
      </c>
      <c r="V68" s="636" t="s">
        <v>204</v>
      </c>
      <c r="W68" s="638" t="s">
        <v>745</v>
      </c>
      <c r="X68" s="636" t="s">
        <v>699</v>
      </c>
      <c r="Y68" s="650" t="s">
        <v>169</v>
      </c>
      <c r="Z68" s="828">
        <v>1</v>
      </c>
      <c r="AA68" s="835" t="s">
        <v>723</v>
      </c>
      <c r="AB68" s="827" t="s">
        <v>700</v>
      </c>
      <c r="AC68" s="1209"/>
      <c r="AD68" s="832">
        <v>1</v>
      </c>
      <c r="AE68" s="827" t="s">
        <v>16</v>
      </c>
      <c r="AF68" s="827" t="s">
        <v>21</v>
      </c>
      <c r="AG68" s="827" t="s">
        <v>204</v>
      </c>
      <c r="AH68" s="827" t="s">
        <v>635</v>
      </c>
      <c r="AI68" s="827" t="s">
        <v>77</v>
      </c>
      <c r="AJ68" s="827" t="s">
        <v>1289</v>
      </c>
      <c r="AK68" s="827" t="s">
        <v>701</v>
      </c>
      <c r="AL68" s="827" t="s">
        <v>43</v>
      </c>
      <c r="AM68" s="832">
        <v>1</v>
      </c>
      <c r="AN68" s="827" t="str">
        <f t="shared" si="101"/>
        <v>Investigar los eventos de incidentes, accidentes de trabajo  y/o enfermedades laborales que se presenten</v>
      </c>
      <c r="AO68" s="1148"/>
      <c r="AP68" s="860" t="s">
        <v>46</v>
      </c>
      <c r="AQ68" s="832">
        <v>0.25</v>
      </c>
      <c r="AR68" s="827" t="str">
        <f t="shared" ref="AR68:AR76" si="118">+AN68</f>
        <v>Investigar los eventos de incidentes, accidentes de trabajo  y/o enfermedades laborales que se presenten</v>
      </c>
      <c r="AS68" s="1209"/>
      <c r="AT68" s="477">
        <v>0.25</v>
      </c>
      <c r="AU68" s="1226"/>
      <c r="AV68" s="828">
        <f t="shared" ref="AV68:AV76" si="119">+(AT68/AQ68)</f>
        <v>1</v>
      </c>
      <c r="AW68" s="1073"/>
      <c r="AX68" s="828">
        <f t="shared" ref="AX68:AX76" si="120">+(AT68/AM68)</f>
        <v>0.25</v>
      </c>
      <c r="AY68" s="1073"/>
      <c r="AZ68" s="472" t="s">
        <v>1771</v>
      </c>
      <c r="BA68" s="832">
        <v>0.25</v>
      </c>
      <c r="BB68" s="827" t="str">
        <f t="shared" ref="BB68:BB76" si="121">+AN68</f>
        <v>Investigar los eventos de incidentes, accidentes de trabajo  y/o enfermedades laborales que se presenten</v>
      </c>
      <c r="BC68" s="1209"/>
      <c r="BD68" s="848">
        <f>(2/2)*0.25</f>
        <v>0.25</v>
      </c>
      <c r="BE68" s="1075"/>
      <c r="BF68" s="828">
        <f t="shared" ref="BF68:BF76" si="122">+(BD68/BA68)</f>
        <v>1</v>
      </c>
      <c r="BG68" s="1073"/>
      <c r="BH68" s="828">
        <f t="shared" ref="BH68:BH76" si="123">+(BD68+AT68)/AM68</f>
        <v>0.5</v>
      </c>
      <c r="BI68" s="1073"/>
      <c r="BJ68" s="829" t="s">
        <v>1633</v>
      </c>
      <c r="BK68" s="832">
        <v>0.25</v>
      </c>
      <c r="BL68" s="827" t="str">
        <f t="shared" ref="BL68:BL76" si="124">+AN68</f>
        <v>Investigar los eventos de incidentes, accidentes de trabajo  y/o enfermedades laborales que se presenten</v>
      </c>
      <c r="BM68" s="1209"/>
      <c r="BN68" s="1003">
        <f>(3/3)*0.25</f>
        <v>0.25</v>
      </c>
      <c r="BO68" s="1075"/>
      <c r="BP68" s="828">
        <f t="shared" ref="BP68:BP76" si="125">+(BN68/BK68)</f>
        <v>1</v>
      </c>
      <c r="BQ68" s="1073"/>
      <c r="BR68" s="828">
        <f t="shared" ref="BR68:BR76" si="126">+(BD68+AT68+BN68)/AM68</f>
        <v>0.75</v>
      </c>
      <c r="BS68" s="1073"/>
      <c r="BT68" s="997" t="s">
        <v>1898</v>
      </c>
      <c r="BU68" s="832">
        <v>0.25</v>
      </c>
      <c r="BV68" s="827" t="str">
        <f t="shared" ref="BV68:BV76" si="127">+AN68</f>
        <v>Investigar los eventos de incidentes, accidentes de trabajo  y/o enfermedades laborales que se presenten</v>
      </c>
      <c r="BW68" s="1209"/>
      <c r="BX68" s="835"/>
      <c r="BY68" s="1139"/>
      <c r="BZ68" s="826">
        <f t="shared" ref="BZ68:BZ76" si="128">+(BX68/BU68)</f>
        <v>0</v>
      </c>
      <c r="CA68" s="1141"/>
      <c r="CB68" s="826">
        <f t="shared" ref="CB68:CB76" si="129">+(BD68+AT68+BN68+BX68)/AM68</f>
        <v>0.75</v>
      </c>
      <c r="CC68" s="1141"/>
      <c r="CD68" s="826"/>
      <c r="CE68" s="640">
        <f t="shared" ref="CE68:CE76" si="130">IF(AND(AQ68=0,AT68=0),"No Prog ni Ejec",IF(AQ68=0,CONCATENATE("No Prog, Ejec=  ",AT68),AT68/AQ68))</f>
        <v>1</v>
      </c>
      <c r="CF68" s="1092"/>
      <c r="CG68" s="640">
        <f t="shared" ref="CG68:CG76" si="131">IF(AND(BA68=0,BD68=0),"No Prog ni Ejec",IF(BA68=0,CONCATENATE("No Prog, Ejec=  ",BD68),BD68/BA68))</f>
        <v>1</v>
      </c>
      <c r="CH68" s="1092"/>
      <c r="CI68" s="640">
        <f t="shared" ref="CI68:CI76" si="132">IF(AND(BK68=0,BN68=0),"No Prog ni Ejec",IF(BK68=0,CONCATENATE("No Prog, Ejec=  ",BN68),BN68/BK68))</f>
        <v>1</v>
      </c>
      <c r="CJ68" s="1092"/>
      <c r="CK68" s="640">
        <f t="shared" ref="CK68:CK76" si="133">IF(AND(BU68=0,BX68=0),"No Prog ni Ejec",IF(BU68=0,CONCATENATE("No Prog, Ejec=  ",BX68),BX68/BU68))</f>
        <v>0</v>
      </c>
      <c r="CL68" s="1091"/>
      <c r="CM68" s="128">
        <f t="shared" si="6"/>
        <v>0</v>
      </c>
      <c r="CY68" s="70">
        <v>8</v>
      </c>
      <c r="DB68" s="70">
        <v>11</v>
      </c>
    </row>
    <row r="69" spans="1:107" s="70" customFormat="1" ht="99.75" customHeight="1" x14ac:dyDescent="0.2">
      <c r="A69" s="697">
        <v>11700</v>
      </c>
      <c r="B69" s="636" t="s">
        <v>14</v>
      </c>
      <c r="C69" s="654" t="s">
        <v>507</v>
      </c>
      <c r="D69" s="654"/>
      <c r="E69" s="654"/>
      <c r="F69" s="654" t="s">
        <v>1020</v>
      </c>
      <c r="G69" s="654"/>
      <c r="H69" s="654"/>
      <c r="I69" s="654" t="s">
        <v>1020</v>
      </c>
      <c r="J69" s="654"/>
      <c r="K69" s="654"/>
      <c r="L69" s="654" t="s">
        <v>1020</v>
      </c>
      <c r="M69" s="654"/>
      <c r="N69" s="654"/>
      <c r="O69" s="654"/>
      <c r="P69" s="654"/>
      <c r="Q69" s="636" t="s">
        <v>204</v>
      </c>
      <c r="R69" s="636" t="s">
        <v>204</v>
      </c>
      <c r="S69" s="638" t="s">
        <v>238</v>
      </c>
      <c r="T69" s="636" t="s">
        <v>94</v>
      </c>
      <c r="U69" s="636" t="s">
        <v>204</v>
      </c>
      <c r="V69" s="636" t="s">
        <v>204</v>
      </c>
      <c r="W69" s="638" t="s">
        <v>746</v>
      </c>
      <c r="X69" s="636" t="s">
        <v>669</v>
      </c>
      <c r="Y69" s="650" t="s">
        <v>391</v>
      </c>
      <c r="Z69" s="870">
        <v>4</v>
      </c>
      <c r="AA69" s="835" t="s">
        <v>724</v>
      </c>
      <c r="AB69" s="827" t="s">
        <v>675</v>
      </c>
      <c r="AC69" s="1209"/>
      <c r="AD69" s="832">
        <v>1</v>
      </c>
      <c r="AE69" s="827" t="s">
        <v>16</v>
      </c>
      <c r="AF69" s="827" t="s">
        <v>21</v>
      </c>
      <c r="AG69" s="827" t="s">
        <v>204</v>
      </c>
      <c r="AH69" s="827" t="s">
        <v>635</v>
      </c>
      <c r="AI69" s="827" t="s">
        <v>77</v>
      </c>
      <c r="AJ69" s="827" t="s">
        <v>1289</v>
      </c>
      <c r="AK69" s="827" t="s">
        <v>703</v>
      </c>
      <c r="AL69" s="827" t="s">
        <v>43</v>
      </c>
      <c r="AM69" s="870">
        <v>4</v>
      </c>
      <c r="AN69" s="827" t="str">
        <f>+AB69</f>
        <v>Realizar Reuniones - Inspecciones - Acompañamiento y seguimiento en el desarrollo del Comité paritario de seguridad y Salud en el trabajo</v>
      </c>
      <c r="AO69" s="1148"/>
      <c r="AP69" s="860" t="s">
        <v>46</v>
      </c>
      <c r="AQ69" s="865">
        <v>1</v>
      </c>
      <c r="AR69" s="827" t="str">
        <f t="shared" si="118"/>
        <v>Realizar Reuniones - Inspecciones - Acompañamiento y seguimiento en el desarrollo del Comité paritario de seguridad y Salud en el trabajo</v>
      </c>
      <c r="AS69" s="1209"/>
      <c r="AT69" s="473">
        <v>1</v>
      </c>
      <c r="AU69" s="1226"/>
      <c r="AV69" s="828">
        <f t="shared" si="119"/>
        <v>1</v>
      </c>
      <c r="AW69" s="1073"/>
      <c r="AX69" s="828">
        <f t="shared" si="120"/>
        <v>0.25</v>
      </c>
      <c r="AY69" s="1073"/>
      <c r="AZ69" s="472" t="s">
        <v>1622</v>
      </c>
      <c r="BA69" s="865">
        <v>1</v>
      </c>
      <c r="BB69" s="827" t="str">
        <f t="shared" si="121"/>
        <v>Realizar Reuniones - Inspecciones - Acompañamiento y seguimiento en el desarrollo del Comité paritario de seguridad y Salud en el trabajo</v>
      </c>
      <c r="BC69" s="1209"/>
      <c r="BD69" s="838">
        <v>1</v>
      </c>
      <c r="BE69" s="1075"/>
      <c r="BF69" s="828">
        <f t="shared" si="122"/>
        <v>1</v>
      </c>
      <c r="BG69" s="1073"/>
      <c r="BH69" s="828">
        <f t="shared" si="123"/>
        <v>0.5</v>
      </c>
      <c r="BI69" s="1073"/>
      <c r="BJ69" s="829" t="s">
        <v>1634</v>
      </c>
      <c r="BK69" s="865">
        <v>1</v>
      </c>
      <c r="BL69" s="827" t="str">
        <f t="shared" si="124"/>
        <v>Realizar Reuniones - Inspecciones - Acompañamiento y seguimiento en el desarrollo del Comité paritario de seguridad y Salud en el trabajo</v>
      </c>
      <c r="BM69" s="1209"/>
      <c r="BN69" s="998">
        <v>1</v>
      </c>
      <c r="BO69" s="1075"/>
      <c r="BP69" s="828">
        <f t="shared" si="125"/>
        <v>1</v>
      </c>
      <c r="BQ69" s="1073"/>
      <c r="BR69" s="828">
        <f t="shared" si="126"/>
        <v>0.75</v>
      </c>
      <c r="BS69" s="1073"/>
      <c r="BT69" s="997" t="s">
        <v>1899</v>
      </c>
      <c r="BU69" s="865">
        <v>1</v>
      </c>
      <c r="BV69" s="827" t="str">
        <f t="shared" si="127"/>
        <v>Realizar Reuniones - Inspecciones - Acompañamiento y seguimiento en el desarrollo del Comité paritario de seguridad y Salud en el trabajo</v>
      </c>
      <c r="BW69" s="1209"/>
      <c r="BX69" s="835"/>
      <c r="BY69" s="1139"/>
      <c r="BZ69" s="826">
        <f t="shared" si="128"/>
        <v>0</v>
      </c>
      <c r="CA69" s="1141"/>
      <c r="CB69" s="826">
        <f t="shared" si="129"/>
        <v>0.75</v>
      </c>
      <c r="CC69" s="1141"/>
      <c r="CD69" s="826"/>
      <c r="CE69" s="640">
        <f t="shared" si="130"/>
        <v>1</v>
      </c>
      <c r="CF69" s="1092"/>
      <c r="CG69" s="640">
        <f t="shared" si="131"/>
        <v>1</v>
      </c>
      <c r="CH69" s="1092"/>
      <c r="CI69" s="640">
        <f t="shared" si="132"/>
        <v>1</v>
      </c>
      <c r="CJ69" s="1092"/>
      <c r="CK69" s="640">
        <f t="shared" si="133"/>
        <v>0</v>
      </c>
      <c r="CL69" s="1091"/>
      <c r="CM69" s="128">
        <f t="shared" si="6"/>
        <v>0</v>
      </c>
      <c r="CY69" s="70">
        <v>8</v>
      </c>
      <c r="DB69" s="70">
        <v>11</v>
      </c>
    </row>
    <row r="70" spans="1:107" s="578" customFormat="1" ht="101.25" hidden="1" customHeight="1" x14ac:dyDescent="0.2">
      <c r="A70" s="726">
        <v>11700</v>
      </c>
      <c r="B70" s="632" t="s">
        <v>14</v>
      </c>
      <c r="C70" s="570" t="s">
        <v>507</v>
      </c>
      <c r="D70" s="654"/>
      <c r="E70" s="654"/>
      <c r="F70" s="654" t="s">
        <v>1020</v>
      </c>
      <c r="G70" s="654"/>
      <c r="H70" s="654"/>
      <c r="I70" s="654" t="s">
        <v>1020</v>
      </c>
      <c r="J70" s="654"/>
      <c r="K70" s="654"/>
      <c r="L70" s="654" t="s">
        <v>1020</v>
      </c>
      <c r="M70" s="654"/>
      <c r="N70" s="654"/>
      <c r="O70" s="654"/>
      <c r="P70" s="654"/>
      <c r="Q70" s="636" t="s">
        <v>204</v>
      </c>
      <c r="R70" s="636" t="s">
        <v>204</v>
      </c>
      <c r="S70" s="638" t="s">
        <v>238</v>
      </c>
      <c r="T70" s="636" t="s">
        <v>94</v>
      </c>
      <c r="U70" s="636" t="s">
        <v>204</v>
      </c>
      <c r="V70" s="636" t="s">
        <v>204</v>
      </c>
      <c r="W70" s="637" t="s">
        <v>747</v>
      </c>
      <c r="X70" s="632" t="s">
        <v>670</v>
      </c>
      <c r="Y70" s="572" t="s">
        <v>391</v>
      </c>
      <c r="Z70" s="593">
        <v>1</v>
      </c>
      <c r="AA70" s="858" t="s">
        <v>725</v>
      </c>
      <c r="AB70" s="853" t="s">
        <v>676</v>
      </c>
      <c r="AC70" s="1210"/>
      <c r="AD70" s="832">
        <v>1</v>
      </c>
      <c r="AE70" s="827" t="s">
        <v>16</v>
      </c>
      <c r="AF70" s="827" t="s">
        <v>21</v>
      </c>
      <c r="AG70" s="827" t="s">
        <v>204</v>
      </c>
      <c r="AH70" s="827" t="s">
        <v>635</v>
      </c>
      <c r="AI70" s="827" t="s">
        <v>77</v>
      </c>
      <c r="AJ70" s="827" t="s">
        <v>1289</v>
      </c>
      <c r="AK70" s="853" t="s">
        <v>703</v>
      </c>
      <c r="AL70" s="827" t="s">
        <v>43</v>
      </c>
      <c r="AM70" s="593">
        <v>2</v>
      </c>
      <c r="AN70" s="853" t="str">
        <f t="shared" si="101"/>
        <v>Realizar evaluación de cumplimiento del SG-SST de proveedores y contratistas "de personería jurídica"</v>
      </c>
      <c r="AO70" s="1206"/>
      <c r="AP70" s="860" t="s">
        <v>46</v>
      </c>
      <c r="AQ70" s="895">
        <v>0</v>
      </c>
      <c r="AR70" s="853" t="str">
        <f t="shared" si="118"/>
        <v>Realizar evaluación de cumplimiento del SG-SST de proveedores y contratistas "de personería jurídica"</v>
      </c>
      <c r="AS70" s="1210"/>
      <c r="AT70" s="858">
        <v>0</v>
      </c>
      <c r="AU70" s="1199"/>
      <c r="AV70" s="856" t="e">
        <f t="shared" si="119"/>
        <v>#DIV/0!</v>
      </c>
      <c r="AW70" s="1207"/>
      <c r="AX70" s="856">
        <f t="shared" si="120"/>
        <v>0</v>
      </c>
      <c r="AY70" s="1207"/>
      <c r="AZ70" s="594" t="s">
        <v>1334</v>
      </c>
      <c r="BA70" s="895">
        <v>1</v>
      </c>
      <c r="BB70" s="853" t="str">
        <f t="shared" si="121"/>
        <v>Realizar evaluación de cumplimiento del SG-SST de proveedores y contratistas "de personería jurídica"</v>
      </c>
      <c r="BC70" s="1210"/>
      <c r="BD70" s="572">
        <v>0</v>
      </c>
      <c r="BE70" s="1199"/>
      <c r="BF70" s="856">
        <f t="shared" si="122"/>
        <v>0</v>
      </c>
      <c r="BG70" s="1207"/>
      <c r="BH70" s="856">
        <f t="shared" si="123"/>
        <v>0</v>
      </c>
      <c r="BI70" s="1207"/>
      <c r="BJ70" s="745" t="s">
        <v>1632</v>
      </c>
      <c r="BK70" s="895">
        <v>0</v>
      </c>
      <c r="BL70" s="853" t="str">
        <f t="shared" si="124"/>
        <v>Realizar evaluación de cumplimiento del SG-SST de proveedores y contratistas "de personería jurídica"</v>
      </c>
      <c r="BM70" s="1210"/>
      <c r="BN70" s="1009">
        <v>0</v>
      </c>
      <c r="BO70" s="1199"/>
      <c r="BP70" s="856" t="e">
        <f t="shared" si="125"/>
        <v>#DIV/0!</v>
      </c>
      <c r="BQ70" s="1207"/>
      <c r="BR70" s="856">
        <f t="shared" si="126"/>
        <v>0</v>
      </c>
      <c r="BS70" s="1207"/>
      <c r="BT70" s="1012" t="s">
        <v>1896</v>
      </c>
      <c r="BU70" s="895">
        <v>1</v>
      </c>
      <c r="BV70" s="853" t="str">
        <f t="shared" si="127"/>
        <v>Realizar evaluación de cumplimiento del SG-SST de proveedores y contratistas "de personería jurídica"</v>
      </c>
      <c r="BW70" s="1210"/>
      <c r="BX70" s="858"/>
      <c r="BY70" s="1205"/>
      <c r="BZ70" s="863">
        <f t="shared" si="128"/>
        <v>0</v>
      </c>
      <c r="CA70" s="1217"/>
      <c r="CB70" s="863">
        <f t="shared" si="129"/>
        <v>0</v>
      </c>
      <c r="CC70" s="1217"/>
      <c r="CD70" s="863"/>
      <c r="CE70" s="642" t="str">
        <f t="shared" si="130"/>
        <v>No Prog ni Ejec</v>
      </c>
      <c r="CF70" s="1224"/>
      <c r="CG70" s="642">
        <f t="shared" si="131"/>
        <v>0</v>
      </c>
      <c r="CH70" s="1224"/>
      <c r="CI70" s="642" t="str">
        <f t="shared" si="132"/>
        <v>No Prog ni Ejec</v>
      </c>
      <c r="CJ70" s="1224"/>
      <c r="CK70" s="642">
        <f t="shared" si="133"/>
        <v>0</v>
      </c>
      <c r="CL70" s="1225"/>
      <c r="CM70" s="577">
        <f t="shared" si="6"/>
        <v>0</v>
      </c>
      <c r="CR70" s="70"/>
      <c r="CS70" s="70"/>
      <c r="CT70" s="70"/>
      <c r="CU70" s="70"/>
      <c r="CV70" s="70"/>
      <c r="CW70" s="70"/>
      <c r="CX70" s="70"/>
      <c r="CY70" s="70">
        <v>8</v>
      </c>
      <c r="CZ70" s="70"/>
      <c r="DA70" s="70"/>
      <c r="DB70" s="70">
        <v>11</v>
      </c>
      <c r="DC70" s="70"/>
    </row>
    <row r="71" spans="1:107" s="578" customFormat="1" ht="106.5" hidden="1" customHeight="1" x14ac:dyDescent="0.2">
      <c r="A71" s="726">
        <v>11700</v>
      </c>
      <c r="B71" s="632" t="s">
        <v>14</v>
      </c>
      <c r="C71" s="570" t="s">
        <v>507</v>
      </c>
      <c r="D71" s="654"/>
      <c r="E71" s="654"/>
      <c r="F71" s="654" t="s">
        <v>1020</v>
      </c>
      <c r="G71" s="654"/>
      <c r="H71" s="654"/>
      <c r="I71" s="654" t="s">
        <v>1020</v>
      </c>
      <c r="J71" s="654"/>
      <c r="K71" s="654"/>
      <c r="L71" s="654" t="s">
        <v>1020</v>
      </c>
      <c r="M71" s="654"/>
      <c r="N71" s="654"/>
      <c r="O71" s="654"/>
      <c r="P71" s="654"/>
      <c r="Q71" s="636" t="s">
        <v>204</v>
      </c>
      <c r="R71" s="636" t="s">
        <v>204</v>
      </c>
      <c r="S71" s="638" t="s">
        <v>238</v>
      </c>
      <c r="T71" s="636" t="s">
        <v>94</v>
      </c>
      <c r="U71" s="636" t="s">
        <v>204</v>
      </c>
      <c r="V71" s="636" t="s">
        <v>204</v>
      </c>
      <c r="W71" s="637" t="s">
        <v>748</v>
      </c>
      <c r="X71" s="632" t="s">
        <v>671</v>
      </c>
      <c r="Y71" s="572" t="s">
        <v>391</v>
      </c>
      <c r="Z71" s="593">
        <v>1</v>
      </c>
      <c r="AA71" s="858" t="s">
        <v>726</v>
      </c>
      <c r="AB71" s="853" t="s">
        <v>677</v>
      </c>
      <c r="AC71" s="1210"/>
      <c r="AD71" s="832">
        <v>1</v>
      </c>
      <c r="AE71" s="827" t="s">
        <v>16</v>
      </c>
      <c r="AF71" s="827" t="s">
        <v>21</v>
      </c>
      <c r="AG71" s="827" t="s">
        <v>204</v>
      </c>
      <c r="AH71" s="827" t="s">
        <v>635</v>
      </c>
      <c r="AI71" s="827" t="s">
        <v>77</v>
      </c>
      <c r="AJ71" s="827" t="s">
        <v>1289</v>
      </c>
      <c r="AK71" s="853" t="s">
        <v>703</v>
      </c>
      <c r="AL71" s="827" t="s">
        <v>43</v>
      </c>
      <c r="AM71" s="593">
        <v>1</v>
      </c>
      <c r="AN71" s="853" t="str">
        <f t="shared" si="101"/>
        <v>Realizar auditoria interna del SG-SST</v>
      </c>
      <c r="AO71" s="1206"/>
      <c r="AP71" s="860" t="s">
        <v>46</v>
      </c>
      <c r="AQ71" s="895">
        <v>0</v>
      </c>
      <c r="AR71" s="853" t="str">
        <f t="shared" si="118"/>
        <v>Realizar auditoria interna del SG-SST</v>
      </c>
      <c r="AS71" s="1210"/>
      <c r="AT71" s="858">
        <v>0</v>
      </c>
      <c r="AU71" s="1199"/>
      <c r="AV71" s="856" t="e">
        <f t="shared" si="119"/>
        <v>#DIV/0!</v>
      </c>
      <c r="AW71" s="1207"/>
      <c r="AX71" s="856">
        <f t="shared" si="120"/>
        <v>0</v>
      </c>
      <c r="AY71" s="1207"/>
      <c r="AZ71" s="594" t="s">
        <v>1334</v>
      </c>
      <c r="BA71" s="895">
        <v>0</v>
      </c>
      <c r="BB71" s="853" t="str">
        <f t="shared" si="121"/>
        <v>Realizar auditoria interna del SG-SST</v>
      </c>
      <c r="BC71" s="1210"/>
      <c r="BD71" s="572">
        <v>0</v>
      </c>
      <c r="BE71" s="1199"/>
      <c r="BF71" s="856" t="e">
        <f t="shared" si="122"/>
        <v>#DIV/0!</v>
      </c>
      <c r="BG71" s="1207"/>
      <c r="BH71" s="856">
        <f t="shared" si="123"/>
        <v>0</v>
      </c>
      <c r="BI71" s="1207"/>
      <c r="BJ71" s="745" t="s">
        <v>1635</v>
      </c>
      <c r="BK71" s="895">
        <v>0</v>
      </c>
      <c r="BL71" s="853" t="str">
        <f t="shared" si="124"/>
        <v>Realizar auditoria interna del SG-SST</v>
      </c>
      <c r="BM71" s="1210"/>
      <c r="BN71" s="1009">
        <v>0</v>
      </c>
      <c r="BO71" s="1199"/>
      <c r="BP71" s="856" t="e">
        <f t="shared" si="125"/>
        <v>#DIV/0!</v>
      </c>
      <c r="BQ71" s="1207"/>
      <c r="BR71" s="856">
        <f t="shared" si="126"/>
        <v>0</v>
      </c>
      <c r="BS71" s="1207"/>
      <c r="BT71" s="1012" t="s">
        <v>1900</v>
      </c>
      <c r="BU71" s="895">
        <v>1</v>
      </c>
      <c r="BV71" s="853" t="str">
        <f t="shared" si="127"/>
        <v>Realizar auditoria interna del SG-SST</v>
      </c>
      <c r="BW71" s="1210"/>
      <c r="BX71" s="858"/>
      <c r="BY71" s="1205"/>
      <c r="BZ71" s="863">
        <f t="shared" si="128"/>
        <v>0</v>
      </c>
      <c r="CA71" s="1217"/>
      <c r="CB71" s="863">
        <f t="shared" si="129"/>
        <v>0</v>
      </c>
      <c r="CC71" s="1217"/>
      <c r="CD71" s="863"/>
      <c r="CE71" s="642" t="str">
        <f t="shared" si="130"/>
        <v>No Prog ni Ejec</v>
      </c>
      <c r="CF71" s="1224"/>
      <c r="CG71" s="642" t="str">
        <f t="shared" si="131"/>
        <v>No Prog ni Ejec</v>
      </c>
      <c r="CH71" s="1224"/>
      <c r="CI71" s="642" t="str">
        <f t="shared" si="132"/>
        <v>No Prog ni Ejec</v>
      </c>
      <c r="CJ71" s="1224"/>
      <c r="CK71" s="642">
        <f t="shared" si="133"/>
        <v>0</v>
      </c>
      <c r="CL71" s="1225"/>
      <c r="CM71" s="577">
        <f t="shared" si="6"/>
        <v>0</v>
      </c>
      <c r="CR71" s="70"/>
      <c r="CS71" s="70"/>
      <c r="CT71" s="70"/>
      <c r="CU71" s="70"/>
      <c r="CV71" s="70"/>
      <c r="CW71" s="70"/>
      <c r="CX71" s="70"/>
      <c r="CY71" s="70">
        <v>8</v>
      </c>
      <c r="CZ71" s="70"/>
      <c r="DA71" s="70"/>
      <c r="DB71" s="70">
        <v>11</v>
      </c>
      <c r="DC71" s="70"/>
    </row>
    <row r="72" spans="1:107" s="578" customFormat="1" ht="102.75" hidden="1" customHeight="1" x14ac:dyDescent="0.2">
      <c r="A72" s="726">
        <v>11700</v>
      </c>
      <c r="B72" s="632" t="s">
        <v>14</v>
      </c>
      <c r="C72" s="570" t="s">
        <v>507</v>
      </c>
      <c r="D72" s="654"/>
      <c r="E72" s="654"/>
      <c r="F72" s="654" t="s">
        <v>1020</v>
      </c>
      <c r="G72" s="654"/>
      <c r="H72" s="654"/>
      <c r="I72" s="654" t="s">
        <v>1020</v>
      </c>
      <c r="J72" s="654"/>
      <c r="K72" s="654"/>
      <c r="L72" s="654" t="s">
        <v>1020</v>
      </c>
      <c r="M72" s="654"/>
      <c r="N72" s="654"/>
      <c r="O72" s="654"/>
      <c r="P72" s="654"/>
      <c r="Q72" s="636" t="s">
        <v>204</v>
      </c>
      <c r="R72" s="636" t="s">
        <v>204</v>
      </c>
      <c r="S72" s="638" t="s">
        <v>238</v>
      </c>
      <c r="T72" s="636" t="s">
        <v>94</v>
      </c>
      <c r="U72" s="636" t="s">
        <v>204</v>
      </c>
      <c r="V72" s="636" t="s">
        <v>204</v>
      </c>
      <c r="W72" s="637" t="s">
        <v>749</v>
      </c>
      <c r="X72" s="632" t="s">
        <v>702</v>
      </c>
      <c r="Y72" s="572" t="s">
        <v>391</v>
      </c>
      <c r="Z72" s="593">
        <v>1</v>
      </c>
      <c r="AA72" s="858" t="s">
        <v>727</v>
      </c>
      <c r="AB72" s="853" t="s">
        <v>678</v>
      </c>
      <c r="AC72" s="1210"/>
      <c r="AD72" s="832">
        <v>1</v>
      </c>
      <c r="AE72" s="827" t="s">
        <v>16</v>
      </c>
      <c r="AF72" s="827" t="s">
        <v>21</v>
      </c>
      <c r="AG72" s="827" t="s">
        <v>204</v>
      </c>
      <c r="AH72" s="827" t="s">
        <v>635</v>
      </c>
      <c r="AI72" s="827" t="s">
        <v>77</v>
      </c>
      <c r="AJ72" s="827" t="s">
        <v>1289</v>
      </c>
      <c r="AK72" s="853" t="s">
        <v>703</v>
      </c>
      <c r="AL72" s="827" t="s">
        <v>43</v>
      </c>
      <c r="AM72" s="593">
        <v>1</v>
      </c>
      <c r="AN72" s="853" t="str">
        <f t="shared" si="101"/>
        <v>Realizar plan de acción de los hallazgos generados por auditoria interna o entes de control.</v>
      </c>
      <c r="AO72" s="1206"/>
      <c r="AP72" s="860" t="s">
        <v>46</v>
      </c>
      <c r="AQ72" s="895">
        <v>0</v>
      </c>
      <c r="AR72" s="853" t="str">
        <f t="shared" si="118"/>
        <v>Realizar plan de acción de los hallazgos generados por auditoria interna o entes de control.</v>
      </c>
      <c r="AS72" s="1210"/>
      <c r="AT72" s="858">
        <v>0</v>
      </c>
      <c r="AU72" s="1199"/>
      <c r="AV72" s="856" t="e">
        <f t="shared" si="119"/>
        <v>#DIV/0!</v>
      </c>
      <c r="AW72" s="1207"/>
      <c r="AX72" s="856">
        <f t="shared" si="120"/>
        <v>0</v>
      </c>
      <c r="AY72" s="1207"/>
      <c r="AZ72" s="594" t="s">
        <v>1334</v>
      </c>
      <c r="BA72" s="895">
        <v>0</v>
      </c>
      <c r="BB72" s="853" t="str">
        <f t="shared" si="121"/>
        <v>Realizar plan de acción de los hallazgos generados por auditoria interna o entes de control.</v>
      </c>
      <c r="BC72" s="1210"/>
      <c r="BD72" s="572">
        <v>0</v>
      </c>
      <c r="BE72" s="1199"/>
      <c r="BF72" s="856" t="e">
        <f t="shared" si="122"/>
        <v>#DIV/0!</v>
      </c>
      <c r="BG72" s="1207"/>
      <c r="BH72" s="856">
        <f t="shared" si="123"/>
        <v>0</v>
      </c>
      <c r="BI72" s="1207"/>
      <c r="BJ72" s="745" t="s">
        <v>1636</v>
      </c>
      <c r="BK72" s="895">
        <v>0</v>
      </c>
      <c r="BL72" s="853" t="str">
        <f t="shared" si="124"/>
        <v>Realizar plan de acción de los hallazgos generados por auditoria interna o entes de control.</v>
      </c>
      <c r="BM72" s="1210"/>
      <c r="BN72" s="1009">
        <v>0</v>
      </c>
      <c r="BO72" s="1199"/>
      <c r="BP72" s="856" t="e">
        <f t="shared" si="125"/>
        <v>#DIV/0!</v>
      </c>
      <c r="BQ72" s="1207"/>
      <c r="BR72" s="856">
        <f t="shared" si="126"/>
        <v>0</v>
      </c>
      <c r="BS72" s="1207"/>
      <c r="BT72" s="1012" t="s">
        <v>1900</v>
      </c>
      <c r="BU72" s="895">
        <v>1</v>
      </c>
      <c r="BV72" s="853" t="str">
        <f t="shared" si="127"/>
        <v>Realizar plan de acción de los hallazgos generados por auditoria interna o entes de control.</v>
      </c>
      <c r="BW72" s="1210"/>
      <c r="BX72" s="858"/>
      <c r="BY72" s="1205"/>
      <c r="BZ72" s="863">
        <f t="shared" si="128"/>
        <v>0</v>
      </c>
      <c r="CA72" s="1217"/>
      <c r="CB72" s="863">
        <f t="shared" si="129"/>
        <v>0</v>
      </c>
      <c r="CC72" s="1217"/>
      <c r="CD72" s="863"/>
      <c r="CE72" s="642" t="str">
        <f t="shared" si="130"/>
        <v>No Prog ni Ejec</v>
      </c>
      <c r="CF72" s="1224"/>
      <c r="CG72" s="642" t="str">
        <f t="shared" si="131"/>
        <v>No Prog ni Ejec</v>
      </c>
      <c r="CH72" s="1224"/>
      <c r="CI72" s="642" t="str">
        <f t="shared" si="132"/>
        <v>No Prog ni Ejec</v>
      </c>
      <c r="CJ72" s="1224"/>
      <c r="CK72" s="642">
        <f t="shared" si="133"/>
        <v>0</v>
      </c>
      <c r="CL72" s="1225"/>
      <c r="CM72" s="577">
        <f t="shared" ref="CM72:CM136" si="134">+AC72-AS72-BC72-BM72-BW72</f>
        <v>0</v>
      </c>
      <c r="CR72" s="70"/>
      <c r="CS72" s="70"/>
      <c r="CT72" s="70"/>
      <c r="CU72" s="70"/>
      <c r="CV72" s="70"/>
      <c r="CW72" s="70"/>
      <c r="CX72" s="70"/>
      <c r="CY72" s="70">
        <v>8</v>
      </c>
      <c r="CZ72" s="70"/>
      <c r="DA72" s="70"/>
      <c r="DB72" s="70">
        <v>11</v>
      </c>
      <c r="DC72" s="70"/>
    </row>
    <row r="73" spans="1:107" s="578" customFormat="1" ht="103.5" hidden="1" customHeight="1" x14ac:dyDescent="0.2">
      <c r="A73" s="726">
        <v>11700</v>
      </c>
      <c r="B73" s="632" t="s">
        <v>14</v>
      </c>
      <c r="C73" s="570" t="s">
        <v>507</v>
      </c>
      <c r="D73" s="654"/>
      <c r="E73" s="654"/>
      <c r="F73" s="654" t="s">
        <v>1020</v>
      </c>
      <c r="G73" s="654"/>
      <c r="H73" s="654"/>
      <c r="I73" s="654" t="s">
        <v>1020</v>
      </c>
      <c r="J73" s="654"/>
      <c r="K73" s="654"/>
      <c r="L73" s="654" t="s">
        <v>1020</v>
      </c>
      <c r="M73" s="654"/>
      <c r="N73" s="654"/>
      <c r="O73" s="654"/>
      <c r="P73" s="654"/>
      <c r="Q73" s="636" t="s">
        <v>204</v>
      </c>
      <c r="R73" s="636" t="s">
        <v>204</v>
      </c>
      <c r="S73" s="638" t="s">
        <v>238</v>
      </c>
      <c r="T73" s="636" t="s">
        <v>94</v>
      </c>
      <c r="U73" s="636" t="s">
        <v>204</v>
      </c>
      <c r="V73" s="636" t="s">
        <v>204</v>
      </c>
      <c r="W73" s="637" t="s">
        <v>774</v>
      </c>
      <c r="X73" s="632" t="s">
        <v>503</v>
      </c>
      <c r="Y73" s="595" t="s">
        <v>408</v>
      </c>
      <c r="Z73" s="589">
        <v>1</v>
      </c>
      <c r="AA73" s="858" t="s">
        <v>771</v>
      </c>
      <c r="AB73" s="853" t="s">
        <v>750</v>
      </c>
      <c r="AC73" s="873">
        <v>20000000</v>
      </c>
      <c r="AD73" s="832">
        <v>1</v>
      </c>
      <c r="AE73" s="827" t="s">
        <v>16</v>
      </c>
      <c r="AF73" s="827" t="s">
        <v>21</v>
      </c>
      <c r="AG73" s="827" t="s">
        <v>204</v>
      </c>
      <c r="AH73" s="827" t="s">
        <v>635</v>
      </c>
      <c r="AI73" s="827" t="s">
        <v>77</v>
      </c>
      <c r="AJ73" s="827" t="s">
        <v>1289</v>
      </c>
      <c r="AK73" s="853" t="s">
        <v>504</v>
      </c>
      <c r="AL73" s="827" t="s">
        <v>43</v>
      </c>
      <c r="AM73" s="593">
        <v>1</v>
      </c>
      <c r="AN73" s="853" t="str">
        <f t="shared" si="101"/>
        <v>Elaborar el profesiograma de los servidores públicos de ADRES</v>
      </c>
      <c r="AO73" s="861">
        <f t="shared" ref="AO73:AO80" si="135">+AC73</f>
        <v>20000000</v>
      </c>
      <c r="AP73" s="860" t="s">
        <v>46</v>
      </c>
      <c r="AQ73" s="858">
        <v>0</v>
      </c>
      <c r="AR73" s="853" t="str">
        <f t="shared" si="118"/>
        <v>Elaborar el profesiograma de los servidores públicos de ADRES</v>
      </c>
      <c r="AS73" s="859">
        <v>0</v>
      </c>
      <c r="AT73" s="858">
        <v>0</v>
      </c>
      <c r="AU73" s="859">
        <v>0</v>
      </c>
      <c r="AV73" s="856" t="e">
        <f t="shared" si="119"/>
        <v>#DIV/0!</v>
      </c>
      <c r="AW73" s="856" t="e">
        <f>+(AU73/AS73)</f>
        <v>#DIV/0!</v>
      </c>
      <c r="AX73" s="856">
        <f t="shared" si="120"/>
        <v>0</v>
      </c>
      <c r="AY73" s="856">
        <f>+(AU73/AO73)</f>
        <v>0</v>
      </c>
      <c r="AZ73" s="594" t="s">
        <v>1334</v>
      </c>
      <c r="BA73" s="858">
        <v>0</v>
      </c>
      <c r="BB73" s="853" t="str">
        <f t="shared" si="121"/>
        <v>Elaborar el profesiograma de los servidores públicos de ADRES</v>
      </c>
      <c r="BC73" s="859">
        <v>0</v>
      </c>
      <c r="BD73" s="572">
        <v>0</v>
      </c>
      <c r="BE73" s="859">
        <v>0</v>
      </c>
      <c r="BF73" s="856" t="e">
        <f t="shared" si="122"/>
        <v>#DIV/0!</v>
      </c>
      <c r="BG73" s="856" t="e">
        <f>+(BE73/BC73)</f>
        <v>#DIV/0!</v>
      </c>
      <c r="BH73" s="856">
        <f t="shared" si="123"/>
        <v>0</v>
      </c>
      <c r="BI73" s="856">
        <f>+(BE73+AU73)/AO73</f>
        <v>0</v>
      </c>
      <c r="BJ73" s="745" t="s">
        <v>1637</v>
      </c>
      <c r="BK73" s="858">
        <v>0</v>
      </c>
      <c r="BL73" s="853" t="str">
        <f t="shared" si="124"/>
        <v>Elaborar el profesiograma de los servidores públicos de ADRES</v>
      </c>
      <c r="BM73" s="859">
        <v>0</v>
      </c>
      <c r="BN73" s="1009">
        <v>0</v>
      </c>
      <c r="BO73" s="1007"/>
      <c r="BP73" s="856" t="e">
        <f t="shared" si="125"/>
        <v>#DIV/0!</v>
      </c>
      <c r="BQ73" s="856" t="e">
        <f>+(BO73/BM73)</f>
        <v>#DIV/0!</v>
      </c>
      <c r="BR73" s="856">
        <f t="shared" si="126"/>
        <v>0</v>
      </c>
      <c r="BS73" s="856">
        <f>+(BE73+AU73+BO73)/AO73</f>
        <v>0</v>
      </c>
      <c r="BT73" s="1012" t="s">
        <v>1637</v>
      </c>
      <c r="BU73" s="589">
        <v>1</v>
      </c>
      <c r="BV73" s="853" t="str">
        <f t="shared" si="127"/>
        <v>Elaborar el profesiograma de los servidores públicos de ADRES</v>
      </c>
      <c r="BW73" s="859">
        <f>+AO73</f>
        <v>20000000</v>
      </c>
      <c r="BX73" s="858"/>
      <c r="BY73" s="858"/>
      <c r="BZ73" s="863">
        <f t="shared" si="128"/>
        <v>0</v>
      </c>
      <c r="CA73" s="863">
        <f>+(BY73/BW73)</f>
        <v>0</v>
      </c>
      <c r="CB73" s="863">
        <f t="shared" si="129"/>
        <v>0</v>
      </c>
      <c r="CC73" s="863">
        <f>+(BE73+AU73+BO73+BY73)/AO73</f>
        <v>0</v>
      </c>
      <c r="CD73" s="863"/>
      <c r="CE73" s="642" t="str">
        <f t="shared" si="130"/>
        <v>No Prog ni Ejec</v>
      </c>
      <c r="CF73" s="642" t="str">
        <f>IF(AND(AS73=0,AU73=0),"No Prog ni Ejec",IF(AS73=0,CONCATENATE("No Prog, Ejec=  ",AU73),AU73/AS73))</f>
        <v>No Prog ni Ejec</v>
      </c>
      <c r="CG73" s="642" t="str">
        <f t="shared" si="131"/>
        <v>No Prog ni Ejec</v>
      </c>
      <c r="CH73" s="642" t="str">
        <f>IF(AND(BC73=0,BE73=0),"No Prog ni Ejec",IF(BC73=0,CONCATENATE("No Prog, Ejec=  ",BE73),BE73/BC73))</f>
        <v>No Prog ni Ejec</v>
      </c>
      <c r="CI73" s="642" t="str">
        <f t="shared" si="132"/>
        <v>No Prog ni Ejec</v>
      </c>
      <c r="CJ73" s="642" t="str">
        <f>IF(AND(BM73=0,BO73=0),"No Prog ni Ejec",IF(BM73=0,CONCATENATE("No Prog, Ejec=  ",BO73),BO73/BM73))</f>
        <v>No Prog ni Ejec</v>
      </c>
      <c r="CK73" s="642">
        <f t="shared" si="133"/>
        <v>0</v>
      </c>
      <c r="CL73" s="762">
        <f>IF(AND(BW73=0,BY73=0),"No Prog ni Ejec",IF(BW73=0,CONCATENATE("No Prog, Ejec=  ",BY73),BY73/BW73))</f>
        <v>0</v>
      </c>
      <c r="CM73" s="577">
        <f t="shared" si="134"/>
        <v>0</v>
      </c>
      <c r="CR73" s="70"/>
      <c r="CS73" s="70"/>
      <c r="CT73" s="70"/>
      <c r="CU73" s="70"/>
      <c r="CV73" s="70"/>
      <c r="CW73" s="70"/>
      <c r="CX73" s="70"/>
      <c r="CY73" s="70">
        <v>8</v>
      </c>
      <c r="CZ73" s="70"/>
      <c r="DA73" s="70"/>
      <c r="DB73" s="70">
        <v>11</v>
      </c>
      <c r="DC73" s="70"/>
    </row>
    <row r="74" spans="1:107" s="70" customFormat="1" ht="98.25" customHeight="1" x14ac:dyDescent="0.2">
      <c r="A74" s="697">
        <v>11700</v>
      </c>
      <c r="B74" s="636" t="s">
        <v>14</v>
      </c>
      <c r="C74" s="654" t="s">
        <v>507</v>
      </c>
      <c r="D74" s="654"/>
      <c r="E74" s="654"/>
      <c r="F74" s="654" t="s">
        <v>1020</v>
      </c>
      <c r="G74" s="654"/>
      <c r="H74" s="654"/>
      <c r="I74" s="654" t="s">
        <v>1020</v>
      </c>
      <c r="J74" s="654"/>
      <c r="K74" s="654"/>
      <c r="L74" s="654" t="s">
        <v>1020</v>
      </c>
      <c r="M74" s="654"/>
      <c r="N74" s="654"/>
      <c r="O74" s="654"/>
      <c r="P74" s="654"/>
      <c r="Q74" s="636" t="s">
        <v>204</v>
      </c>
      <c r="R74" s="636" t="s">
        <v>204</v>
      </c>
      <c r="S74" s="638" t="s">
        <v>238</v>
      </c>
      <c r="T74" s="636" t="s">
        <v>94</v>
      </c>
      <c r="U74" s="636" t="s">
        <v>204</v>
      </c>
      <c r="V74" s="636" t="s">
        <v>204</v>
      </c>
      <c r="W74" s="638" t="s">
        <v>775</v>
      </c>
      <c r="X74" s="636" t="s">
        <v>751</v>
      </c>
      <c r="Y74" s="60" t="s">
        <v>408</v>
      </c>
      <c r="Z74" s="66">
        <v>2</v>
      </c>
      <c r="AA74" s="835" t="s">
        <v>772</v>
      </c>
      <c r="AB74" s="827" t="s">
        <v>1551</v>
      </c>
      <c r="AC74" s="872">
        <v>26000000</v>
      </c>
      <c r="AD74" s="832">
        <v>1</v>
      </c>
      <c r="AE74" s="827" t="s">
        <v>16</v>
      </c>
      <c r="AF74" s="827" t="s">
        <v>21</v>
      </c>
      <c r="AG74" s="827" t="s">
        <v>204</v>
      </c>
      <c r="AH74" s="827" t="s">
        <v>635</v>
      </c>
      <c r="AI74" s="827" t="s">
        <v>77</v>
      </c>
      <c r="AJ74" s="827" t="s">
        <v>1289</v>
      </c>
      <c r="AK74" s="827" t="s">
        <v>508</v>
      </c>
      <c r="AL74" s="827" t="s">
        <v>43</v>
      </c>
      <c r="AM74" s="835">
        <v>2</v>
      </c>
      <c r="AN74" s="827" t="str">
        <f>+AB74</f>
        <v>Realizar estudios de iluminación, ruido y temperatura con el fin de valorar el riesgo a los cuales están expuestos los servidores públicos que laboran en ADRES y establecer los controles necesarios.</v>
      </c>
      <c r="AO74" s="833">
        <f t="shared" si="135"/>
        <v>26000000</v>
      </c>
      <c r="AP74" s="860" t="s">
        <v>46</v>
      </c>
      <c r="AQ74" s="835">
        <v>0</v>
      </c>
      <c r="AR74" s="827" t="str">
        <f t="shared" si="118"/>
        <v>Realizar estudios de iluminación, ruido y temperatura con el fin de valorar el riesgo a los cuales están expuestos los servidores públicos que laboran en ADRES y establecer los controles necesarios.</v>
      </c>
      <c r="AS74" s="831">
        <v>0</v>
      </c>
      <c r="AT74" s="835">
        <v>0</v>
      </c>
      <c r="AU74" s="831">
        <v>0</v>
      </c>
      <c r="AV74" s="828" t="e">
        <f t="shared" si="119"/>
        <v>#DIV/0!</v>
      </c>
      <c r="AW74" s="828" t="e">
        <f>+(AU74/AS74)</f>
        <v>#DIV/0!</v>
      </c>
      <c r="AX74" s="828">
        <f t="shared" si="120"/>
        <v>0</v>
      </c>
      <c r="AY74" s="828">
        <f>+(AU74/AO74)</f>
        <v>0</v>
      </c>
      <c r="AZ74" s="499" t="s">
        <v>1334</v>
      </c>
      <c r="BA74" s="835">
        <v>0</v>
      </c>
      <c r="BB74" s="827" t="str">
        <f t="shared" si="121"/>
        <v>Realizar estudios de iluminación, ruido y temperatura con el fin de valorar el riesgo a los cuales están expuestos los servidores públicos que laboran en ADRES y establecer los controles necesarios.</v>
      </c>
      <c r="BC74" s="831">
        <v>0</v>
      </c>
      <c r="BD74" s="838">
        <v>0</v>
      </c>
      <c r="BE74" s="831">
        <v>0</v>
      </c>
      <c r="BF74" s="828" t="e">
        <f t="shared" si="122"/>
        <v>#DIV/0!</v>
      </c>
      <c r="BG74" s="828" t="e">
        <f>+(BE74/BC74)</f>
        <v>#DIV/0!</v>
      </c>
      <c r="BH74" s="828">
        <f t="shared" si="123"/>
        <v>0</v>
      </c>
      <c r="BI74" s="828">
        <f>+(BE74+AU74)/AO74</f>
        <v>0</v>
      </c>
      <c r="BJ74" s="829" t="s">
        <v>1638</v>
      </c>
      <c r="BK74" s="835">
        <v>2</v>
      </c>
      <c r="BL74" s="827" t="str">
        <f t="shared" si="124"/>
        <v>Realizar estudios de iluminación, ruido y temperatura con el fin de valorar el riesgo a los cuales están expuestos los servidores públicos que laboran en ADRES y establecer los controles necesarios.</v>
      </c>
      <c r="BM74" s="831">
        <f>+AO74</f>
        <v>26000000</v>
      </c>
      <c r="BN74" s="998">
        <v>0</v>
      </c>
      <c r="BO74" s="995">
        <v>0</v>
      </c>
      <c r="BP74" s="828">
        <f t="shared" si="125"/>
        <v>0</v>
      </c>
      <c r="BQ74" s="828">
        <f>+(BO74/BM74)</f>
        <v>0</v>
      </c>
      <c r="BR74" s="828">
        <f t="shared" si="126"/>
        <v>0</v>
      </c>
      <c r="BS74" s="828">
        <f>+(BE74+AU74+BO74)/AO74</f>
        <v>0</v>
      </c>
      <c r="BT74" s="997" t="s">
        <v>1901</v>
      </c>
      <c r="BU74" s="66">
        <v>0</v>
      </c>
      <c r="BV74" s="827" t="str">
        <f t="shared" si="127"/>
        <v>Realizar estudios de iluminación, ruido y temperatura con el fin de valorar el riesgo a los cuales están expuestos los servidores públicos que laboran en ADRES y establecer los controles necesarios.</v>
      </c>
      <c r="BW74" s="831">
        <v>0</v>
      </c>
      <c r="BX74" s="835"/>
      <c r="BY74" s="835"/>
      <c r="BZ74" s="826" t="e">
        <f t="shared" si="128"/>
        <v>#DIV/0!</v>
      </c>
      <c r="CA74" s="826" t="e">
        <f>+(BY74/BW74)</f>
        <v>#DIV/0!</v>
      </c>
      <c r="CB74" s="826">
        <f t="shared" si="129"/>
        <v>0</v>
      </c>
      <c r="CC74" s="826">
        <f>+(BE74+AU74+BO74+BY74)/AO74</f>
        <v>0</v>
      </c>
      <c r="CD74" s="826"/>
      <c r="CE74" s="640" t="str">
        <f t="shared" si="130"/>
        <v>No Prog ni Ejec</v>
      </c>
      <c r="CF74" s="640" t="str">
        <f>IF(AND(AS74=0,AU74=0),"No Prog ni Ejec",IF(AS74=0,CONCATENATE("No Prog, Ejec=  ",AU74),AU74/AS74))</f>
        <v>No Prog ni Ejec</v>
      </c>
      <c r="CG74" s="640" t="str">
        <f t="shared" si="131"/>
        <v>No Prog ni Ejec</v>
      </c>
      <c r="CH74" s="640" t="str">
        <f>IF(AND(BC74=0,BE74=0),"No Prog ni Ejec",IF(BC74=0,CONCATENATE("No Prog, Ejec=  ",BE74),BE74/BC74))</f>
        <v>No Prog ni Ejec</v>
      </c>
      <c r="CI74" s="640">
        <f t="shared" si="132"/>
        <v>0</v>
      </c>
      <c r="CJ74" s="640">
        <f>IF(AND(BM74=0,BO74=0),"No Prog ni Ejec",IF(BM74=0,CONCATENATE("No Prog, Ejec=  ",BO74),BO74/BM74))</f>
        <v>0</v>
      </c>
      <c r="CK74" s="640" t="str">
        <f t="shared" si="133"/>
        <v>No Prog ni Ejec</v>
      </c>
      <c r="CL74" s="698" t="str">
        <f>IF(AND(BW74=0,BY74=0),"No Prog ni Ejec",IF(BW74=0,CONCATENATE("No Prog, Ejec=  ",BY74),BY74/BW74))</f>
        <v>No Prog ni Ejec</v>
      </c>
      <c r="CM74" s="128">
        <f t="shared" si="134"/>
        <v>0</v>
      </c>
      <c r="CY74" s="70">
        <v>8</v>
      </c>
      <c r="DB74" s="70">
        <v>11</v>
      </c>
    </row>
    <row r="75" spans="1:107" s="70" customFormat="1" ht="110.25" customHeight="1" x14ac:dyDescent="0.2">
      <c r="A75" s="697">
        <v>11700</v>
      </c>
      <c r="B75" s="636" t="s">
        <v>14</v>
      </c>
      <c r="C75" s="654" t="s">
        <v>507</v>
      </c>
      <c r="D75" s="654"/>
      <c r="E75" s="654"/>
      <c r="F75" s="654" t="s">
        <v>1020</v>
      </c>
      <c r="G75" s="654"/>
      <c r="H75" s="654"/>
      <c r="I75" s="654" t="s">
        <v>1020</v>
      </c>
      <c r="J75" s="654"/>
      <c r="K75" s="654"/>
      <c r="L75" s="654" t="s">
        <v>1020</v>
      </c>
      <c r="M75" s="654"/>
      <c r="N75" s="654"/>
      <c r="O75" s="654"/>
      <c r="P75" s="654"/>
      <c r="Q75" s="636" t="s">
        <v>204</v>
      </c>
      <c r="R75" s="636" t="s">
        <v>204</v>
      </c>
      <c r="S75" s="638" t="s">
        <v>238</v>
      </c>
      <c r="T75" s="636" t="s">
        <v>94</v>
      </c>
      <c r="U75" s="636" t="s">
        <v>204</v>
      </c>
      <c r="V75" s="636" t="s">
        <v>204</v>
      </c>
      <c r="W75" s="638" t="s">
        <v>776</v>
      </c>
      <c r="X75" s="636" t="s">
        <v>505</v>
      </c>
      <c r="Y75" s="650" t="s">
        <v>51</v>
      </c>
      <c r="Z75" s="826">
        <v>1</v>
      </c>
      <c r="AA75" s="835" t="s">
        <v>773</v>
      </c>
      <c r="AB75" s="827" t="s">
        <v>752</v>
      </c>
      <c r="AC75" s="872">
        <v>40000000</v>
      </c>
      <c r="AD75" s="832">
        <v>1</v>
      </c>
      <c r="AE75" s="827" t="s">
        <v>16</v>
      </c>
      <c r="AF75" s="827" t="s">
        <v>21</v>
      </c>
      <c r="AG75" s="827" t="s">
        <v>204</v>
      </c>
      <c r="AH75" s="827" t="s">
        <v>635</v>
      </c>
      <c r="AI75" s="827" t="s">
        <v>77</v>
      </c>
      <c r="AJ75" s="827" t="s">
        <v>1289</v>
      </c>
      <c r="AK75" s="827" t="s">
        <v>506</v>
      </c>
      <c r="AL75" s="827" t="s">
        <v>43</v>
      </c>
      <c r="AM75" s="826">
        <v>1</v>
      </c>
      <c r="AN75" s="827" t="str">
        <f>+AB75</f>
        <v>Poner a disposición de los funcionarios de la ADRES, elementos ergonómicos</v>
      </c>
      <c r="AO75" s="833">
        <f t="shared" si="135"/>
        <v>40000000</v>
      </c>
      <c r="AP75" s="860" t="s">
        <v>46</v>
      </c>
      <c r="AQ75" s="832">
        <v>0</v>
      </c>
      <c r="AR75" s="827" t="str">
        <f t="shared" si="118"/>
        <v>Poner a disposición de los funcionarios de la ADRES, elementos ergonómicos</v>
      </c>
      <c r="AS75" s="831">
        <v>0</v>
      </c>
      <c r="AT75" s="832">
        <v>0</v>
      </c>
      <c r="AU75" s="831">
        <v>0</v>
      </c>
      <c r="AV75" s="828" t="e">
        <f t="shared" si="119"/>
        <v>#DIV/0!</v>
      </c>
      <c r="AW75" s="828" t="e">
        <f>+(AU75/AS75)</f>
        <v>#DIV/0!</v>
      </c>
      <c r="AX75" s="828">
        <f t="shared" si="120"/>
        <v>0</v>
      </c>
      <c r="AY75" s="828">
        <f>+(AU75/AO75)</f>
        <v>0</v>
      </c>
      <c r="AZ75" s="499" t="s">
        <v>1334</v>
      </c>
      <c r="BA75" s="832">
        <v>0</v>
      </c>
      <c r="BB75" s="827" t="str">
        <f t="shared" si="121"/>
        <v>Poner a disposición de los funcionarios de la ADRES, elementos ergonómicos</v>
      </c>
      <c r="BC75" s="831">
        <v>0</v>
      </c>
      <c r="BD75" s="838">
        <v>0</v>
      </c>
      <c r="BE75" s="831">
        <v>0</v>
      </c>
      <c r="BF75" s="828" t="e">
        <f t="shared" si="122"/>
        <v>#DIV/0!</v>
      </c>
      <c r="BG75" s="828" t="e">
        <f>+(BE75/BC75)</f>
        <v>#DIV/0!</v>
      </c>
      <c r="BH75" s="828">
        <f t="shared" si="123"/>
        <v>0</v>
      </c>
      <c r="BI75" s="828">
        <f>+(BE75+AU75)/AO75</f>
        <v>0</v>
      </c>
      <c r="BJ75" s="830" t="s">
        <v>1378</v>
      </c>
      <c r="BK75" s="832">
        <v>0</v>
      </c>
      <c r="BL75" s="827" t="str">
        <f t="shared" si="124"/>
        <v>Poner a disposición de los funcionarios de la ADRES, elementos ergonómicos</v>
      </c>
      <c r="BM75" s="831">
        <v>0</v>
      </c>
      <c r="BN75" s="998">
        <v>0</v>
      </c>
      <c r="BO75" s="995">
        <v>0</v>
      </c>
      <c r="BP75" s="828" t="e">
        <f t="shared" si="125"/>
        <v>#DIV/0!</v>
      </c>
      <c r="BQ75" s="828" t="e">
        <f>+(BO75/BM75)</f>
        <v>#DIV/0!</v>
      </c>
      <c r="BR75" s="828">
        <f t="shared" si="126"/>
        <v>0</v>
      </c>
      <c r="BS75" s="828">
        <f>+(BE75+AU75+BO75)/AO75</f>
        <v>0</v>
      </c>
      <c r="BT75" s="159" t="s">
        <v>1902</v>
      </c>
      <c r="BU75" s="832">
        <v>1</v>
      </c>
      <c r="BV75" s="827" t="str">
        <f t="shared" si="127"/>
        <v>Poner a disposición de los funcionarios de la ADRES, elementos ergonómicos</v>
      </c>
      <c r="BW75" s="831">
        <f>+AO75</f>
        <v>40000000</v>
      </c>
      <c r="BX75" s="835"/>
      <c r="BY75" s="835"/>
      <c r="BZ75" s="826">
        <f t="shared" si="128"/>
        <v>0</v>
      </c>
      <c r="CA75" s="826">
        <f>+(BY75/BW75)</f>
        <v>0</v>
      </c>
      <c r="CB75" s="826">
        <f t="shared" si="129"/>
        <v>0</v>
      </c>
      <c r="CC75" s="826">
        <f>+(BE75+AU75+BO75+BY75)/AO75</f>
        <v>0</v>
      </c>
      <c r="CD75" s="826"/>
      <c r="CE75" s="640" t="str">
        <f t="shared" si="130"/>
        <v>No Prog ni Ejec</v>
      </c>
      <c r="CF75" s="640" t="str">
        <f>IF(AND(AS75=0,AU75=0),"No Prog ni Ejec",IF(AS75=0,CONCATENATE("No Prog, Ejec=  ",AU75),AU75/AS75))</f>
        <v>No Prog ni Ejec</v>
      </c>
      <c r="CG75" s="640" t="str">
        <f t="shared" si="131"/>
        <v>No Prog ni Ejec</v>
      </c>
      <c r="CH75" s="640" t="str">
        <f>IF(AND(BC75=0,BE75=0),"No Prog ni Ejec",IF(BC75=0,CONCATENATE("No Prog, Ejec=  ",BE75),BE75/BC75))</f>
        <v>No Prog ni Ejec</v>
      </c>
      <c r="CI75" s="640" t="str">
        <f t="shared" si="132"/>
        <v>No Prog ni Ejec</v>
      </c>
      <c r="CJ75" s="640" t="str">
        <f>IF(AND(BM75=0,BO75=0),"No Prog ni Ejec",IF(BM75=0,CONCATENATE("No Prog, Ejec=  ",BO75),BO75/BM75))</f>
        <v>No Prog ni Ejec</v>
      </c>
      <c r="CK75" s="640">
        <f t="shared" si="133"/>
        <v>0</v>
      </c>
      <c r="CL75" s="698">
        <f>IF(AND(BW75=0,BY75=0),"No Prog ni Ejec",IF(BW75=0,CONCATENATE("No Prog, Ejec=  ",BY75),BY75/BW75))</f>
        <v>0</v>
      </c>
      <c r="CM75" s="128">
        <f t="shared" si="134"/>
        <v>0</v>
      </c>
      <c r="CY75" s="70">
        <v>8</v>
      </c>
      <c r="DB75" s="70">
        <v>11</v>
      </c>
    </row>
    <row r="76" spans="1:107" s="70" customFormat="1" ht="105.75" customHeight="1" x14ac:dyDescent="0.2">
      <c r="A76" s="697">
        <v>11700</v>
      </c>
      <c r="B76" s="636" t="s">
        <v>14</v>
      </c>
      <c r="C76" s="654" t="s">
        <v>502</v>
      </c>
      <c r="D76" s="654"/>
      <c r="E76" s="654"/>
      <c r="F76" s="654" t="s">
        <v>1020</v>
      </c>
      <c r="G76" s="654" t="s">
        <v>1020</v>
      </c>
      <c r="H76" s="654"/>
      <c r="I76" s="654"/>
      <c r="J76" s="654"/>
      <c r="K76" s="654"/>
      <c r="L76" s="654" t="s">
        <v>1020</v>
      </c>
      <c r="M76" s="654"/>
      <c r="N76" s="654"/>
      <c r="O76" s="654"/>
      <c r="P76" s="654"/>
      <c r="Q76" s="636" t="s">
        <v>204</v>
      </c>
      <c r="R76" s="636" t="s">
        <v>204</v>
      </c>
      <c r="S76" s="638" t="s">
        <v>238</v>
      </c>
      <c r="T76" s="636" t="s">
        <v>94</v>
      </c>
      <c r="U76" s="636" t="s">
        <v>204</v>
      </c>
      <c r="V76" s="636" t="s">
        <v>204</v>
      </c>
      <c r="W76" s="638" t="s">
        <v>796</v>
      </c>
      <c r="X76" s="636" t="s">
        <v>753</v>
      </c>
      <c r="Y76" s="60" t="s">
        <v>408</v>
      </c>
      <c r="Z76" s="870">
        <v>1</v>
      </c>
      <c r="AA76" s="835" t="s">
        <v>786</v>
      </c>
      <c r="AB76" s="827" t="s">
        <v>777</v>
      </c>
      <c r="AC76" s="833">
        <v>0</v>
      </c>
      <c r="AD76" s="832">
        <v>1</v>
      </c>
      <c r="AE76" s="827" t="s">
        <v>16</v>
      </c>
      <c r="AF76" s="827" t="s">
        <v>21</v>
      </c>
      <c r="AG76" s="827" t="s">
        <v>204</v>
      </c>
      <c r="AH76" s="827" t="s">
        <v>635</v>
      </c>
      <c r="AI76" s="827" t="s">
        <v>77</v>
      </c>
      <c r="AJ76" s="827" t="s">
        <v>1290</v>
      </c>
      <c r="AK76" s="827" t="s">
        <v>783</v>
      </c>
      <c r="AL76" s="827" t="s">
        <v>43</v>
      </c>
      <c r="AM76" s="870">
        <v>1</v>
      </c>
      <c r="AN76" s="827" t="str">
        <f t="shared" ref="AN76:AN77" si="136">+AB76</f>
        <v>Actualizar a los funcionarios en la normatividad vigente, referente a las reglas de cada subsistema y sus interrelaciones en el sistema de seguridad social, para dar cumplimiento a la misión de la entidad</v>
      </c>
      <c r="AO76" s="833">
        <f t="shared" si="135"/>
        <v>0</v>
      </c>
      <c r="AP76" s="860" t="s">
        <v>46</v>
      </c>
      <c r="AQ76" s="870">
        <v>0</v>
      </c>
      <c r="AR76" s="827" t="str">
        <f t="shared" si="118"/>
        <v>Actualizar a los funcionarios en la normatividad vigente, referente a las reglas de cada subsistema y sus interrelaciones en el sistema de seguridad social, para dar cumplimiento a la misión de la entidad</v>
      </c>
      <c r="AS76" s="872">
        <v>0</v>
      </c>
      <c r="AT76" s="835">
        <v>0</v>
      </c>
      <c r="AU76" s="831">
        <v>0</v>
      </c>
      <c r="AV76" s="828" t="e">
        <f t="shared" si="119"/>
        <v>#DIV/0!</v>
      </c>
      <c r="AW76" s="828" t="e">
        <f>+(AU76/AS76)</f>
        <v>#DIV/0!</v>
      </c>
      <c r="AX76" s="828">
        <f t="shared" si="120"/>
        <v>0</v>
      </c>
      <c r="AY76" s="828" t="e">
        <f>+(AU76/AO76)</f>
        <v>#DIV/0!</v>
      </c>
      <c r="AZ76" s="499" t="s">
        <v>1334</v>
      </c>
      <c r="BA76" s="870">
        <v>1</v>
      </c>
      <c r="BB76" s="827" t="str">
        <f t="shared" si="121"/>
        <v>Actualizar a los funcionarios en la normatividad vigente, referente a las reglas de cada subsistema y sus interrelaciones en el sistema de seguridad social, para dar cumplimiento a la misión de la entidad</v>
      </c>
      <c r="BC76" s="831">
        <f>+AO76</f>
        <v>0</v>
      </c>
      <c r="BD76" s="838">
        <v>0</v>
      </c>
      <c r="BE76" s="831">
        <v>0</v>
      </c>
      <c r="BF76" s="828">
        <f t="shared" si="122"/>
        <v>0</v>
      </c>
      <c r="BG76" s="828" t="e">
        <f>+(BE76/BC76)</f>
        <v>#DIV/0!</v>
      </c>
      <c r="BH76" s="828">
        <f t="shared" si="123"/>
        <v>0</v>
      </c>
      <c r="BI76" s="828" t="e">
        <f>+(BE76+AU76)/AO76</f>
        <v>#DIV/0!</v>
      </c>
      <c r="BJ76" s="829" t="s">
        <v>1639</v>
      </c>
      <c r="BK76" s="870">
        <v>0</v>
      </c>
      <c r="BL76" s="827" t="str">
        <f t="shared" si="124"/>
        <v>Actualizar a los funcionarios en la normatividad vigente, referente a las reglas de cada subsistema y sus interrelaciones en el sistema de seguridad social, para dar cumplimiento a la misión de la entidad</v>
      </c>
      <c r="BM76" s="831">
        <v>0</v>
      </c>
      <c r="BN76" s="998">
        <v>0</v>
      </c>
      <c r="BO76" s="995">
        <v>0</v>
      </c>
      <c r="BP76" s="828" t="e">
        <f t="shared" si="125"/>
        <v>#DIV/0!</v>
      </c>
      <c r="BQ76" s="828" t="e">
        <f>+(BO76/BM76)</f>
        <v>#DIV/0!</v>
      </c>
      <c r="BR76" s="828">
        <f t="shared" si="126"/>
        <v>0</v>
      </c>
      <c r="BS76" s="828" t="e">
        <f>+(BE76+AU76+BO76)/AO76</f>
        <v>#DIV/0!</v>
      </c>
      <c r="BT76" s="997" t="s">
        <v>1903</v>
      </c>
      <c r="BU76" s="870">
        <v>0</v>
      </c>
      <c r="BV76" s="827" t="str">
        <f t="shared" si="127"/>
        <v>Actualizar a los funcionarios en la normatividad vigente, referente a las reglas de cada subsistema y sus interrelaciones en el sistema de seguridad social, para dar cumplimiento a la misión de la entidad</v>
      </c>
      <c r="BW76" s="831">
        <v>0</v>
      </c>
      <c r="BX76" s="835"/>
      <c r="BY76" s="835"/>
      <c r="BZ76" s="826" t="e">
        <f t="shared" si="128"/>
        <v>#DIV/0!</v>
      </c>
      <c r="CA76" s="826" t="e">
        <f>+(BY76/BW76)</f>
        <v>#DIV/0!</v>
      </c>
      <c r="CB76" s="826">
        <f t="shared" si="129"/>
        <v>0</v>
      </c>
      <c r="CC76" s="826" t="e">
        <f>+(BE76+AU76+BO76+BY76)/AO76</f>
        <v>#DIV/0!</v>
      </c>
      <c r="CD76" s="826"/>
      <c r="CE76" s="640" t="str">
        <f t="shared" si="130"/>
        <v>No Prog ni Ejec</v>
      </c>
      <c r="CF76" s="640" t="str">
        <f>IF(AND(AS76=0,AU76=0),"No Prog ni Ejec",IF(AS76=0,CONCATENATE("No Prog, Ejec=  ",AU76),AU76/AS76))</f>
        <v>No Prog ni Ejec</v>
      </c>
      <c r="CG76" s="640">
        <f t="shared" si="131"/>
        <v>0</v>
      </c>
      <c r="CH76" s="640" t="str">
        <f>IF(AND(BC76=0,BE76=0),"No Prog ni Ejec",IF(BC76=0,CONCATENATE("No Prog, Ejec=  ",BE76),BE76/BC76))</f>
        <v>No Prog ni Ejec</v>
      </c>
      <c r="CI76" s="640" t="str">
        <f t="shared" si="132"/>
        <v>No Prog ni Ejec</v>
      </c>
      <c r="CJ76" s="640" t="str">
        <f>IF(AND(BM76=0,BO76=0),"No Prog ni Ejec",IF(BM76=0,CONCATENATE("No Prog, Ejec=  ",BO76),BO76/BM76))</f>
        <v>No Prog ni Ejec</v>
      </c>
      <c r="CK76" s="640" t="str">
        <f t="shared" si="133"/>
        <v>No Prog ni Ejec</v>
      </c>
      <c r="CL76" s="698" t="str">
        <f>IF(AND(BW76=0,BY76=0),"No Prog ni Ejec",IF(BW76=0,CONCATENATE("No Prog, Ejec=  ",BY76),BY76/BW76))</f>
        <v>No Prog ni Ejec</v>
      </c>
      <c r="CM76" s="128">
        <f t="shared" si="134"/>
        <v>0</v>
      </c>
      <c r="CU76" s="70">
        <v>4</v>
      </c>
    </row>
    <row r="77" spans="1:107" s="70" customFormat="1" ht="112.5" customHeight="1" x14ac:dyDescent="0.2">
      <c r="A77" s="697">
        <v>11700</v>
      </c>
      <c r="B77" s="636" t="s">
        <v>14</v>
      </c>
      <c r="C77" s="654" t="s">
        <v>502</v>
      </c>
      <c r="D77" s="654"/>
      <c r="E77" s="654"/>
      <c r="F77" s="654" t="s">
        <v>1020</v>
      </c>
      <c r="G77" s="654" t="s">
        <v>1020</v>
      </c>
      <c r="H77" s="654"/>
      <c r="I77" s="654"/>
      <c r="J77" s="654"/>
      <c r="K77" s="654"/>
      <c r="L77" s="654" t="s">
        <v>1020</v>
      </c>
      <c r="M77" s="654"/>
      <c r="N77" s="654"/>
      <c r="O77" s="654"/>
      <c r="P77" s="654"/>
      <c r="Q77" s="636" t="s">
        <v>204</v>
      </c>
      <c r="R77" s="636" t="s">
        <v>204</v>
      </c>
      <c r="S77" s="638" t="s">
        <v>238</v>
      </c>
      <c r="T77" s="636" t="s">
        <v>94</v>
      </c>
      <c r="U77" s="636" t="s">
        <v>204</v>
      </c>
      <c r="V77" s="636" t="s">
        <v>204</v>
      </c>
      <c r="W77" s="638" t="s">
        <v>797</v>
      </c>
      <c r="X77" s="636" t="s">
        <v>754</v>
      </c>
      <c r="Y77" s="60" t="s">
        <v>408</v>
      </c>
      <c r="Z77" s="870">
        <v>1</v>
      </c>
      <c r="AA77" s="835" t="s">
        <v>787</v>
      </c>
      <c r="AB77" s="827" t="s">
        <v>778</v>
      </c>
      <c r="AC77" s="833">
        <v>0</v>
      </c>
      <c r="AD77" s="832">
        <v>1</v>
      </c>
      <c r="AE77" s="827" t="s">
        <v>16</v>
      </c>
      <c r="AF77" s="827" t="s">
        <v>21</v>
      </c>
      <c r="AG77" s="827" t="s">
        <v>204</v>
      </c>
      <c r="AH77" s="827" t="s">
        <v>635</v>
      </c>
      <c r="AI77" s="827" t="s">
        <v>77</v>
      </c>
      <c r="AJ77" s="827" t="s">
        <v>1290</v>
      </c>
      <c r="AK77" s="827" t="s">
        <v>783</v>
      </c>
      <c r="AL77" s="827" t="s">
        <v>43</v>
      </c>
      <c r="AM77" s="870">
        <v>1</v>
      </c>
      <c r="AN77" s="827" t="str">
        <f t="shared" si="136"/>
        <v>Fortalecer los conocimientos de los funcionarios referente a los beneficios  económicos y legales al ser servidores públicos.</v>
      </c>
      <c r="AO77" s="833">
        <f t="shared" si="135"/>
        <v>0</v>
      </c>
      <c r="AP77" s="860" t="s">
        <v>46</v>
      </c>
      <c r="AQ77" s="870">
        <v>0</v>
      </c>
      <c r="AR77" s="827" t="str">
        <f t="shared" ref="AR77:AR92" si="137">+AN77</f>
        <v>Fortalecer los conocimientos de los funcionarios referente a los beneficios  económicos y legales al ser servidores públicos.</v>
      </c>
      <c r="AS77" s="872">
        <v>0</v>
      </c>
      <c r="AT77" s="835">
        <v>0</v>
      </c>
      <c r="AU77" s="831">
        <v>0</v>
      </c>
      <c r="AV77" s="828" t="e">
        <f t="shared" ref="AV77:AV93" si="138">+(AT77/AQ77)</f>
        <v>#DIV/0!</v>
      </c>
      <c r="AW77" s="828" t="e">
        <f t="shared" ref="AW77:AW93" si="139">+(AU77/AS77)</f>
        <v>#DIV/0!</v>
      </c>
      <c r="AX77" s="828">
        <f t="shared" ref="AX77:AX93" si="140">+(AT77/AM77)</f>
        <v>0</v>
      </c>
      <c r="AY77" s="828" t="e">
        <f t="shared" ref="AY77:AY93" si="141">+(AU77/AO77)</f>
        <v>#DIV/0!</v>
      </c>
      <c r="AZ77" s="499" t="s">
        <v>1334</v>
      </c>
      <c r="BA77" s="870">
        <v>0</v>
      </c>
      <c r="BB77" s="827" t="str">
        <f t="shared" ref="BB77:BB92" si="142">+AN77</f>
        <v>Fortalecer los conocimientos de los funcionarios referente a los beneficios  económicos y legales al ser servidores públicos.</v>
      </c>
      <c r="BC77" s="831">
        <v>0</v>
      </c>
      <c r="BD77" s="838">
        <v>0</v>
      </c>
      <c r="BE77" s="831">
        <v>0</v>
      </c>
      <c r="BF77" s="828" t="e">
        <f t="shared" ref="BF77:BF93" si="143">+(BD77/BA77)</f>
        <v>#DIV/0!</v>
      </c>
      <c r="BG77" s="828" t="e">
        <f t="shared" ref="BG77:BG93" si="144">+(BE77/BC77)</f>
        <v>#DIV/0!</v>
      </c>
      <c r="BH77" s="828">
        <f t="shared" ref="BH77:BH93" si="145">+(BD77+AT77)/AM77</f>
        <v>0</v>
      </c>
      <c r="BI77" s="828" t="e">
        <f t="shared" ref="BI77:BI93" si="146">+(BE77+AU77)/AO77</f>
        <v>#DIV/0!</v>
      </c>
      <c r="BJ77" s="830" t="s">
        <v>1378</v>
      </c>
      <c r="BK77" s="870">
        <v>1</v>
      </c>
      <c r="BL77" s="827" t="str">
        <f t="shared" ref="BL77:BL92" si="147">+AN77</f>
        <v>Fortalecer los conocimientos de los funcionarios referente a los beneficios  económicos y legales al ser servidores públicos.</v>
      </c>
      <c r="BM77" s="831">
        <f>+AO77</f>
        <v>0</v>
      </c>
      <c r="BN77" s="998">
        <v>1</v>
      </c>
      <c r="BO77" s="995">
        <v>0</v>
      </c>
      <c r="BP77" s="828">
        <f t="shared" ref="BP77:BP93" si="148">+(BN77/BK77)</f>
        <v>1</v>
      </c>
      <c r="BQ77" s="828" t="e">
        <f t="shared" ref="BQ77:BQ93" si="149">+(BO77/BM77)</f>
        <v>#DIV/0!</v>
      </c>
      <c r="BR77" s="828">
        <f t="shared" ref="BR77:BR93" si="150">+(BD77+AT77+BN77)/AM77</f>
        <v>1</v>
      </c>
      <c r="BS77" s="828" t="e">
        <f t="shared" ref="BS77:BS93" si="151">+(BE77+AU77+BO77)/AO77</f>
        <v>#DIV/0!</v>
      </c>
      <c r="BT77" s="997" t="s">
        <v>1904</v>
      </c>
      <c r="BU77" s="870">
        <v>0</v>
      </c>
      <c r="BV77" s="827" t="str">
        <f t="shared" ref="BV77:BV92" si="152">+AN77</f>
        <v>Fortalecer los conocimientos de los funcionarios referente a los beneficios  económicos y legales al ser servidores públicos.</v>
      </c>
      <c r="BW77" s="831">
        <v>0</v>
      </c>
      <c r="BX77" s="835"/>
      <c r="BY77" s="835"/>
      <c r="BZ77" s="826" t="e">
        <f t="shared" ref="BZ77:BZ93" si="153">+(BX77/BU77)</f>
        <v>#DIV/0!</v>
      </c>
      <c r="CA77" s="826" t="e">
        <f t="shared" ref="CA77:CA93" si="154">+(BY77/BW77)</f>
        <v>#DIV/0!</v>
      </c>
      <c r="CB77" s="826">
        <f t="shared" ref="CB77:CB93" si="155">+(BD77+AT77+BN77+BX77)/AM77</f>
        <v>1</v>
      </c>
      <c r="CC77" s="826" t="e">
        <f t="shared" ref="CC77:CC93" si="156">+(BE77+AU77+BO77+BY77)/AO77</f>
        <v>#DIV/0!</v>
      </c>
      <c r="CD77" s="826"/>
      <c r="CE77" s="640" t="str">
        <f t="shared" ref="CE77:CE117" si="157">IF(AND(AQ77=0,AT77=0),"No Prog ni Ejec",IF(AQ77=0,CONCATENATE("No Prog, Ejec=  ",AT77),AT77/AQ77))</f>
        <v>No Prog ni Ejec</v>
      </c>
      <c r="CF77" s="640" t="str">
        <f t="shared" ref="CF77:CF117" si="158">IF(AND(AS77=0,AU77=0),"No Prog ni Ejec",IF(AS77=0,CONCATENATE("No Prog, Ejec=  ",AU77),AU77/AS77))</f>
        <v>No Prog ni Ejec</v>
      </c>
      <c r="CG77" s="640" t="str">
        <f t="shared" ref="CG77:CG117" si="159">IF(AND(BA77=0,BD77=0),"No Prog ni Ejec",IF(BA77=0,CONCATENATE("No Prog, Ejec=  ",BD77),BD77/BA77))</f>
        <v>No Prog ni Ejec</v>
      </c>
      <c r="CH77" s="640" t="str">
        <f t="shared" ref="CH77:CH117" si="160">IF(AND(BC77=0,BE77=0),"No Prog ni Ejec",IF(BC77=0,CONCATENATE("No Prog, Ejec=  ",BE77),BE77/BC77))</f>
        <v>No Prog ni Ejec</v>
      </c>
      <c r="CI77" s="640">
        <f t="shared" ref="CI77:CI117" si="161">IF(AND(BK77=0,BN77=0),"No Prog ni Ejec",IF(BK77=0,CONCATENATE("No Prog, Ejec=  ",BN77),BN77/BK77))</f>
        <v>1</v>
      </c>
      <c r="CJ77" s="640" t="str">
        <f t="shared" ref="CJ77:CJ117" si="162">IF(AND(BM77=0,BO77=0),"No Prog ni Ejec",IF(BM77=0,CONCATENATE("No Prog, Ejec=  ",BO77),BO77/BM77))</f>
        <v>No Prog ni Ejec</v>
      </c>
      <c r="CK77" s="640" t="str">
        <f t="shared" ref="CK77:CK117" si="163">IF(AND(BU77=0,BX77=0),"No Prog ni Ejec",IF(BU77=0,CONCATENATE("No Prog, Ejec=  ",BX77),BX77/BU77))</f>
        <v>No Prog ni Ejec</v>
      </c>
      <c r="CL77" s="698" t="str">
        <f t="shared" ref="CL77:CL117" si="164">IF(AND(BW77=0,BY77=0),"No Prog ni Ejec",IF(BW77=0,CONCATENATE("No Prog, Ejec=  ",BY77),BY77/BW77))</f>
        <v>No Prog ni Ejec</v>
      </c>
      <c r="CM77" s="128">
        <f t="shared" si="134"/>
        <v>0</v>
      </c>
      <c r="CU77" s="70">
        <v>4</v>
      </c>
    </row>
    <row r="78" spans="1:107" s="70" customFormat="1" ht="106.5" customHeight="1" x14ac:dyDescent="0.2">
      <c r="A78" s="697">
        <v>11700</v>
      </c>
      <c r="B78" s="636" t="s">
        <v>14</v>
      </c>
      <c r="C78" s="654" t="s">
        <v>502</v>
      </c>
      <c r="D78" s="654"/>
      <c r="E78" s="654"/>
      <c r="F78" s="654" t="s">
        <v>1020</v>
      </c>
      <c r="G78" s="654" t="s">
        <v>1020</v>
      </c>
      <c r="H78" s="654"/>
      <c r="I78" s="654"/>
      <c r="J78" s="654"/>
      <c r="K78" s="654"/>
      <c r="L78" s="654" t="s">
        <v>1020</v>
      </c>
      <c r="M78" s="654"/>
      <c r="N78" s="654"/>
      <c r="O78" s="654"/>
      <c r="P78" s="654"/>
      <c r="Q78" s="636" t="s">
        <v>204</v>
      </c>
      <c r="R78" s="636" t="s">
        <v>204</v>
      </c>
      <c r="S78" s="638" t="s">
        <v>238</v>
      </c>
      <c r="T78" s="636" t="s">
        <v>94</v>
      </c>
      <c r="U78" s="636" t="s">
        <v>204</v>
      </c>
      <c r="V78" s="636" t="s">
        <v>204</v>
      </c>
      <c r="W78" s="835" t="s">
        <v>798</v>
      </c>
      <c r="X78" s="636" t="s">
        <v>758</v>
      </c>
      <c r="Y78" s="60" t="s">
        <v>408</v>
      </c>
      <c r="Z78" s="870">
        <v>1</v>
      </c>
      <c r="AA78" s="835" t="s">
        <v>788</v>
      </c>
      <c r="AB78" s="827" t="s">
        <v>779</v>
      </c>
      <c r="AC78" s="833">
        <v>0</v>
      </c>
      <c r="AD78" s="832">
        <v>1</v>
      </c>
      <c r="AE78" s="827" t="s">
        <v>16</v>
      </c>
      <c r="AF78" s="827" t="s">
        <v>21</v>
      </c>
      <c r="AG78" s="827" t="s">
        <v>204</v>
      </c>
      <c r="AH78" s="827" t="s">
        <v>635</v>
      </c>
      <c r="AI78" s="827" t="s">
        <v>77</v>
      </c>
      <c r="AJ78" s="827" t="s">
        <v>1290</v>
      </c>
      <c r="AK78" s="827" t="s">
        <v>783</v>
      </c>
      <c r="AL78" s="827" t="s">
        <v>43</v>
      </c>
      <c r="AM78" s="870">
        <v>1</v>
      </c>
      <c r="AN78" s="827" t="str">
        <f>+AB78</f>
        <v>Lograr que los funcionarios identifiquen los lineamientos esenciales, para construir una oferta favorable, que conlleve a los resultados esperados  en cada contratación y les facilite el desarrollo de  cada proceso de la entidad</v>
      </c>
      <c r="AO78" s="833">
        <f t="shared" si="135"/>
        <v>0</v>
      </c>
      <c r="AP78" s="860" t="s">
        <v>46</v>
      </c>
      <c r="AQ78" s="870">
        <v>0</v>
      </c>
      <c r="AR78" s="827" t="str">
        <f>+AN78</f>
        <v>Lograr que los funcionarios identifiquen los lineamientos esenciales, para construir una oferta favorable, que conlleve a los resultados esperados  en cada contratación y les facilite el desarrollo de  cada proceso de la entidad</v>
      </c>
      <c r="AS78" s="872">
        <v>0</v>
      </c>
      <c r="AT78" s="835">
        <v>0</v>
      </c>
      <c r="AU78" s="831">
        <v>0</v>
      </c>
      <c r="AV78" s="828" t="e">
        <f>+(AT78/AQ78)</f>
        <v>#DIV/0!</v>
      </c>
      <c r="AW78" s="828" t="e">
        <f>+(AU78/AS78)</f>
        <v>#DIV/0!</v>
      </c>
      <c r="AX78" s="828">
        <f>+(AT78/AM78)</f>
        <v>0</v>
      </c>
      <c r="AY78" s="828" t="e">
        <f>+(AU78/AO78)</f>
        <v>#DIV/0!</v>
      </c>
      <c r="AZ78" s="499" t="s">
        <v>1334</v>
      </c>
      <c r="BA78" s="870">
        <v>0</v>
      </c>
      <c r="BB78" s="827" t="str">
        <f>+AN78</f>
        <v>Lograr que los funcionarios identifiquen los lineamientos esenciales, para construir una oferta favorable, que conlleve a los resultados esperados  en cada contratación y les facilite el desarrollo de  cada proceso de la entidad</v>
      </c>
      <c r="BC78" s="831">
        <v>0</v>
      </c>
      <c r="BD78" s="838">
        <v>0</v>
      </c>
      <c r="BE78" s="831">
        <v>0</v>
      </c>
      <c r="BF78" s="828" t="e">
        <f>+(BD78/BA78)</f>
        <v>#DIV/0!</v>
      </c>
      <c r="BG78" s="828" t="e">
        <f>+(BE78/BC78)</f>
        <v>#DIV/0!</v>
      </c>
      <c r="BH78" s="828">
        <f>+(BD78+AT78)/AM78</f>
        <v>0</v>
      </c>
      <c r="BI78" s="828" t="e">
        <f>+(BE78+AU78)/AO78</f>
        <v>#DIV/0!</v>
      </c>
      <c r="BJ78" s="830" t="s">
        <v>1378</v>
      </c>
      <c r="BK78" s="870">
        <v>1</v>
      </c>
      <c r="BL78" s="827" t="str">
        <f>+AN78</f>
        <v>Lograr que los funcionarios identifiquen los lineamientos esenciales, para construir una oferta favorable, que conlleve a los resultados esperados  en cada contratación y les facilite el desarrollo de  cada proceso de la entidad</v>
      </c>
      <c r="BM78" s="831">
        <f>+AO78</f>
        <v>0</v>
      </c>
      <c r="BN78" s="998">
        <v>1</v>
      </c>
      <c r="BO78" s="995">
        <v>0</v>
      </c>
      <c r="BP78" s="828">
        <f>+(BN78/BK78)</f>
        <v>1</v>
      </c>
      <c r="BQ78" s="828" t="e">
        <f>+(BO78/BM78)</f>
        <v>#DIV/0!</v>
      </c>
      <c r="BR78" s="828">
        <f>+(BD78+AT78+BN78)/AM78</f>
        <v>1</v>
      </c>
      <c r="BS78" s="828" t="e">
        <f>+(BE78+AU78+BO78)/AO78</f>
        <v>#DIV/0!</v>
      </c>
      <c r="BT78" s="997" t="s">
        <v>1905</v>
      </c>
      <c r="BU78" s="870">
        <v>0</v>
      </c>
      <c r="BV78" s="827" t="str">
        <f>+AN78</f>
        <v>Lograr que los funcionarios identifiquen los lineamientos esenciales, para construir una oferta favorable, que conlleve a los resultados esperados  en cada contratación y les facilite el desarrollo de  cada proceso de la entidad</v>
      </c>
      <c r="BW78" s="831">
        <v>0</v>
      </c>
      <c r="BX78" s="835"/>
      <c r="BY78" s="835"/>
      <c r="BZ78" s="826" t="e">
        <f>+(BX78/BU78)</f>
        <v>#DIV/0!</v>
      </c>
      <c r="CA78" s="826" t="e">
        <f>+(BY78/BW78)</f>
        <v>#DIV/0!</v>
      </c>
      <c r="CB78" s="826">
        <f>+(BD78+AT78+BN78+BX78)/AM78</f>
        <v>1</v>
      </c>
      <c r="CC78" s="826" t="e">
        <f>+(BE78+AU78+BO78+BY78)/AO78</f>
        <v>#DIV/0!</v>
      </c>
      <c r="CD78" s="826"/>
      <c r="CE78" s="640" t="str">
        <f>IF(AND(AQ78=0,AT78=0),"No Prog ni Ejec",IF(AQ78=0,CONCATENATE("No Prog, Ejec=  ",AT78),AT78/AQ78))</f>
        <v>No Prog ni Ejec</v>
      </c>
      <c r="CF78" s="640" t="str">
        <f>IF(AND(AS78=0,AU78=0),"No Prog ni Ejec",IF(AS78=0,CONCATENATE("No Prog, Ejec=  ",AU78),AU78/AS78))</f>
        <v>No Prog ni Ejec</v>
      </c>
      <c r="CG78" s="640" t="str">
        <f>IF(AND(BA78=0,BD78=0),"No Prog ni Ejec",IF(BA78=0,CONCATENATE("No Prog, Ejec=  ",BD78),BD78/BA78))</f>
        <v>No Prog ni Ejec</v>
      </c>
      <c r="CH78" s="640" t="str">
        <f>IF(AND(BC78=0,BE78=0),"No Prog ni Ejec",IF(BC78=0,CONCATENATE("No Prog, Ejec=  ",BE78),BE78/BC78))</f>
        <v>No Prog ni Ejec</v>
      </c>
      <c r="CI78" s="640">
        <f>IF(AND(BK78=0,BN78=0),"No Prog ni Ejec",IF(BK78=0,CONCATENATE("No Prog, Ejec=  ",BN78),BN78/BK78))</f>
        <v>1</v>
      </c>
      <c r="CJ78" s="640" t="str">
        <f>IF(AND(BM78=0,BO78=0),"No Prog ni Ejec",IF(BM78=0,CONCATENATE("No Prog, Ejec=  ",BO78),BO78/BM78))</f>
        <v>No Prog ni Ejec</v>
      </c>
      <c r="CK78" s="640" t="str">
        <f>IF(AND(BU78=0,BX78=0),"No Prog ni Ejec",IF(BU78=0,CONCATENATE("No Prog, Ejec=  ",BX78),BX78/BU78))</f>
        <v>No Prog ni Ejec</v>
      </c>
      <c r="CL78" s="698" t="str">
        <f>IF(AND(BW78=0,BY78=0),"No Prog ni Ejec",IF(BW78=0,CONCATENATE("No Prog, Ejec=  ",BY78),BY78/BW78))</f>
        <v>No Prog ni Ejec</v>
      </c>
      <c r="CM78" s="128">
        <f>+AC78-AS78-BC78-BM78-BW78</f>
        <v>0</v>
      </c>
      <c r="CU78" s="70">
        <v>4</v>
      </c>
    </row>
    <row r="79" spans="1:107" s="70" customFormat="1" ht="89.25" customHeight="1" x14ac:dyDescent="0.2">
      <c r="A79" s="697">
        <v>11700</v>
      </c>
      <c r="B79" s="636" t="s">
        <v>14</v>
      </c>
      <c r="C79" s="654" t="s">
        <v>502</v>
      </c>
      <c r="D79" s="654"/>
      <c r="E79" s="654"/>
      <c r="F79" s="654" t="s">
        <v>1020</v>
      </c>
      <c r="G79" s="654" t="s">
        <v>1020</v>
      </c>
      <c r="H79" s="654"/>
      <c r="I79" s="654"/>
      <c r="J79" s="654"/>
      <c r="K79" s="654"/>
      <c r="L79" s="654" t="s">
        <v>1020</v>
      </c>
      <c r="M79" s="654"/>
      <c r="N79" s="654"/>
      <c r="O79" s="654"/>
      <c r="P79" s="654"/>
      <c r="Q79" s="636" t="s">
        <v>204</v>
      </c>
      <c r="R79" s="636" t="s">
        <v>204</v>
      </c>
      <c r="S79" s="638" t="s">
        <v>238</v>
      </c>
      <c r="T79" s="636" t="s">
        <v>94</v>
      </c>
      <c r="U79" s="636" t="s">
        <v>204</v>
      </c>
      <c r="V79" s="636" t="s">
        <v>204</v>
      </c>
      <c r="W79" s="835" t="s">
        <v>799</v>
      </c>
      <c r="X79" s="636" t="s">
        <v>759</v>
      </c>
      <c r="Y79" s="60" t="s">
        <v>408</v>
      </c>
      <c r="Z79" s="870">
        <v>1</v>
      </c>
      <c r="AA79" s="835" t="s">
        <v>789</v>
      </c>
      <c r="AB79" s="827" t="s">
        <v>780</v>
      </c>
      <c r="AC79" s="833">
        <v>0</v>
      </c>
      <c r="AD79" s="832">
        <v>1</v>
      </c>
      <c r="AE79" s="827" t="s">
        <v>16</v>
      </c>
      <c r="AF79" s="827" t="s">
        <v>21</v>
      </c>
      <c r="AG79" s="827" t="s">
        <v>204</v>
      </c>
      <c r="AH79" s="827" t="s">
        <v>635</v>
      </c>
      <c r="AI79" s="827" t="s">
        <v>77</v>
      </c>
      <c r="AJ79" s="827" t="s">
        <v>1290</v>
      </c>
      <c r="AK79" s="827" t="s">
        <v>783</v>
      </c>
      <c r="AL79" s="827" t="s">
        <v>43</v>
      </c>
      <c r="AM79" s="870">
        <v>1</v>
      </c>
      <c r="AN79" s="827" t="str">
        <f>+AB79</f>
        <v>Dar cumplimiento al Decreto 1072 de 2015, relacionado con el programa de seguridad y salud en el trabajo.</v>
      </c>
      <c r="AO79" s="833">
        <f t="shared" si="135"/>
        <v>0</v>
      </c>
      <c r="AP79" s="860" t="s">
        <v>46</v>
      </c>
      <c r="AQ79" s="870">
        <v>0</v>
      </c>
      <c r="AR79" s="827" t="str">
        <f>+AN79</f>
        <v>Dar cumplimiento al Decreto 1072 de 2015, relacionado con el programa de seguridad y salud en el trabajo.</v>
      </c>
      <c r="AS79" s="872">
        <v>0</v>
      </c>
      <c r="AT79" s="835">
        <v>0</v>
      </c>
      <c r="AU79" s="831">
        <v>0</v>
      </c>
      <c r="AV79" s="828" t="e">
        <f>+(AT79/AQ79)</f>
        <v>#DIV/0!</v>
      </c>
      <c r="AW79" s="828" t="e">
        <f>+(AU79/AS79)</f>
        <v>#DIV/0!</v>
      </c>
      <c r="AX79" s="828">
        <f>+(AT79/AM79)</f>
        <v>0</v>
      </c>
      <c r="AY79" s="828" t="e">
        <f>+(AU79/AO79)</f>
        <v>#DIV/0!</v>
      </c>
      <c r="AZ79" s="499" t="s">
        <v>1334</v>
      </c>
      <c r="BA79" s="870">
        <v>0</v>
      </c>
      <c r="BB79" s="827" t="str">
        <f>+AN79</f>
        <v>Dar cumplimiento al Decreto 1072 de 2015, relacionado con el programa de seguridad y salud en el trabajo.</v>
      </c>
      <c r="BC79" s="831">
        <v>0</v>
      </c>
      <c r="BD79" s="838">
        <v>0</v>
      </c>
      <c r="BE79" s="831">
        <v>0</v>
      </c>
      <c r="BF79" s="828" t="e">
        <f>+(BD79/BA79)</f>
        <v>#DIV/0!</v>
      </c>
      <c r="BG79" s="828" t="e">
        <f>+(BE79/BC79)</f>
        <v>#DIV/0!</v>
      </c>
      <c r="BH79" s="828">
        <f>+(BD79+AT79)/AM79</f>
        <v>0</v>
      </c>
      <c r="BI79" s="828" t="e">
        <f>+(BE79+AU79)/AO79</f>
        <v>#DIV/0!</v>
      </c>
      <c r="BJ79" s="830" t="s">
        <v>1378</v>
      </c>
      <c r="BK79" s="870">
        <v>0</v>
      </c>
      <c r="BL79" s="827" t="str">
        <f>+AN79</f>
        <v>Dar cumplimiento al Decreto 1072 de 2015, relacionado con el programa de seguridad y salud en el trabajo.</v>
      </c>
      <c r="BM79" s="831">
        <v>0</v>
      </c>
      <c r="BN79" s="998">
        <v>0</v>
      </c>
      <c r="BO79" s="995">
        <v>0</v>
      </c>
      <c r="BP79" s="828" t="e">
        <f>+(BN79/BK79)</f>
        <v>#DIV/0!</v>
      </c>
      <c r="BQ79" s="828" t="e">
        <f>+(BO79/BM79)</f>
        <v>#DIV/0!</v>
      </c>
      <c r="BR79" s="828">
        <f>+(BD79+AT79+BN79)/AM79</f>
        <v>0</v>
      </c>
      <c r="BS79" s="828" t="e">
        <f>+(BE79+AU79+BO79)/AO79</f>
        <v>#DIV/0!</v>
      </c>
      <c r="BT79" s="994" t="s">
        <v>1378</v>
      </c>
      <c r="BU79" s="870">
        <v>1</v>
      </c>
      <c r="BV79" s="827" t="str">
        <f>+AN79</f>
        <v>Dar cumplimiento al Decreto 1072 de 2015, relacionado con el programa de seguridad y salud en el trabajo.</v>
      </c>
      <c r="BW79" s="831">
        <f>+AO79</f>
        <v>0</v>
      </c>
      <c r="BX79" s="835"/>
      <c r="BY79" s="835"/>
      <c r="BZ79" s="826">
        <f>+(BX79/BU79)</f>
        <v>0</v>
      </c>
      <c r="CA79" s="826" t="e">
        <f>+(BY79/BW79)</f>
        <v>#DIV/0!</v>
      </c>
      <c r="CB79" s="826">
        <f>+(BD79+AT79+BN79+BX79)/AM79</f>
        <v>0</v>
      </c>
      <c r="CC79" s="826" t="e">
        <f>+(BE79+AU79+BO79+BY79)/AO79</f>
        <v>#DIV/0!</v>
      </c>
      <c r="CD79" s="826"/>
      <c r="CE79" s="640" t="str">
        <f>IF(AND(AQ79=0,AT79=0),"No Prog ni Ejec",IF(AQ79=0,CONCATENATE("No Prog, Ejec=  ",AT79),AT79/AQ79))</f>
        <v>No Prog ni Ejec</v>
      </c>
      <c r="CF79" s="640" t="str">
        <f>IF(AND(AS79=0,AU79=0),"No Prog ni Ejec",IF(AS79=0,CONCATENATE("No Prog, Ejec=  ",AU79),AU79/AS79))</f>
        <v>No Prog ni Ejec</v>
      </c>
      <c r="CG79" s="640" t="str">
        <f>IF(AND(BA79=0,BD79=0),"No Prog ni Ejec",IF(BA79=0,CONCATENATE("No Prog, Ejec=  ",BD79),BD79/BA79))</f>
        <v>No Prog ni Ejec</v>
      </c>
      <c r="CH79" s="640" t="str">
        <f>IF(AND(BC79=0,BE79=0),"No Prog ni Ejec",IF(BC79=0,CONCATENATE("No Prog, Ejec=  ",BE79),BE79/BC79))</f>
        <v>No Prog ni Ejec</v>
      </c>
      <c r="CI79" s="640" t="str">
        <f>IF(AND(BK79=0,BN79=0),"No Prog ni Ejec",IF(BK79=0,CONCATENATE("No Prog, Ejec=  ",BN79),BN79/BK79))</f>
        <v>No Prog ni Ejec</v>
      </c>
      <c r="CJ79" s="640" t="str">
        <f>IF(AND(BM79=0,BO79=0),"No Prog ni Ejec",IF(BM79=0,CONCATENATE("No Prog, Ejec=  ",BO79),BO79/BM79))</f>
        <v>No Prog ni Ejec</v>
      </c>
      <c r="CK79" s="640">
        <f>IF(AND(BU79=0,BX79=0),"No Prog ni Ejec",IF(BU79=0,CONCATENATE("No Prog, Ejec=  ",BX79),BX79/BU79))</f>
        <v>0</v>
      </c>
      <c r="CL79" s="698" t="str">
        <f>IF(AND(BW79=0,BY79=0),"No Prog ni Ejec",IF(BW79=0,CONCATENATE("No Prog, Ejec=  ",BY79),BY79/BW79))</f>
        <v>No Prog ni Ejec</v>
      </c>
      <c r="CM79" s="128">
        <f>+AC79-AS79-BC79-BM79-BW79</f>
        <v>0</v>
      </c>
      <c r="CU79" s="70">
        <v>4</v>
      </c>
    </row>
    <row r="80" spans="1:107" s="70" customFormat="1" ht="89.25" customHeight="1" x14ac:dyDescent="0.2">
      <c r="A80" s="697">
        <v>11700</v>
      </c>
      <c r="B80" s="636" t="s">
        <v>14</v>
      </c>
      <c r="C80" s="654" t="s">
        <v>502</v>
      </c>
      <c r="D80" s="654"/>
      <c r="E80" s="654"/>
      <c r="F80" s="654" t="s">
        <v>1020</v>
      </c>
      <c r="G80" s="654" t="s">
        <v>1020</v>
      </c>
      <c r="H80" s="654"/>
      <c r="I80" s="654"/>
      <c r="J80" s="654"/>
      <c r="K80" s="654"/>
      <c r="L80" s="654" t="s">
        <v>1020</v>
      </c>
      <c r="M80" s="654"/>
      <c r="N80" s="654"/>
      <c r="O80" s="654"/>
      <c r="P80" s="654"/>
      <c r="Q80" s="636" t="s">
        <v>204</v>
      </c>
      <c r="R80" s="636" t="s">
        <v>204</v>
      </c>
      <c r="S80" s="638" t="s">
        <v>238</v>
      </c>
      <c r="T80" s="636" t="s">
        <v>94</v>
      </c>
      <c r="U80" s="636" t="s">
        <v>204</v>
      </c>
      <c r="V80" s="636" t="s">
        <v>204</v>
      </c>
      <c r="W80" s="835" t="s">
        <v>800</v>
      </c>
      <c r="X80" s="636" t="s">
        <v>755</v>
      </c>
      <c r="Y80" s="60" t="s">
        <v>408</v>
      </c>
      <c r="Z80" s="1194">
        <v>6</v>
      </c>
      <c r="AA80" s="1068" t="s">
        <v>790</v>
      </c>
      <c r="AB80" s="1072" t="s">
        <v>1555</v>
      </c>
      <c r="AC80" s="1053">
        <v>248814552</v>
      </c>
      <c r="AD80" s="832">
        <v>1</v>
      </c>
      <c r="AE80" s="827" t="s">
        <v>16</v>
      </c>
      <c r="AF80" s="827" t="s">
        <v>21</v>
      </c>
      <c r="AG80" s="827" t="s">
        <v>204</v>
      </c>
      <c r="AH80" s="827" t="s">
        <v>635</v>
      </c>
      <c r="AI80" s="827" t="s">
        <v>77</v>
      </c>
      <c r="AJ80" s="827" t="s">
        <v>1290</v>
      </c>
      <c r="AK80" s="1050" t="s">
        <v>783</v>
      </c>
      <c r="AL80" s="827" t="s">
        <v>43</v>
      </c>
      <c r="AM80" s="1194">
        <v>6</v>
      </c>
      <c r="AN80" s="1072" t="str">
        <f>+AB80</f>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O80" s="1053">
        <f t="shared" si="135"/>
        <v>248814552</v>
      </c>
      <c r="AP80" s="860" t="s">
        <v>46</v>
      </c>
      <c r="AQ80" s="1194">
        <v>0</v>
      </c>
      <c r="AR80" s="1050" t="str">
        <f t="shared" si="13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AS80" s="1197">
        <v>0</v>
      </c>
      <c r="AT80" s="1068">
        <v>0</v>
      </c>
      <c r="AU80" s="1056">
        <v>0</v>
      </c>
      <c r="AV80" s="1062" t="e">
        <f t="shared" si="138"/>
        <v>#DIV/0!</v>
      </c>
      <c r="AW80" s="1062" t="e">
        <f>+(AU80/AS80)</f>
        <v>#DIV/0!</v>
      </c>
      <c r="AX80" s="1062">
        <f t="shared" si="140"/>
        <v>0</v>
      </c>
      <c r="AY80" s="1062">
        <f t="shared" si="141"/>
        <v>0</v>
      </c>
      <c r="AZ80" s="1071" t="s">
        <v>1334</v>
      </c>
      <c r="BA80" s="1194">
        <v>1</v>
      </c>
      <c r="BB80" s="1050" t="str">
        <f t="shared" si="14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C80" s="1056">
        <f>+AO80/6</f>
        <v>41469092</v>
      </c>
      <c r="BD80" s="1068">
        <v>1</v>
      </c>
      <c r="BE80" s="1075">
        <v>47992820</v>
      </c>
      <c r="BF80" s="1062">
        <f t="shared" si="143"/>
        <v>1</v>
      </c>
      <c r="BG80" s="1062">
        <f t="shared" si="144"/>
        <v>1.1573154290429122</v>
      </c>
      <c r="BH80" s="1062">
        <f t="shared" si="145"/>
        <v>0.16666666666666666</v>
      </c>
      <c r="BI80" s="1062">
        <f t="shared" si="146"/>
        <v>0.19288590484048537</v>
      </c>
      <c r="BJ80" s="1145" t="s">
        <v>1640</v>
      </c>
      <c r="BK80" s="1194">
        <v>3</v>
      </c>
      <c r="BL80" s="1050" t="str">
        <f t="shared" si="147"/>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M80" s="1056">
        <f>(AO80/6)*3</f>
        <v>124407276</v>
      </c>
      <c r="BN80" s="1068">
        <v>3</v>
      </c>
      <c r="BO80" s="1056">
        <f>38285112+37085860+37085860</f>
        <v>112456832</v>
      </c>
      <c r="BP80" s="1062">
        <f t="shared" si="148"/>
        <v>1</v>
      </c>
      <c r="BQ80" s="1062">
        <f t="shared" si="149"/>
        <v>0.9039409559936028</v>
      </c>
      <c r="BR80" s="1062">
        <f t="shared" si="150"/>
        <v>0.66666666666666663</v>
      </c>
      <c r="BS80" s="1062">
        <f t="shared" si="151"/>
        <v>0.64485638283728675</v>
      </c>
      <c r="BT80" s="1078" t="s">
        <v>1906</v>
      </c>
      <c r="BU80" s="1194">
        <v>2</v>
      </c>
      <c r="BV80" s="1050" t="str">
        <f t="shared" si="152"/>
        <v>Realizar las capacitaciones programadas en el PIC que implican costo, a fin de fortalecer los conocimientos, habilidades, competencias, comportamientos de los Servidores Públicos en el desarrollo de sus funciones que permitan el cumplimiento de los objetivos organizacionales de la entidad</v>
      </c>
      <c r="BW80" s="1056">
        <f>(AO80/6)*2</f>
        <v>82938184</v>
      </c>
      <c r="BX80" s="1068"/>
      <c r="BY80" s="1068"/>
      <c r="BZ80" s="1155">
        <f t="shared" si="153"/>
        <v>0</v>
      </c>
      <c r="CA80" s="1155">
        <f t="shared" si="154"/>
        <v>0</v>
      </c>
      <c r="CB80" s="1155">
        <f t="shared" si="155"/>
        <v>0.66666666666666663</v>
      </c>
      <c r="CC80" s="1155">
        <f t="shared" si="156"/>
        <v>0.64485638283728675</v>
      </c>
      <c r="CD80" s="1155"/>
      <c r="CE80" s="1078" t="str">
        <f t="shared" si="157"/>
        <v>No Prog ni Ejec</v>
      </c>
      <c r="CF80" s="1078" t="str">
        <f t="shared" si="158"/>
        <v>No Prog ni Ejec</v>
      </c>
      <c r="CG80" s="1078">
        <f t="shared" si="159"/>
        <v>1</v>
      </c>
      <c r="CH80" s="1078">
        <f t="shared" si="160"/>
        <v>1.1573154290429122</v>
      </c>
      <c r="CI80" s="1078">
        <f t="shared" si="161"/>
        <v>1</v>
      </c>
      <c r="CJ80" s="1078">
        <f t="shared" si="162"/>
        <v>0.9039409559936028</v>
      </c>
      <c r="CK80" s="1078">
        <f t="shared" si="163"/>
        <v>0</v>
      </c>
      <c r="CL80" s="1081">
        <f t="shared" si="164"/>
        <v>0</v>
      </c>
      <c r="CM80" s="128">
        <f t="shared" si="134"/>
        <v>0</v>
      </c>
      <c r="CU80" s="70">
        <v>4</v>
      </c>
    </row>
    <row r="81" spans="1:106" s="70" customFormat="1" ht="101.25" customHeight="1" x14ac:dyDescent="0.2">
      <c r="A81" s="697">
        <v>11700</v>
      </c>
      <c r="B81" s="636" t="s">
        <v>14</v>
      </c>
      <c r="C81" s="654" t="s">
        <v>502</v>
      </c>
      <c r="D81" s="654"/>
      <c r="E81" s="654"/>
      <c r="F81" s="654" t="s">
        <v>1020</v>
      </c>
      <c r="G81" s="654" t="s">
        <v>1020</v>
      </c>
      <c r="H81" s="654"/>
      <c r="I81" s="654"/>
      <c r="J81" s="654"/>
      <c r="K81" s="654"/>
      <c r="L81" s="654" t="s">
        <v>1020</v>
      </c>
      <c r="M81" s="654"/>
      <c r="N81" s="654"/>
      <c r="O81" s="654"/>
      <c r="P81" s="654"/>
      <c r="Q81" s="636" t="s">
        <v>204</v>
      </c>
      <c r="R81" s="636" t="s">
        <v>204</v>
      </c>
      <c r="S81" s="638" t="s">
        <v>238</v>
      </c>
      <c r="T81" s="636" t="s">
        <v>94</v>
      </c>
      <c r="U81" s="636" t="s">
        <v>204</v>
      </c>
      <c r="V81" s="636" t="s">
        <v>204</v>
      </c>
      <c r="W81" s="835" t="s">
        <v>1557</v>
      </c>
      <c r="X81" s="636" t="s">
        <v>756</v>
      </c>
      <c r="Y81" s="60" t="s">
        <v>408</v>
      </c>
      <c r="Z81" s="1194"/>
      <c r="AA81" s="1068"/>
      <c r="AB81" s="1072"/>
      <c r="AC81" s="1053"/>
      <c r="AD81" s="832">
        <v>1</v>
      </c>
      <c r="AE81" s="827" t="s">
        <v>16</v>
      </c>
      <c r="AF81" s="827" t="s">
        <v>21</v>
      </c>
      <c r="AG81" s="827" t="s">
        <v>204</v>
      </c>
      <c r="AH81" s="827" t="s">
        <v>635</v>
      </c>
      <c r="AI81" s="827" t="s">
        <v>77</v>
      </c>
      <c r="AJ81" s="827" t="s">
        <v>1290</v>
      </c>
      <c r="AK81" s="1050"/>
      <c r="AL81" s="827" t="s">
        <v>43</v>
      </c>
      <c r="AM81" s="1194"/>
      <c r="AN81" s="1072"/>
      <c r="AO81" s="1053"/>
      <c r="AP81" s="860" t="s">
        <v>46</v>
      </c>
      <c r="AQ81" s="1194"/>
      <c r="AR81" s="1050"/>
      <c r="AS81" s="1197"/>
      <c r="AT81" s="1068"/>
      <c r="AU81" s="1056"/>
      <c r="AV81" s="1062"/>
      <c r="AW81" s="1062"/>
      <c r="AX81" s="1062"/>
      <c r="AY81" s="1062"/>
      <c r="AZ81" s="1071"/>
      <c r="BA81" s="1194"/>
      <c r="BB81" s="1050"/>
      <c r="BC81" s="1056"/>
      <c r="BD81" s="1068"/>
      <c r="BE81" s="1075"/>
      <c r="BF81" s="1062"/>
      <c r="BG81" s="1062"/>
      <c r="BH81" s="1062"/>
      <c r="BI81" s="1062"/>
      <c r="BJ81" s="1146"/>
      <c r="BK81" s="1194"/>
      <c r="BL81" s="1050"/>
      <c r="BM81" s="1056"/>
      <c r="BN81" s="1068"/>
      <c r="BO81" s="1056"/>
      <c r="BP81" s="1062"/>
      <c r="BQ81" s="1062"/>
      <c r="BR81" s="1062"/>
      <c r="BS81" s="1062"/>
      <c r="BT81" s="1078"/>
      <c r="BU81" s="1194"/>
      <c r="BV81" s="1050"/>
      <c r="BW81" s="1056"/>
      <c r="BX81" s="1068"/>
      <c r="BY81" s="1068"/>
      <c r="BZ81" s="1155"/>
      <c r="CA81" s="1155"/>
      <c r="CB81" s="1155"/>
      <c r="CC81" s="1155"/>
      <c r="CD81" s="1155"/>
      <c r="CE81" s="1078"/>
      <c r="CF81" s="1078"/>
      <c r="CG81" s="1078"/>
      <c r="CH81" s="1078"/>
      <c r="CI81" s="1078"/>
      <c r="CJ81" s="1078"/>
      <c r="CK81" s="1078"/>
      <c r="CL81" s="1081"/>
      <c r="CM81" s="128">
        <f t="shared" si="134"/>
        <v>0</v>
      </c>
      <c r="CU81" s="70">
        <v>4</v>
      </c>
    </row>
    <row r="82" spans="1:106" s="70" customFormat="1" ht="108.75" customHeight="1" x14ac:dyDescent="0.2">
      <c r="A82" s="697">
        <v>11700</v>
      </c>
      <c r="B82" s="636" t="s">
        <v>14</v>
      </c>
      <c r="C82" s="654" t="s">
        <v>502</v>
      </c>
      <c r="D82" s="654"/>
      <c r="E82" s="654"/>
      <c r="F82" s="654" t="s">
        <v>1020</v>
      </c>
      <c r="G82" s="654" t="s">
        <v>1020</v>
      </c>
      <c r="H82" s="654"/>
      <c r="I82" s="654"/>
      <c r="J82" s="654"/>
      <c r="K82" s="654"/>
      <c r="L82" s="654" t="s">
        <v>1020</v>
      </c>
      <c r="M82" s="654"/>
      <c r="N82" s="654"/>
      <c r="O82" s="654"/>
      <c r="P82" s="654"/>
      <c r="Q82" s="636" t="s">
        <v>204</v>
      </c>
      <c r="R82" s="636" t="s">
        <v>204</v>
      </c>
      <c r="S82" s="638" t="s">
        <v>238</v>
      </c>
      <c r="T82" s="636" t="s">
        <v>94</v>
      </c>
      <c r="U82" s="636" t="s">
        <v>204</v>
      </c>
      <c r="V82" s="636" t="s">
        <v>204</v>
      </c>
      <c r="W82" s="835" t="s">
        <v>1558</v>
      </c>
      <c r="X82" s="636" t="s">
        <v>757</v>
      </c>
      <c r="Y82" s="60" t="s">
        <v>408</v>
      </c>
      <c r="Z82" s="1194"/>
      <c r="AA82" s="1068"/>
      <c r="AB82" s="1072"/>
      <c r="AC82" s="1053"/>
      <c r="AD82" s="832">
        <v>1</v>
      </c>
      <c r="AE82" s="827" t="s">
        <v>16</v>
      </c>
      <c r="AF82" s="827" t="s">
        <v>21</v>
      </c>
      <c r="AG82" s="827" t="s">
        <v>204</v>
      </c>
      <c r="AH82" s="827" t="s">
        <v>635</v>
      </c>
      <c r="AI82" s="827" t="s">
        <v>77</v>
      </c>
      <c r="AJ82" s="827" t="s">
        <v>1290</v>
      </c>
      <c r="AK82" s="1050"/>
      <c r="AL82" s="827" t="s">
        <v>43</v>
      </c>
      <c r="AM82" s="1194"/>
      <c r="AN82" s="1072"/>
      <c r="AO82" s="1053"/>
      <c r="AP82" s="860" t="s">
        <v>46</v>
      </c>
      <c r="AQ82" s="1194"/>
      <c r="AR82" s="1050"/>
      <c r="AS82" s="1197"/>
      <c r="AT82" s="1068"/>
      <c r="AU82" s="1056"/>
      <c r="AV82" s="1062"/>
      <c r="AW82" s="1062"/>
      <c r="AX82" s="1062"/>
      <c r="AY82" s="1062"/>
      <c r="AZ82" s="1071"/>
      <c r="BA82" s="1194"/>
      <c r="BB82" s="1050"/>
      <c r="BC82" s="1056"/>
      <c r="BD82" s="1068"/>
      <c r="BE82" s="1075"/>
      <c r="BF82" s="1062"/>
      <c r="BG82" s="1062"/>
      <c r="BH82" s="1062"/>
      <c r="BI82" s="1062"/>
      <c r="BJ82" s="1146"/>
      <c r="BK82" s="1194"/>
      <c r="BL82" s="1050"/>
      <c r="BM82" s="1056"/>
      <c r="BN82" s="1068"/>
      <c r="BO82" s="1056"/>
      <c r="BP82" s="1062"/>
      <c r="BQ82" s="1062"/>
      <c r="BR82" s="1062"/>
      <c r="BS82" s="1062"/>
      <c r="BT82" s="1078"/>
      <c r="BU82" s="1194"/>
      <c r="BV82" s="1050"/>
      <c r="BW82" s="1056"/>
      <c r="BX82" s="1068"/>
      <c r="BY82" s="1068"/>
      <c r="BZ82" s="1155"/>
      <c r="CA82" s="1155"/>
      <c r="CB82" s="1155"/>
      <c r="CC82" s="1155"/>
      <c r="CD82" s="1155"/>
      <c r="CE82" s="1078"/>
      <c r="CF82" s="1078"/>
      <c r="CG82" s="1078"/>
      <c r="CH82" s="1078"/>
      <c r="CI82" s="1078"/>
      <c r="CJ82" s="1078"/>
      <c r="CK82" s="1078"/>
      <c r="CL82" s="1081"/>
      <c r="CM82" s="128">
        <f t="shared" si="134"/>
        <v>0</v>
      </c>
      <c r="CU82" s="70">
        <v>4</v>
      </c>
    </row>
    <row r="83" spans="1:106" s="70" customFormat="1" ht="99.75" customHeight="1" x14ac:dyDescent="0.2">
      <c r="A83" s="697">
        <v>11700</v>
      </c>
      <c r="B83" s="636" t="s">
        <v>14</v>
      </c>
      <c r="C83" s="654" t="s">
        <v>502</v>
      </c>
      <c r="D83" s="654"/>
      <c r="E83" s="654"/>
      <c r="F83" s="654" t="s">
        <v>1020</v>
      </c>
      <c r="G83" s="654" t="s">
        <v>1020</v>
      </c>
      <c r="H83" s="654"/>
      <c r="I83" s="654"/>
      <c r="J83" s="654"/>
      <c r="K83" s="654"/>
      <c r="L83" s="654" t="s">
        <v>1020</v>
      </c>
      <c r="M83" s="654"/>
      <c r="N83" s="654"/>
      <c r="O83" s="654"/>
      <c r="P83" s="654"/>
      <c r="Q83" s="636" t="s">
        <v>204</v>
      </c>
      <c r="R83" s="636" t="s">
        <v>204</v>
      </c>
      <c r="S83" s="638" t="s">
        <v>238</v>
      </c>
      <c r="T83" s="636" t="s">
        <v>94</v>
      </c>
      <c r="U83" s="636" t="s">
        <v>204</v>
      </c>
      <c r="V83" s="636" t="s">
        <v>204</v>
      </c>
      <c r="W83" s="835" t="s">
        <v>1559</v>
      </c>
      <c r="X83" s="636" t="s">
        <v>760</v>
      </c>
      <c r="Y83" s="60" t="s">
        <v>408</v>
      </c>
      <c r="Z83" s="1194"/>
      <c r="AA83" s="1068"/>
      <c r="AB83" s="1072"/>
      <c r="AC83" s="1053"/>
      <c r="AD83" s="832">
        <v>1</v>
      </c>
      <c r="AE83" s="827" t="s">
        <v>16</v>
      </c>
      <c r="AF83" s="827" t="s">
        <v>281</v>
      </c>
      <c r="AG83" s="827" t="s">
        <v>204</v>
      </c>
      <c r="AH83" s="827" t="s">
        <v>635</v>
      </c>
      <c r="AI83" s="827" t="s">
        <v>77</v>
      </c>
      <c r="AJ83" s="827" t="s">
        <v>1290</v>
      </c>
      <c r="AK83" s="1050"/>
      <c r="AL83" s="827" t="s">
        <v>43</v>
      </c>
      <c r="AM83" s="1194"/>
      <c r="AN83" s="1072"/>
      <c r="AO83" s="1053"/>
      <c r="AP83" s="860" t="s">
        <v>46</v>
      </c>
      <c r="AQ83" s="1194"/>
      <c r="AR83" s="1050"/>
      <c r="AS83" s="1197"/>
      <c r="AT83" s="1068"/>
      <c r="AU83" s="1056"/>
      <c r="AV83" s="1062"/>
      <c r="AW83" s="1062"/>
      <c r="AX83" s="1062"/>
      <c r="AY83" s="1062"/>
      <c r="AZ83" s="1071"/>
      <c r="BA83" s="1194"/>
      <c r="BB83" s="1050"/>
      <c r="BC83" s="1056"/>
      <c r="BD83" s="1068"/>
      <c r="BE83" s="1075"/>
      <c r="BF83" s="1062"/>
      <c r="BG83" s="1062"/>
      <c r="BH83" s="1062"/>
      <c r="BI83" s="1062"/>
      <c r="BJ83" s="1146"/>
      <c r="BK83" s="1194"/>
      <c r="BL83" s="1050"/>
      <c r="BM83" s="1056"/>
      <c r="BN83" s="1068"/>
      <c r="BO83" s="1056"/>
      <c r="BP83" s="1062"/>
      <c r="BQ83" s="1062"/>
      <c r="BR83" s="1062"/>
      <c r="BS83" s="1062"/>
      <c r="BT83" s="1078"/>
      <c r="BU83" s="1194"/>
      <c r="BV83" s="1050"/>
      <c r="BW83" s="1056"/>
      <c r="BX83" s="1068"/>
      <c r="BY83" s="1068"/>
      <c r="BZ83" s="1155"/>
      <c r="CA83" s="1155"/>
      <c r="CB83" s="1155"/>
      <c r="CC83" s="1155"/>
      <c r="CD83" s="1155"/>
      <c r="CE83" s="1078"/>
      <c r="CF83" s="1078"/>
      <c r="CG83" s="1078"/>
      <c r="CH83" s="1078"/>
      <c r="CI83" s="1078"/>
      <c r="CJ83" s="1078"/>
      <c r="CK83" s="1078"/>
      <c r="CL83" s="1081"/>
      <c r="CM83" s="128">
        <f t="shared" si="134"/>
        <v>0</v>
      </c>
      <c r="CU83" s="70">
        <v>4</v>
      </c>
    </row>
    <row r="84" spans="1:106" s="70" customFormat="1" ht="102" customHeight="1" x14ac:dyDescent="0.2">
      <c r="A84" s="697">
        <v>11700</v>
      </c>
      <c r="B84" s="636" t="s">
        <v>14</v>
      </c>
      <c r="C84" s="654" t="s">
        <v>502</v>
      </c>
      <c r="D84" s="654"/>
      <c r="E84" s="654"/>
      <c r="F84" s="654" t="s">
        <v>1020</v>
      </c>
      <c r="G84" s="654" t="s">
        <v>1020</v>
      </c>
      <c r="H84" s="654"/>
      <c r="I84" s="654"/>
      <c r="J84" s="654"/>
      <c r="K84" s="654"/>
      <c r="L84" s="654" t="s">
        <v>1020</v>
      </c>
      <c r="M84" s="654"/>
      <c r="N84" s="654"/>
      <c r="O84" s="654"/>
      <c r="P84" s="654"/>
      <c r="Q84" s="636" t="s">
        <v>204</v>
      </c>
      <c r="R84" s="636" t="s">
        <v>204</v>
      </c>
      <c r="S84" s="638" t="s">
        <v>238</v>
      </c>
      <c r="T84" s="636" t="s">
        <v>94</v>
      </c>
      <c r="U84" s="636" t="s">
        <v>204</v>
      </c>
      <c r="V84" s="636" t="s">
        <v>204</v>
      </c>
      <c r="W84" s="835" t="s">
        <v>1560</v>
      </c>
      <c r="X84" s="636" t="s">
        <v>761</v>
      </c>
      <c r="Y84" s="60" t="s">
        <v>408</v>
      </c>
      <c r="Z84" s="1194"/>
      <c r="AA84" s="1068"/>
      <c r="AB84" s="1072"/>
      <c r="AC84" s="1053"/>
      <c r="AD84" s="832">
        <v>1</v>
      </c>
      <c r="AE84" s="827" t="s">
        <v>16</v>
      </c>
      <c r="AF84" s="827" t="s">
        <v>21</v>
      </c>
      <c r="AG84" s="827" t="s">
        <v>204</v>
      </c>
      <c r="AH84" s="827" t="s">
        <v>635</v>
      </c>
      <c r="AI84" s="827" t="s">
        <v>77</v>
      </c>
      <c r="AJ84" s="827" t="s">
        <v>1290</v>
      </c>
      <c r="AK84" s="1050"/>
      <c r="AL84" s="827" t="s">
        <v>43</v>
      </c>
      <c r="AM84" s="1194"/>
      <c r="AN84" s="1072"/>
      <c r="AO84" s="1053"/>
      <c r="AP84" s="860" t="s">
        <v>46</v>
      </c>
      <c r="AQ84" s="1194"/>
      <c r="AR84" s="1050"/>
      <c r="AS84" s="1197"/>
      <c r="AT84" s="1068"/>
      <c r="AU84" s="1056"/>
      <c r="AV84" s="1062"/>
      <c r="AW84" s="1062"/>
      <c r="AX84" s="1062"/>
      <c r="AY84" s="1062"/>
      <c r="AZ84" s="1071"/>
      <c r="BA84" s="1194"/>
      <c r="BB84" s="1050"/>
      <c r="BC84" s="1056"/>
      <c r="BD84" s="1068"/>
      <c r="BE84" s="1075"/>
      <c r="BF84" s="1062"/>
      <c r="BG84" s="1062"/>
      <c r="BH84" s="1062"/>
      <c r="BI84" s="1062"/>
      <c r="BJ84" s="1146"/>
      <c r="BK84" s="1194"/>
      <c r="BL84" s="1050"/>
      <c r="BM84" s="1056"/>
      <c r="BN84" s="1068"/>
      <c r="BO84" s="1056"/>
      <c r="BP84" s="1062"/>
      <c r="BQ84" s="1062"/>
      <c r="BR84" s="1062"/>
      <c r="BS84" s="1062"/>
      <c r="BT84" s="1078"/>
      <c r="BU84" s="1194"/>
      <c r="BV84" s="1050"/>
      <c r="BW84" s="1056"/>
      <c r="BX84" s="1068"/>
      <c r="BY84" s="1068"/>
      <c r="BZ84" s="1155"/>
      <c r="CA84" s="1155"/>
      <c r="CB84" s="1155"/>
      <c r="CC84" s="1155"/>
      <c r="CD84" s="1155"/>
      <c r="CE84" s="1078"/>
      <c r="CF84" s="1078"/>
      <c r="CG84" s="1078"/>
      <c r="CH84" s="1078"/>
      <c r="CI84" s="1078"/>
      <c r="CJ84" s="1078"/>
      <c r="CK84" s="1078"/>
      <c r="CL84" s="1081"/>
      <c r="CM84" s="128">
        <f t="shared" si="134"/>
        <v>0</v>
      </c>
      <c r="CU84" s="70">
        <v>4</v>
      </c>
    </row>
    <row r="85" spans="1:106" s="70" customFormat="1" ht="89.25" customHeight="1" x14ac:dyDescent="0.2">
      <c r="A85" s="697">
        <v>11700</v>
      </c>
      <c r="B85" s="636" t="s">
        <v>14</v>
      </c>
      <c r="C85" s="654" t="s">
        <v>502</v>
      </c>
      <c r="D85" s="673" t="s">
        <v>1020</v>
      </c>
      <c r="E85" s="654"/>
      <c r="F85" s="654" t="s">
        <v>1020</v>
      </c>
      <c r="G85" s="654" t="s">
        <v>1020</v>
      </c>
      <c r="H85" s="654"/>
      <c r="I85" s="654"/>
      <c r="J85" s="654"/>
      <c r="K85" s="654"/>
      <c r="L85" s="654" t="s">
        <v>1020</v>
      </c>
      <c r="M85" s="654"/>
      <c r="N85" s="654"/>
      <c r="O85" s="654"/>
      <c r="P85" s="654"/>
      <c r="Q85" s="644" t="s">
        <v>1726</v>
      </c>
      <c r="R85" s="636" t="s">
        <v>204</v>
      </c>
      <c r="S85" s="638" t="s">
        <v>238</v>
      </c>
      <c r="T85" s="636" t="s">
        <v>94</v>
      </c>
      <c r="U85" s="636" t="s">
        <v>204</v>
      </c>
      <c r="V85" s="636" t="s">
        <v>204</v>
      </c>
      <c r="W85" s="835" t="s">
        <v>1561</v>
      </c>
      <c r="X85" s="636" t="s">
        <v>762</v>
      </c>
      <c r="Y85" s="60" t="s">
        <v>408</v>
      </c>
      <c r="Z85" s="1194"/>
      <c r="AA85" s="1068"/>
      <c r="AB85" s="1072"/>
      <c r="AC85" s="1053"/>
      <c r="AD85" s="832">
        <v>1</v>
      </c>
      <c r="AE85" s="827" t="s">
        <v>16</v>
      </c>
      <c r="AF85" s="827" t="s">
        <v>21</v>
      </c>
      <c r="AG85" s="827" t="s">
        <v>204</v>
      </c>
      <c r="AH85" s="827" t="s">
        <v>635</v>
      </c>
      <c r="AI85" s="827" t="s">
        <v>77</v>
      </c>
      <c r="AJ85" s="827" t="s">
        <v>1290</v>
      </c>
      <c r="AK85" s="1050"/>
      <c r="AL85" s="827" t="s">
        <v>43</v>
      </c>
      <c r="AM85" s="1194"/>
      <c r="AN85" s="1072"/>
      <c r="AO85" s="1053"/>
      <c r="AP85" s="860" t="s">
        <v>46</v>
      </c>
      <c r="AQ85" s="1194"/>
      <c r="AR85" s="1050"/>
      <c r="AS85" s="1197"/>
      <c r="AT85" s="1068"/>
      <c r="AU85" s="1056"/>
      <c r="AV85" s="1062"/>
      <c r="AW85" s="1062"/>
      <c r="AX85" s="1062"/>
      <c r="AY85" s="1062"/>
      <c r="AZ85" s="1071"/>
      <c r="BA85" s="1194"/>
      <c r="BB85" s="1050"/>
      <c r="BC85" s="1056"/>
      <c r="BD85" s="1068"/>
      <c r="BE85" s="1075"/>
      <c r="BF85" s="1062"/>
      <c r="BG85" s="1062"/>
      <c r="BH85" s="1062"/>
      <c r="BI85" s="1062"/>
      <c r="BJ85" s="1146"/>
      <c r="BK85" s="1194"/>
      <c r="BL85" s="1050"/>
      <c r="BM85" s="1056"/>
      <c r="BN85" s="1068"/>
      <c r="BO85" s="1056"/>
      <c r="BP85" s="1062"/>
      <c r="BQ85" s="1062"/>
      <c r="BR85" s="1062"/>
      <c r="BS85" s="1062"/>
      <c r="BT85" s="1078"/>
      <c r="BU85" s="1194"/>
      <c r="BV85" s="1050"/>
      <c r="BW85" s="1056"/>
      <c r="BX85" s="1068"/>
      <c r="BY85" s="1068"/>
      <c r="BZ85" s="1155"/>
      <c r="CA85" s="1155"/>
      <c r="CB85" s="1155"/>
      <c r="CC85" s="1155"/>
      <c r="CD85" s="1155"/>
      <c r="CE85" s="1078"/>
      <c r="CF85" s="1078"/>
      <c r="CG85" s="1078"/>
      <c r="CH85" s="1078"/>
      <c r="CI85" s="1078"/>
      <c r="CJ85" s="1078"/>
      <c r="CK85" s="1078"/>
      <c r="CL85" s="1081"/>
      <c r="CM85" s="128">
        <f t="shared" si="134"/>
        <v>0</v>
      </c>
      <c r="CU85" s="70">
        <v>4</v>
      </c>
    </row>
    <row r="86" spans="1:106" s="70" customFormat="1" ht="102" customHeight="1" x14ac:dyDescent="0.2">
      <c r="A86" s="697">
        <v>11700</v>
      </c>
      <c r="B86" s="636" t="s">
        <v>14</v>
      </c>
      <c r="C86" s="654" t="s">
        <v>502</v>
      </c>
      <c r="D86" s="654"/>
      <c r="E86" s="654"/>
      <c r="F86" s="654"/>
      <c r="G86" s="654" t="s">
        <v>1020</v>
      </c>
      <c r="H86" s="654"/>
      <c r="I86" s="654"/>
      <c r="J86" s="654"/>
      <c r="K86" s="654"/>
      <c r="L86" s="654" t="s">
        <v>1020</v>
      </c>
      <c r="M86" s="654"/>
      <c r="N86" s="654"/>
      <c r="O86" s="654"/>
      <c r="P86" s="654"/>
      <c r="Q86" s="636" t="s">
        <v>204</v>
      </c>
      <c r="R86" s="636" t="s">
        <v>204</v>
      </c>
      <c r="S86" s="638" t="s">
        <v>238</v>
      </c>
      <c r="T86" s="636" t="s">
        <v>94</v>
      </c>
      <c r="U86" s="636" t="s">
        <v>204</v>
      </c>
      <c r="V86" s="636" t="s">
        <v>204</v>
      </c>
      <c r="W86" s="835" t="s">
        <v>801</v>
      </c>
      <c r="X86" s="636" t="s">
        <v>763</v>
      </c>
      <c r="Y86" s="60" t="s">
        <v>408</v>
      </c>
      <c r="Z86" s="870">
        <v>1</v>
      </c>
      <c r="AA86" s="1068" t="s">
        <v>791</v>
      </c>
      <c r="AB86" s="1050" t="s">
        <v>781</v>
      </c>
      <c r="AC86" s="833">
        <v>0</v>
      </c>
      <c r="AD86" s="832">
        <v>1</v>
      </c>
      <c r="AE86" s="827" t="s">
        <v>16</v>
      </c>
      <c r="AF86" s="827" t="s">
        <v>21</v>
      </c>
      <c r="AG86" s="827" t="s">
        <v>204</v>
      </c>
      <c r="AH86" s="827" t="s">
        <v>635</v>
      </c>
      <c r="AI86" s="827" t="s">
        <v>77</v>
      </c>
      <c r="AJ86" s="827" t="s">
        <v>1290</v>
      </c>
      <c r="AK86" s="827" t="s">
        <v>783</v>
      </c>
      <c r="AL86" s="827" t="s">
        <v>43</v>
      </c>
      <c r="AM86" s="870">
        <v>1</v>
      </c>
      <c r="AN86" s="1050" t="str">
        <f>+AB86</f>
        <v>Dar cumplimiento al modelo integrado de planeación y gestión</v>
      </c>
      <c r="AO86" s="833">
        <f t="shared" ref="AO86:AO93" si="165">+AC86</f>
        <v>0</v>
      </c>
      <c r="AP86" s="860" t="s">
        <v>46</v>
      </c>
      <c r="AQ86" s="870">
        <v>0</v>
      </c>
      <c r="AR86" s="1050" t="str">
        <f>+AN86</f>
        <v>Dar cumplimiento al modelo integrado de planeación y gestión</v>
      </c>
      <c r="AS86" s="872">
        <v>0</v>
      </c>
      <c r="AT86" s="835">
        <v>0</v>
      </c>
      <c r="AU86" s="831">
        <v>0</v>
      </c>
      <c r="AV86" s="828" t="e">
        <f t="shared" si="138"/>
        <v>#DIV/0!</v>
      </c>
      <c r="AW86" s="828" t="e">
        <f t="shared" si="139"/>
        <v>#DIV/0!</v>
      </c>
      <c r="AX86" s="828">
        <f t="shared" si="140"/>
        <v>0</v>
      </c>
      <c r="AY86" s="828" t="e">
        <f t="shared" si="141"/>
        <v>#DIV/0!</v>
      </c>
      <c r="AZ86" s="499" t="s">
        <v>1334</v>
      </c>
      <c r="BA86" s="870">
        <v>0</v>
      </c>
      <c r="BB86" s="1050" t="str">
        <f>+AN86</f>
        <v>Dar cumplimiento al modelo integrado de planeación y gestión</v>
      </c>
      <c r="BC86" s="831">
        <v>0</v>
      </c>
      <c r="BD86" s="838">
        <v>0</v>
      </c>
      <c r="BE86" s="831">
        <v>0</v>
      </c>
      <c r="BF86" s="828" t="e">
        <f t="shared" si="143"/>
        <v>#DIV/0!</v>
      </c>
      <c r="BG86" s="828" t="e">
        <f t="shared" si="144"/>
        <v>#DIV/0!</v>
      </c>
      <c r="BH86" s="828">
        <f t="shared" si="145"/>
        <v>0</v>
      </c>
      <c r="BI86" s="828" t="e">
        <f t="shared" si="146"/>
        <v>#DIV/0!</v>
      </c>
      <c r="BJ86" s="830" t="s">
        <v>1378</v>
      </c>
      <c r="BK86" s="870">
        <v>1</v>
      </c>
      <c r="BL86" s="1050" t="str">
        <f>+AN86</f>
        <v>Dar cumplimiento al modelo integrado de planeación y gestión</v>
      </c>
      <c r="BM86" s="831">
        <v>0</v>
      </c>
      <c r="BN86" s="998">
        <v>1</v>
      </c>
      <c r="BO86" s="995">
        <f>4430407/11</f>
        <v>402764.27272727271</v>
      </c>
      <c r="BP86" s="828">
        <f t="shared" si="148"/>
        <v>1</v>
      </c>
      <c r="BQ86" s="828" t="e">
        <f t="shared" si="149"/>
        <v>#DIV/0!</v>
      </c>
      <c r="BR86" s="828">
        <f t="shared" si="150"/>
        <v>1</v>
      </c>
      <c r="BS86" s="828" t="e">
        <f t="shared" si="151"/>
        <v>#DIV/0!</v>
      </c>
      <c r="BT86" s="997" t="s">
        <v>1907</v>
      </c>
      <c r="BU86" s="870">
        <v>0</v>
      </c>
      <c r="BV86" s="1050" t="str">
        <f>+AN86</f>
        <v>Dar cumplimiento al modelo integrado de planeación y gestión</v>
      </c>
      <c r="BW86" s="831">
        <v>0</v>
      </c>
      <c r="BX86" s="835"/>
      <c r="BY86" s="835"/>
      <c r="BZ86" s="826" t="e">
        <f t="shared" si="153"/>
        <v>#DIV/0!</v>
      </c>
      <c r="CA86" s="826" t="e">
        <f t="shared" si="154"/>
        <v>#DIV/0!</v>
      </c>
      <c r="CB86" s="826">
        <f t="shared" si="155"/>
        <v>1</v>
      </c>
      <c r="CC86" s="826" t="e">
        <f t="shared" si="156"/>
        <v>#DIV/0!</v>
      </c>
      <c r="CD86" s="826"/>
      <c r="CE86" s="640" t="str">
        <f t="shared" si="157"/>
        <v>No Prog ni Ejec</v>
      </c>
      <c r="CF86" s="640" t="str">
        <f t="shared" si="158"/>
        <v>No Prog ni Ejec</v>
      </c>
      <c r="CG86" s="640" t="str">
        <f t="shared" si="159"/>
        <v>No Prog ni Ejec</v>
      </c>
      <c r="CH86" s="640" t="str">
        <f t="shared" si="160"/>
        <v>No Prog ni Ejec</v>
      </c>
      <c r="CI86" s="640">
        <f t="shared" si="161"/>
        <v>1</v>
      </c>
      <c r="CJ86" s="640" t="str">
        <f t="shared" si="162"/>
        <v>No Prog, Ejec=  402764,272727273</v>
      </c>
      <c r="CK86" s="640" t="str">
        <f t="shared" si="163"/>
        <v>No Prog ni Ejec</v>
      </c>
      <c r="CL86" s="698" t="str">
        <f t="shared" si="164"/>
        <v>No Prog ni Ejec</v>
      </c>
      <c r="CM86" s="128">
        <f t="shared" si="134"/>
        <v>0</v>
      </c>
      <c r="CU86" s="70">
        <v>4</v>
      </c>
    </row>
    <row r="87" spans="1:106" s="70" customFormat="1" ht="102.75" customHeight="1" x14ac:dyDescent="0.2">
      <c r="A87" s="697">
        <v>11700</v>
      </c>
      <c r="B87" s="636" t="s">
        <v>14</v>
      </c>
      <c r="C87" s="654" t="s">
        <v>502</v>
      </c>
      <c r="D87" s="654"/>
      <c r="E87" s="654"/>
      <c r="F87" s="654"/>
      <c r="G87" s="654" t="s">
        <v>1020</v>
      </c>
      <c r="H87" s="654"/>
      <c r="I87" s="654"/>
      <c r="J87" s="654"/>
      <c r="K87" s="654"/>
      <c r="L87" s="654" t="s">
        <v>1020</v>
      </c>
      <c r="M87" s="654"/>
      <c r="N87" s="654"/>
      <c r="O87" s="654"/>
      <c r="P87" s="654"/>
      <c r="Q87" s="636" t="s">
        <v>204</v>
      </c>
      <c r="R87" s="636" t="s">
        <v>204</v>
      </c>
      <c r="S87" s="638" t="s">
        <v>238</v>
      </c>
      <c r="T87" s="636" t="s">
        <v>94</v>
      </c>
      <c r="U87" s="636" t="s">
        <v>204</v>
      </c>
      <c r="V87" s="636" t="s">
        <v>204</v>
      </c>
      <c r="W87" s="835" t="s">
        <v>1086</v>
      </c>
      <c r="X87" s="636" t="s">
        <v>764</v>
      </c>
      <c r="Y87" s="60" t="s">
        <v>408</v>
      </c>
      <c r="Z87" s="870">
        <v>1</v>
      </c>
      <c r="AA87" s="1068"/>
      <c r="AB87" s="1072"/>
      <c r="AC87" s="833">
        <v>0</v>
      </c>
      <c r="AD87" s="832">
        <v>1</v>
      </c>
      <c r="AE87" s="827" t="s">
        <v>16</v>
      </c>
      <c r="AF87" s="827" t="s">
        <v>21</v>
      </c>
      <c r="AG87" s="827" t="s">
        <v>204</v>
      </c>
      <c r="AH87" s="827" t="s">
        <v>635</v>
      </c>
      <c r="AI87" s="827" t="s">
        <v>77</v>
      </c>
      <c r="AJ87" s="827" t="s">
        <v>1290</v>
      </c>
      <c r="AK87" s="827" t="s">
        <v>783</v>
      </c>
      <c r="AL87" s="827" t="s">
        <v>43</v>
      </c>
      <c r="AM87" s="870">
        <v>1</v>
      </c>
      <c r="AN87" s="1050"/>
      <c r="AO87" s="833">
        <f t="shared" si="165"/>
        <v>0</v>
      </c>
      <c r="AP87" s="860" t="s">
        <v>46</v>
      </c>
      <c r="AQ87" s="870">
        <v>0</v>
      </c>
      <c r="AR87" s="1050"/>
      <c r="AS87" s="872">
        <v>0</v>
      </c>
      <c r="AT87" s="835">
        <v>0</v>
      </c>
      <c r="AU87" s="831">
        <v>0</v>
      </c>
      <c r="AV87" s="828" t="e">
        <f t="shared" si="138"/>
        <v>#DIV/0!</v>
      </c>
      <c r="AW87" s="828" t="e">
        <f t="shared" si="139"/>
        <v>#DIV/0!</v>
      </c>
      <c r="AX87" s="828">
        <f t="shared" si="140"/>
        <v>0</v>
      </c>
      <c r="AY87" s="828" t="e">
        <f t="shared" si="141"/>
        <v>#DIV/0!</v>
      </c>
      <c r="AZ87" s="499" t="s">
        <v>1334</v>
      </c>
      <c r="BA87" s="870">
        <v>1</v>
      </c>
      <c r="BB87" s="1050"/>
      <c r="BC87" s="831">
        <v>0</v>
      </c>
      <c r="BD87" s="838">
        <v>0</v>
      </c>
      <c r="BE87" s="831">
        <v>0</v>
      </c>
      <c r="BF87" s="828">
        <f t="shared" si="143"/>
        <v>0</v>
      </c>
      <c r="BG87" s="828" t="e">
        <f t="shared" si="144"/>
        <v>#DIV/0!</v>
      </c>
      <c r="BH87" s="828">
        <f t="shared" si="145"/>
        <v>0</v>
      </c>
      <c r="BI87" s="828" t="e">
        <f t="shared" si="146"/>
        <v>#DIV/0!</v>
      </c>
      <c r="BJ87" s="829" t="s">
        <v>1641</v>
      </c>
      <c r="BK87" s="870">
        <v>0</v>
      </c>
      <c r="BL87" s="1050"/>
      <c r="BM87" s="831">
        <v>0</v>
      </c>
      <c r="BN87" s="998">
        <v>0</v>
      </c>
      <c r="BO87" s="995">
        <v>0</v>
      </c>
      <c r="BP87" s="828" t="e">
        <f t="shared" si="148"/>
        <v>#DIV/0!</v>
      </c>
      <c r="BQ87" s="828" t="e">
        <f t="shared" si="149"/>
        <v>#DIV/0!</v>
      </c>
      <c r="BR87" s="828">
        <f t="shared" si="150"/>
        <v>0</v>
      </c>
      <c r="BS87" s="828" t="e">
        <f t="shared" si="151"/>
        <v>#DIV/0!</v>
      </c>
      <c r="BT87" s="997" t="s">
        <v>1908</v>
      </c>
      <c r="BU87" s="870">
        <v>0</v>
      </c>
      <c r="BV87" s="1050"/>
      <c r="BW87" s="831">
        <v>0</v>
      </c>
      <c r="BX87" s="835"/>
      <c r="BY87" s="835"/>
      <c r="BZ87" s="826" t="e">
        <f t="shared" si="153"/>
        <v>#DIV/0!</v>
      </c>
      <c r="CA87" s="826" t="e">
        <f t="shared" si="154"/>
        <v>#DIV/0!</v>
      </c>
      <c r="CB87" s="826">
        <f t="shared" si="155"/>
        <v>0</v>
      </c>
      <c r="CC87" s="826" t="e">
        <f t="shared" si="156"/>
        <v>#DIV/0!</v>
      </c>
      <c r="CD87" s="826"/>
      <c r="CE87" s="640" t="str">
        <f t="shared" si="157"/>
        <v>No Prog ni Ejec</v>
      </c>
      <c r="CF87" s="640" t="str">
        <f t="shared" si="158"/>
        <v>No Prog ni Ejec</v>
      </c>
      <c r="CG87" s="640">
        <f t="shared" si="159"/>
        <v>0</v>
      </c>
      <c r="CH87" s="640" t="str">
        <f t="shared" si="160"/>
        <v>No Prog ni Ejec</v>
      </c>
      <c r="CI87" s="640" t="str">
        <f t="shared" si="161"/>
        <v>No Prog ni Ejec</v>
      </c>
      <c r="CJ87" s="640" t="str">
        <f t="shared" si="162"/>
        <v>No Prog ni Ejec</v>
      </c>
      <c r="CK87" s="640" t="str">
        <f t="shared" si="163"/>
        <v>No Prog ni Ejec</v>
      </c>
      <c r="CL87" s="698" t="str">
        <f t="shared" si="164"/>
        <v>No Prog ni Ejec</v>
      </c>
      <c r="CM87" s="128">
        <f t="shared" si="134"/>
        <v>0</v>
      </c>
      <c r="CU87" s="70">
        <v>4</v>
      </c>
    </row>
    <row r="88" spans="1:106" s="70" customFormat="1" ht="103.5" customHeight="1" x14ac:dyDescent="0.2">
      <c r="A88" s="697">
        <v>11700</v>
      </c>
      <c r="B88" s="636" t="s">
        <v>14</v>
      </c>
      <c r="C88" s="654" t="s">
        <v>502</v>
      </c>
      <c r="D88" s="654"/>
      <c r="E88" s="654"/>
      <c r="F88" s="654"/>
      <c r="G88" s="654" t="s">
        <v>1020</v>
      </c>
      <c r="H88" s="654"/>
      <c r="I88" s="654"/>
      <c r="J88" s="654"/>
      <c r="K88" s="654"/>
      <c r="L88" s="654" t="s">
        <v>1020</v>
      </c>
      <c r="M88" s="654"/>
      <c r="N88" s="654"/>
      <c r="O88" s="654"/>
      <c r="P88" s="654"/>
      <c r="Q88" s="636" t="s">
        <v>204</v>
      </c>
      <c r="R88" s="636" t="s">
        <v>204</v>
      </c>
      <c r="S88" s="638" t="s">
        <v>238</v>
      </c>
      <c r="T88" s="636" t="s">
        <v>94</v>
      </c>
      <c r="U88" s="636" t="s">
        <v>204</v>
      </c>
      <c r="V88" s="636" t="s">
        <v>204</v>
      </c>
      <c r="W88" s="835" t="s">
        <v>1087</v>
      </c>
      <c r="X88" s="636" t="s">
        <v>765</v>
      </c>
      <c r="Y88" s="60" t="s">
        <v>408</v>
      </c>
      <c r="Z88" s="870">
        <v>1</v>
      </c>
      <c r="AA88" s="1068"/>
      <c r="AB88" s="1072"/>
      <c r="AC88" s="833">
        <v>0</v>
      </c>
      <c r="AD88" s="832">
        <v>1</v>
      </c>
      <c r="AE88" s="827" t="s">
        <v>16</v>
      </c>
      <c r="AF88" s="827" t="s">
        <v>21</v>
      </c>
      <c r="AG88" s="827" t="s">
        <v>204</v>
      </c>
      <c r="AH88" s="827" t="s">
        <v>635</v>
      </c>
      <c r="AI88" s="827" t="s">
        <v>77</v>
      </c>
      <c r="AJ88" s="827" t="s">
        <v>1290</v>
      </c>
      <c r="AK88" s="827" t="s">
        <v>783</v>
      </c>
      <c r="AL88" s="827" t="s">
        <v>43</v>
      </c>
      <c r="AM88" s="870">
        <v>1</v>
      </c>
      <c r="AN88" s="1050"/>
      <c r="AO88" s="833">
        <f t="shared" si="165"/>
        <v>0</v>
      </c>
      <c r="AP88" s="860" t="s">
        <v>46</v>
      </c>
      <c r="AQ88" s="870">
        <v>0</v>
      </c>
      <c r="AR88" s="1050"/>
      <c r="AS88" s="872">
        <v>0</v>
      </c>
      <c r="AT88" s="835">
        <v>0</v>
      </c>
      <c r="AU88" s="831">
        <v>0</v>
      </c>
      <c r="AV88" s="828" t="e">
        <f t="shared" si="138"/>
        <v>#DIV/0!</v>
      </c>
      <c r="AW88" s="828" t="e">
        <f t="shared" si="139"/>
        <v>#DIV/0!</v>
      </c>
      <c r="AX88" s="828">
        <f t="shared" si="140"/>
        <v>0</v>
      </c>
      <c r="AY88" s="828" t="e">
        <f t="shared" si="141"/>
        <v>#DIV/0!</v>
      </c>
      <c r="AZ88" s="499" t="s">
        <v>1334</v>
      </c>
      <c r="BA88" s="870">
        <v>0</v>
      </c>
      <c r="BB88" s="1050"/>
      <c r="BC88" s="831">
        <v>0</v>
      </c>
      <c r="BD88" s="838">
        <v>0</v>
      </c>
      <c r="BE88" s="831">
        <v>0</v>
      </c>
      <c r="BF88" s="828" t="e">
        <f t="shared" si="143"/>
        <v>#DIV/0!</v>
      </c>
      <c r="BG88" s="828" t="e">
        <f t="shared" si="144"/>
        <v>#DIV/0!</v>
      </c>
      <c r="BH88" s="828">
        <f t="shared" si="145"/>
        <v>0</v>
      </c>
      <c r="BI88" s="828" t="e">
        <f t="shared" si="146"/>
        <v>#DIV/0!</v>
      </c>
      <c r="BJ88" s="830" t="s">
        <v>1378</v>
      </c>
      <c r="BK88" s="870">
        <v>1</v>
      </c>
      <c r="BL88" s="1050"/>
      <c r="BM88" s="831">
        <v>0</v>
      </c>
      <c r="BN88" s="998">
        <v>0</v>
      </c>
      <c r="BO88" s="995">
        <v>0</v>
      </c>
      <c r="BP88" s="828">
        <f t="shared" si="148"/>
        <v>0</v>
      </c>
      <c r="BQ88" s="828" t="e">
        <f t="shared" si="149"/>
        <v>#DIV/0!</v>
      </c>
      <c r="BR88" s="828">
        <f t="shared" si="150"/>
        <v>0</v>
      </c>
      <c r="BS88" s="828" t="e">
        <f t="shared" si="151"/>
        <v>#DIV/0!</v>
      </c>
      <c r="BT88" s="997" t="s">
        <v>1909</v>
      </c>
      <c r="BU88" s="870">
        <v>0</v>
      </c>
      <c r="BV88" s="1050"/>
      <c r="BW88" s="831">
        <v>0</v>
      </c>
      <c r="BX88" s="835"/>
      <c r="BY88" s="835"/>
      <c r="BZ88" s="826" t="e">
        <f t="shared" si="153"/>
        <v>#DIV/0!</v>
      </c>
      <c r="CA88" s="826" t="e">
        <f t="shared" si="154"/>
        <v>#DIV/0!</v>
      </c>
      <c r="CB88" s="826">
        <f t="shared" si="155"/>
        <v>0</v>
      </c>
      <c r="CC88" s="826" t="e">
        <f t="shared" si="156"/>
        <v>#DIV/0!</v>
      </c>
      <c r="CD88" s="826"/>
      <c r="CE88" s="640" t="str">
        <f t="shared" si="157"/>
        <v>No Prog ni Ejec</v>
      </c>
      <c r="CF88" s="640" t="str">
        <f t="shared" si="158"/>
        <v>No Prog ni Ejec</v>
      </c>
      <c r="CG88" s="640" t="str">
        <f t="shared" si="159"/>
        <v>No Prog ni Ejec</v>
      </c>
      <c r="CH88" s="640" t="str">
        <f t="shared" si="160"/>
        <v>No Prog ni Ejec</v>
      </c>
      <c r="CI88" s="640">
        <f t="shared" si="161"/>
        <v>0</v>
      </c>
      <c r="CJ88" s="640" t="str">
        <f t="shared" si="162"/>
        <v>No Prog ni Ejec</v>
      </c>
      <c r="CK88" s="640" t="str">
        <f t="shared" si="163"/>
        <v>No Prog ni Ejec</v>
      </c>
      <c r="CL88" s="698" t="str">
        <f t="shared" si="164"/>
        <v>No Prog ni Ejec</v>
      </c>
      <c r="CM88" s="128">
        <f t="shared" si="134"/>
        <v>0</v>
      </c>
      <c r="CU88" s="70">
        <v>4</v>
      </c>
    </row>
    <row r="89" spans="1:106" s="70" customFormat="1" ht="102" customHeight="1" x14ac:dyDescent="0.2">
      <c r="A89" s="697">
        <v>11700</v>
      </c>
      <c r="B89" s="636" t="s">
        <v>14</v>
      </c>
      <c r="C89" s="654" t="s">
        <v>502</v>
      </c>
      <c r="D89" s="654"/>
      <c r="E89" s="654"/>
      <c r="F89" s="654"/>
      <c r="G89" s="654" t="s">
        <v>1020</v>
      </c>
      <c r="H89" s="654"/>
      <c r="I89" s="654"/>
      <c r="J89" s="654"/>
      <c r="K89" s="654"/>
      <c r="L89" s="654" t="s">
        <v>1020</v>
      </c>
      <c r="M89" s="654"/>
      <c r="N89" s="654"/>
      <c r="O89" s="654"/>
      <c r="P89" s="654"/>
      <c r="Q89" s="636" t="s">
        <v>204</v>
      </c>
      <c r="R89" s="636" t="s">
        <v>204</v>
      </c>
      <c r="S89" s="638" t="s">
        <v>238</v>
      </c>
      <c r="T89" s="636" t="s">
        <v>94</v>
      </c>
      <c r="U89" s="636" t="s">
        <v>204</v>
      </c>
      <c r="V89" s="636" t="s">
        <v>204</v>
      </c>
      <c r="W89" s="638" t="s">
        <v>1088</v>
      </c>
      <c r="X89" s="636" t="s">
        <v>766</v>
      </c>
      <c r="Y89" s="60" t="s">
        <v>408</v>
      </c>
      <c r="Z89" s="870">
        <v>1</v>
      </c>
      <c r="AA89" s="1068"/>
      <c r="AB89" s="1072"/>
      <c r="AC89" s="833">
        <v>0</v>
      </c>
      <c r="AD89" s="832">
        <v>1</v>
      </c>
      <c r="AE89" s="827" t="s">
        <v>16</v>
      </c>
      <c r="AF89" s="827" t="s">
        <v>21</v>
      </c>
      <c r="AG89" s="827" t="s">
        <v>204</v>
      </c>
      <c r="AH89" s="827" t="s">
        <v>635</v>
      </c>
      <c r="AI89" s="827" t="s">
        <v>77</v>
      </c>
      <c r="AJ89" s="827" t="s">
        <v>1290</v>
      </c>
      <c r="AK89" s="827" t="s">
        <v>783</v>
      </c>
      <c r="AL89" s="827" t="s">
        <v>43</v>
      </c>
      <c r="AM89" s="870">
        <v>1</v>
      </c>
      <c r="AN89" s="1050"/>
      <c r="AO89" s="833">
        <f t="shared" si="165"/>
        <v>0</v>
      </c>
      <c r="AP89" s="860" t="s">
        <v>46</v>
      </c>
      <c r="AQ89" s="870">
        <v>0</v>
      </c>
      <c r="AR89" s="1050"/>
      <c r="AS89" s="872">
        <v>0</v>
      </c>
      <c r="AT89" s="835">
        <v>0</v>
      </c>
      <c r="AU89" s="831">
        <v>0</v>
      </c>
      <c r="AV89" s="828" t="e">
        <f t="shared" si="138"/>
        <v>#DIV/0!</v>
      </c>
      <c r="AW89" s="828" t="e">
        <f t="shared" si="139"/>
        <v>#DIV/0!</v>
      </c>
      <c r="AX89" s="828">
        <f t="shared" si="140"/>
        <v>0</v>
      </c>
      <c r="AY89" s="828" t="e">
        <f t="shared" si="141"/>
        <v>#DIV/0!</v>
      </c>
      <c r="AZ89" s="499" t="s">
        <v>1334</v>
      </c>
      <c r="BA89" s="870">
        <v>0</v>
      </c>
      <c r="BB89" s="1050"/>
      <c r="BC89" s="831">
        <v>0</v>
      </c>
      <c r="BD89" s="838">
        <v>0</v>
      </c>
      <c r="BE89" s="831">
        <v>0</v>
      </c>
      <c r="BF89" s="828" t="e">
        <f t="shared" si="143"/>
        <v>#DIV/0!</v>
      </c>
      <c r="BG89" s="828" t="e">
        <f t="shared" si="144"/>
        <v>#DIV/0!</v>
      </c>
      <c r="BH89" s="828">
        <f t="shared" si="145"/>
        <v>0</v>
      </c>
      <c r="BI89" s="828" t="e">
        <f t="shared" si="146"/>
        <v>#DIV/0!</v>
      </c>
      <c r="BJ89" s="830" t="s">
        <v>1378</v>
      </c>
      <c r="BK89" s="870">
        <v>0</v>
      </c>
      <c r="BL89" s="1050"/>
      <c r="BM89" s="831">
        <v>0</v>
      </c>
      <c r="BN89" s="998">
        <v>1</v>
      </c>
      <c r="BO89" s="995">
        <v>0</v>
      </c>
      <c r="BP89" s="828" t="e">
        <f t="shared" si="148"/>
        <v>#DIV/0!</v>
      </c>
      <c r="BQ89" s="828" t="e">
        <f t="shared" si="149"/>
        <v>#DIV/0!</v>
      </c>
      <c r="BR89" s="828">
        <f t="shared" si="150"/>
        <v>1</v>
      </c>
      <c r="BS89" s="828" t="e">
        <f t="shared" si="151"/>
        <v>#DIV/0!</v>
      </c>
      <c r="BT89" s="997" t="s">
        <v>1910</v>
      </c>
      <c r="BU89" s="870">
        <v>1</v>
      </c>
      <c r="BV89" s="1050"/>
      <c r="BW89" s="831">
        <v>0</v>
      </c>
      <c r="BX89" s="835"/>
      <c r="BY89" s="835"/>
      <c r="BZ89" s="826">
        <f t="shared" si="153"/>
        <v>0</v>
      </c>
      <c r="CA89" s="826" t="e">
        <f t="shared" si="154"/>
        <v>#DIV/0!</v>
      </c>
      <c r="CB89" s="826">
        <f t="shared" si="155"/>
        <v>1</v>
      </c>
      <c r="CC89" s="826" t="e">
        <f t="shared" si="156"/>
        <v>#DIV/0!</v>
      </c>
      <c r="CD89" s="826"/>
      <c r="CE89" s="640" t="str">
        <f t="shared" si="157"/>
        <v>No Prog ni Ejec</v>
      </c>
      <c r="CF89" s="640" t="str">
        <f t="shared" si="158"/>
        <v>No Prog ni Ejec</v>
      </c>
      <c r="CG89" s="640" t="str">
        <f t="shared" si="159"/>
        <v>No Prog ni Ejec</v>
      </c>
      <c r="CH89" s="640" t="str">
        <f t="shared" si="160"/>
        <v>No Prog ni Ejec</v>
      </c>
      <c r="CI89" s="640" t="str">
        <f t="shared" si="161"/>
        <v>No Prog, Ejec=  1</v>
      </c>
      <c r="CJ89" s="640" t="str">
        <f t="shared" si="162"/>
        <v>No Prog ni Ejec</v>
      </c>
      <c r="CK89" s="640">
        <f t="shared" si="163"/>
        <v>0</v>
      </c>
      <c r="CL89" s="698" t="str">
        <f t="shared" si="164"/>
        <v>No Prog ni Ejec</v>
      </c>
      <c r="CM89" s="128">
        <f t="shared" si="134"/>
        <v>0</v>
      </c>
      <c r="CU89" s="70">
        <v>4</v>
      </c>
    </row>
    <row r="90" spans="1:106" s="70" customFormat="1" ht="117" customHeight="1" x14ac:dyDescent="0.2">
      <c r="A90" s="697">
        <v>11700</v>
      </c>
      <c r="B90" s="636" t="s">
        <v>14</v>
      </c>
      <c r="C90" s="654" t="s">
        <v>502</v>
      </c>
      <c r="D90" s="654"/>
      <c r="E90" s="654"/>
      <c r="F90" s="654"/>
      <c r="G90" s="654" t="s">
        <v>1020</v>
      </c>
      <c r="H90" s="654"/>
      <c r="I90" s="654"/>
      <c r="J90" s="654"/>
      <c r="K90" s="654"/>
      <c r="L90" s="654" t="s">
        <v>1020</v>
      </c>
      <c r="M90" s="654"/>
      <c r="N90" s="654"/>
      <c r="O90" s="654"/>
      <c r="P90" s="654"/>
      <c r="Q90" s="636" t="s">
        <v>204</v>
      </c>
      <c r="R90" s="636" t="s">
        <v>204</v>
      </c>
      <c r="S90" s="638" t="s">
        <v>238</v>
      </c>
      <c r="T90" s="636" t="s">
        <v>94</v>
      </c>
      <c r="U90" s="636" t="s">
        <v>204</v>
      </c>
      <c r="V90" s="636" t="s">
        <v>204</v>
      </c>
      <c r="W90" s="638" t="s">
        <v>1089</v>
      </c>
      <c r="X90" s="636" t="s">
        <v>767</v>
      </c>
      <c r="Y90" s="60" t="s">
        <v>408</v>
      </c>
      <c r="Z90" s="870">
        <v>1</v>
      </c>
      <c r="AA90" s="1068"/>
      <c r="AB90" s="1072"/>
      <c r="AC90" s="833">
        <v>0</v>
      </c>
      <c r="AD90" s="832">
        <v>1</v>
      </c>
      <c r="AE90" s="827" t="s">
        <v>16</v>
      </c>
      <c r="AF90" s="827" t="s">
        <v>21</v>
      </c>
      <c r="AG90" s="827" t="s">
        <v>204</v>
      </c>
      <c r="AH90" s="827" t="s">
        <v>635</v>
      </c>
      <c r="AI90" s="827" t="s">
        <v>77</v>
      </c>
      <c r="AJ90" s="827" t="s">
        <v>1290</v>
      </c>
      <c r="AK90" s="827" t="s">
        <v>783</v>
      </c>
      <c r="AL90" s="827" t="s">
        <v>43</v>
      </c>
      <c r="AM90" s="870">
        <v>1</v>
      </c>
      <c r="AN90" s="1050"/>
      <c r="AO90" s="833">
        <f t="shared" si="165"/>
        <v>0</v>
      </c>
      <c r="AP90" s="860" t="s">
        <v>46</v>
      </c>
      <c r="AQ90" s="870">
        <v>0</v>
      </c>
      <c r="AR90" s="1050"/>
      <c r="AS90" s="872">
        <v>0</v>
      </c>
      <c r="AT90" s="835">
        <v>0</v>
      </c>
      <c r="AU90" s="831">
        <v>0</v>
      </c>
      <c r="AV90" s="828" t="e">
        <f t="shared" si="138"/>
        <v>#DIV/0!</v>
      </c>
      <c r="AW90" s="828" t="e">
        <f t="shared" si="139"/>
        <v>#DIV/0!</v>
      </c>
      <c r="AX90" s="828">
        <f t="shared" si="140"/>
        <v>0</v>
      </c>
      <c r="AY90" s="828" t="e">
        <f t="shared" si="141"/>
        <v>#DIV/0!</v>
      </c>
      <c r="AZ90" s="499" t="s">
        <v>1334</v>
      </c>
      <c r="BA90" s="870">
        <v>0</v>
      </c>
      <c r="BB90" s="1050"/>
      <c r="BC90" s="831">
        <v>0</v>
      </c>
      <c r="BD90" s="838">
        <v>0</v>
      </c>
      <c r="BE90" s="831">
        <v>0</v>
      </c>
      <c r="BF90" s="828" t="e">
        <f t="shared" si="143"/>
        <v>#DIV/0!</v>
      </c>
      <c r="BG90" s="828" t="e">
        <f t="shared" si="144"/>
        <v>#DIV/0!</v>
      </c>
      <c r="BH90" s="828">
        <f t="shared" si="145"/>
        <v>0</v>
      </c>
      <c r="BI90" s="828" t="e">
        <f t="shared" si="146"/>
        <v>#DIV/0!</v>
      </c>
      <c r="BJ90" s="830" t="s">
        <v>1378</v>
      </c>
      <c r="BK90" s="870">
        <v>0</v>
      </c>
      <c r="BL90" s="1050"/>
      <c r="BM90" s="831">
        <v>0</v>
      </c>
      <c r="BN90" s="998">
        <v>0</v>
      </c>
      <c r="BO90" s="995">
        <v>0</v>
      </c>
      <c r="BP90" s="828" t="e">
        <f t="shared" si="148"/>
        <v>#DIV/0!</v>
      </c>
      <c r="BQ90" s="828" t="e">
        <f t="shared" si="149"/>
        <v>#DIV/0!</v>
      </c>
      <c r="BR90" s="828">
        <f t="shared" si="150"/>
        <v>0</v>
      </c>
      <c r="BS90" s="828" t="e">
        <f t="shared" si="151"/>
        <v>#DIV/0!</v>
      </c>
      <c r="BT90" s="994" t="s">
        <v>1378</v>
      </c>
      <c r="BU90" s="870">
        <v>1</v>
      </c>
      <c r="BV90" s="1050"/>
      <c r="BW90" s="831">
        <v>0</v>
      </c>
      <c r="BX90" s="835"/>
      <c r="BY90" s="835"/>
      <c r="BZ90" s="826">
        <f t="shared" si="153"/>
        <v>0</v>
      </c>
      <c r="CA90" s="826" t="e">
        <f t="shared" si="154"/>
        <v>#DIV/0!</v>
      </c>
      <c r="CB90" s="826">
        <f t="shared" si="155"/>
        <v>0</v>
      </c>
      <c r="CC90" s="826" t="e">
        <f t="shared" si="156"/>
        <v>#DIV/0!</v>
      </c>
      <c r="CD90" s="826"/>
      <c r="CE90" s="640" t="str">
        <f t="shared" si="157"/>
        <v>No Prog ni Ejec</v>
      </c>
      <c r="CF90" s="640" t="str">
        <f t="shared" si="158"/>
        <v>No Prog ni Ejec</v>
      </c>
      <c r="CG90" s="640" t="str">
        <f t="shared" si="159"/>
        <v>No Prog ni Ejec</v>
      </c>
      <c r="CH90" s="640" t="str">
        <f t="shared" si="160"/>
        <v>No Prog ni Ejec</v>
      </c>
      <c r="CI90" s="640" t="str">
        <f t="shared" si="161"/>
        <v>No Prog ni Ejec</v>
      </c>
      <c r="CJ90" s="640" t="str">
        <f t="shared" si="162"/>
        <v>No Prog ni Ejec</v>
      </c>
      <c r="CK90" s="640">
        <f t="shared" si="163"/>
        <v>0</v>
      </c>
      <c r="CL90" s="698" t="str">
        <f t="shared" si="164"/>
        <v>No Prog ni Ejec</v>
      </c>
      <c r="CM90" s="128">
        <f t="shared" si="134"/>
        <v>0</v>
      </c>
      <c r="CU90" s="70">
        <v>4</v>
      </c>
    </row>
    <row r="91" spans="1:106" s="70" customFormat="1" ht="89.25" customHeight="1" x14ac:dyDescent="0.2">
      <c r="A91" s="697">
        <v>11700</v>
      </c>
      <c r="B91" s="636" t="s">
        <v>14</v>
      </c>
      <c r="C91" s="654" t="s">
        <v>502</v>
      </c>
      <c r="D91" s="654"/>
      <c r="E91" s="654"/>
      <c r="F91" s="654"/>
      <c r="G91" s="654" t="s">
        <v>1020</v>
      </c>
      <c r="H91" s="654"/>
      <c r="I91" s="654"/>
      <c r="J91" s="654"/>
      <c r="K91" s="654"/>
      <c r="L91" s="654" t="s">
        <v>1020</v>
      </c>
      <c r="M91" s="654"/>
      <c r="N91" s="654"/>
      <c r="O91" s="654"/>
      <c r="P91" s="654"/>
      <c r="Q91" s="636" t="s">
        <v>204</v>
      </c>
      <c r="R91" s="636" t="s">
        <v>204</v>
      </c>
      <c r="S91" s="638" t="s">
        <v>238</v>
      </c>
      <c r="T91" s="636" t="s">
        <v>94</v>
      </c>
      <c r="U91" s="636" t="s">
        <v>204</v>
      </c>
      <c r="V91" s="636" t="s">
        <v>204</v>
      </c>
      <c r="W91" s="638" t="s">
        <v>1090</v>
      </c>
      <c r="X91" s="636" t="s">
        <v>768</v>
      </c>
      <c r="Y91" s="60" t="s">
        <v>408</v>
      </c>
      <c r="Z91" s="870">
        <v>1</v>
      </c>
      <c r="AA91" s="1068"/>
      <c r="AB91" s="1072"/>
      <c r="AC91" s="833">
        <v>0</v>
      </c>
      <c r="AD91" s="832">
        <v>1</v>
      </c>
      <c r="AE91" s="827" t="s">
        <v>16</v>
      </c>
      <c r="AF91" s="827" t="s">
        <v>21</v>
      </c>
      <c r="AG91" s="827" t="s">
        <v>204</v>
      </c>
      <c r="AH91" s="827" t="s">
        <v>635</v>
      </c>
      <c r="AI91" s="827" t="s">
        <v>77</v>
      </c>
      <c r="AJ91" s="827" t="s">
        <v>1290</v>
      </c>
      <c r="AK91" s="827" t="s">
        <v>783</v>
      </c>
      <c r="AL91" s="827" t="s">
        <v>43</v>
      </c>
      <c r="AM91" s="870">
        <v>1</v>
      </c>
      <c r="AN91" s="1050"/>
      <c r="AO91" s="833">
        <f t="shared" si="165"/>
        <v>0</v>
      </c>
      <c r="AP91" s="860" t="s">
        <v>46</v>
      </c>
      <c r="AQ91" s="870">
        <v>0</v>
      </c>
      <c r="AR91" s="1050"/>
      <c r="AS91" s="872">
        <v>0</v>
      </c>
      <c r="AT91" s="835">
        <v>0</v>
      </c>
      <c r="AU91" s="831">
        <v>0</v>
      </c>
      <c r="AV91" s="828" t="e">
        <f t="shared" si="138"/>
        <v>#DIV/0!</v>
      </c>
      <c r="AW91" s="828" t="e">
        <f t="shared" si="139"/>
        <v>#DIV/0!</v>
      </c>
      <c r="AX91" s="828">
        <f t="shared" si="140"/>
        <v>0</v>
      </c>
      <c r="AY91" s="828" t="e">
        <f t="shared" si="141"/>
        <v>#DIV/0!</v>
      </c>
      <c r="AZ91" s="499" t="s">
        <v>1334</v>
      </c>
      <c r="BA91" s="870">
        <v>0</v>
      </c>
      <c r="BB91" s="1050"/>
      <c r="BC91" s="831">
        <v>0</v>
      </c>
      <c r="BD91" s="838">
        <v>0</v>
      </c>
      <c r="BE91" s="831">
        <v>0</v>
      </c>
      <c r="BF91" s="828" t="e">
        <f t="shared" si="143"/>
        <v>#DIV/0!</v>
      </c>
      <c r="BG91" s="828" t="e">
        <f t="shared" si="144"/>
        <v>#DIV/0!</v>
      </c>
      <c r="BH91" s="828">
        <f t="shared" si="145"/>
        <v>0</v>
      </c>
      <c r="BI91" s="828" t="e">
        <f t="shared" si="146"/>
        <v>#DIV/0!</v>
      </c>
      <c r="BJ91" s="830" t="s">
        <v>1378</v>
      </c>
      <c r="BK91" s="870">
        <v>1</v>
      </c>
      <c r="BL91" s="1050"/>
      <c r="BM91" s="831">
        <v>0</v>
      </c>
      <c r="BN91" s="998">
        <v>0</v>
      </c>
      <c r="BO91" s="995">
        <v>0</v>
      </c>
      <c r="BP91" s="828">
        <f t="shared" si="148"/>
        <v>0</v>
      </c>
      <c r="BQ91" s="828" t="e">
        <f t="shared" si="149"/>
        <v>#DIV/0!</v>
      </c>
      <c r="BR91" s="828">
        <f t="shared" si="150"/>
        <v>0</v>
      </c>
      <c r="BS91" s="828" t="e">
        <f t="shared" si="151"/>
        <v>#DIV/0!</v>
      </c>
      <c r="BT91" s="997" t="s">
        <v>1911</v>
      </c>
      <c r="BU91" s="870">
        <v>0</v>
      </c>
      <c r="BV91" s="1050"/>
      <c r="BW91" s="831">
        <v>0</v>
      </c>
      <c r="BX91" s="835"/>
      <c r="BY91" s="835"/>
      <c r="BZ91" s="826" t="e">
        <f t="shared" si="153"/>
        <v>#DIV/0!</v>
      </c>
      <c r="CA91" s="826" t="e">
        <f t="shared" si="154"/>
        <v>#DIV/0!</v>
      </c>
      <c r="CB91" s="826">
        <f t="shared" si="155"/>
        <v>0</v>
      </c>
      <c r="CC91" s="826" t="e">
        <f t="shared" si="156"/>
        <v>#DIV/0!</v>
      </c>
      <c r="CD91" s="826"/>
      <c r="CE91" s="640" t="str">
        <f t="shared" si="157"/>
        <v>No Prog ni Ejec</v>
      </c>
      <c r="CF91" s="640" t="str">
        <f t="shared" si="158"/>
        <v>No Prog ni Ejec</v>
      </c>
      <c r="CG91" s="640" t="str">
        <f t="shared" si="159"/>
        <v>No Prog ni Ejec</v>
      </c>
      <c r="CH91" s="640" t="str">
        <f t="shared" si="160"/>
        <v>No Prog ni Ejec</v>
      </c>
      <c r="CI91" s="640">
        <f t="shared" si="161"/>
        <v>0</v>
      </c>
      <c r="CJ91" s="640" t="str">
        <f t="shared" si="162"/>
        <v>No Prog ni Ejec</v>
      </c>
      <c r="CK91" s="640" t="str">
        <f t="shared" si="163"/>
        <v>No Prog ni Ejec</v>
      </c>
      <c r="CL91" s="698" t="str">
        <f t="shared" si="164"/>
        <v>No Prog ni Ejec</v>
      </c>
      <c r="CM91" s="128">
        <f t="shared" si="134"/>
        <v>0</v>
      </c>
      <c r="CU91" s="70">
        <v>4</v>
      </c>
    </row>
    <row r="92" spans="1:106" s="70" customFormat="1" ht="99.75" customHeight="1" x14ac:dyDescent="0.2">
      <c r="A92" s="697">
        <v>11700</v>
      </c>
      <c r="B92" s="636" t="s">
        <v>14</v>
      </c>
      <c r="C92" s="654" t="s">
        <v>502</v>
      </c>
      <c r="D92" s="654"/>
      <c r="E92" s="654"/>
      <c r="F92" s="654"/>
      <c r="G92" s="654" t="s">
        <v>1020</v>
      </c>
      <c r="H92" s="654"/>
      <c r="I92" s="654"/>
      <c r="J92" s="654"/>
      <c r="K92" s="654"/>
      <c r="L92" s="654" t="s">
        <v>1020</v>
      </c>
      <c r="M92" s="654"/>
      <c r="N92" s="654"/>
      <c r="O92" s="654"/>
      <c r="P92" s="654"/>
      <c r="Q92" s="636" t="s">
        <v>204</v>
      </c>
      <c r="R92" s="636" t="s">
        <v>204</v>
      </c>
      <c r="S92" s="638" t="s">
        <v>238</v>
      </c>
      <c r="T92" s="636" t="s">
        <v>94</v>
      </c>
      <c r="U92" s="636" t="s">
        <v>204</v>
      </c>
      <c r="V92" s="636" t="s">
        <v>204</v>
      </c>
      <c r="W92" s="638" t="s">
        <v>802</v>
      </c>
      <c r="X92" s="636" t="s">
        <v>769</v>
      </c>
      <c r="Y92" s="60" t="s">
        <v>408</v>
      </c>
      <c r="Z92" s="870">
        <v>4</v>
      </c>
      <c r="AA92" s="1139" t="s">
        <v>792</v>
      </c>
      <c r="AB92" s="1072" t="s">
        <v>782</v>
      </c>
      <c r="AC92" s="833">
        <v>0</v>
      </c>
      <c r="AD92" s="832">
        <v>1</v>
      </c>
      <c r="AE92" s="827" t="s">
        <v>16</v>
      </c>
      <c r="AF92" s="827" t="s">
        <v>21</v>
      </c>
      <c r="AG92" s="827" t="s">
        <v>204</v>
      </c>
      <c r="AH92" s="827" t="s">
        <v>635</v>
      </c>
      <c r="AI92" s="827" t="s">
        <v>77</v>
      </c>
      <c r="AJ92" s="827" t="s">
        <v>1290</v>
      </c>
      <c r="AK92" s="827" t="s">
        <v>784</v>
      </c>
      <c r="AL92" s="827" t="s">
        <v>43</v>
      </c>
      <c r="AM92" s="870">
        <v>4</v>
      </c>
      <c r="AN92" s="1072" t="str">
        <f>+AB92</f>
        <v>Dar cumplimiento al Decreto 1083 de 2015 "Por medio del cual se expide el Decreto único reglamentario del Sector de Función Publica</v>
      </c>
      <c r="AO92" s="833">
        <f t="shared" si="165"/>
        <v>0</v>
      </c>
      <c r="AP92" s="860" t="s">
        <v>46</v>
      </c>
      <c r="AQ92" s="870">
        <v>1</v>
      </c>
      <c r="AR92" s="1072" t="str">
        <f t="shared" si="137"/>
        <v>Dar cumplimiento al Decreto 1083 de 2015 "Por medio del cual se expide el Decreto único reglamentario del Sector de Función Publica</v>
      </c>
      <c r="AS92" s="872">
        <v>0</v>
      </c>
      <c r="AT92" s="473">
        <v>1</v>
      </c>
      <c r="AU92" s="864">
        <v>0</v>
      </c>
      <c r="AV92" s="828">
        <f t="shared" si="138"/>
        <v>1</v>
      </c>
      <c r="AW92" s="828" t="e">
        <f t="shared" si="139"/>
        <v>#DIV/0!</v>
      </c>
      <c r="AX92" s="828">
        <f t="shared" si="140"/>
        <v>0.25</v>
      </c>
      <c r="AY92" s="828" t="e">
        <f t="shared" si="141"/>
        <v>#DIV/0!</v>
      </c>
      <c r="AZ92" s="472" t="s">
        <v>1623</v>
      </c>
      <c r="BA92" s="870">
        <v>1</v>
      </c>
      <c r="BB92" s="1072" t="str">
        <f t="shared" si="142"/>
        <v>Dar cumplimiento al Decreto 1083 de 2015 "Por medio del cual se expide el Decreto único reglamentario del Sector de Función Publica</v>
      </c>
      <c r="BC92" s="872">
        <f>+AO92</f>
        <v>0</v>
      </c>
      <c r="BD92" s="838">
        <v>1</v>
      </c>
      <c r="BE92" s="831">
        <v>0</v>
      </c>
      <c r="BF92" s="828">
        <f t="shared" si="143"/>
        <v>1</v>
      </c>
      <c r="BG92" s="828" t="e">
        <f t="shared" si="144"/>
        <v>#DIV/0!</v>
      </c>
      <c r="BH92" s="828">
        <f t="shared" si="145"/>
        <v>0.5</v>
      </c>
      <c r="BI92" s="828" t="e">
        <f t="shared" si="146"/>
        <v>#DIV/0!</v>
      </c>
      <c r="BJ92" s="829" t="s">
        <v>1642</v>
      </c>
      <c r="BK92" s="870">
        <v>1</v>
      </c>
      <c r="BL92" s="1072" t="str">
        <f t="shared" si="147"/>
        <v>Dar cumplimiento al Decreto 1083 de 2015 "Por medio del cual se expide el Decreto único reglamentario del Sector de Función Publica</v>
      </c>
      <c r="BM92" s="872">
        <f>+AO92</f>
        <v>0</v>
      </c>
      <c r="BN92" s="998">
        <v>1</v>
      </c>
      <c r="BO92" s="995">
        <v>0</v>
      </c>
      <c r="BP92" s="828">
        <f t="shared" si="148"/>
        <v>1</v>
      </c>
      <c r="BQ92" s="828" t="e">
        <f t="shared" si="149"/>
        <v>#DIV/0!</v>
      </c>
      <c r="BR92" s="828">
        <f t="shared" si="150"/>
        <v>0.75</v>
      </c>
      <c r="BS92" s="828" t="e">
        <f t="shared" si="151"/>
        <v>#DIV/0!</v>
      </c>
      <c r="BT92" s="997" t="s">
        <v>1912</v>
      </c>
      <c r="BU92" s="870">
        <v>1</v>
      </c>
      <c r="BV92" s="1072" t="str">
        <f t="shared" si="152"/>
        <v>Dar cumplimiento al Decreto 1083 de 2015 "Por medio del cual se expide el Decreto único reglamentario del Sector de Función Publica</v>
      </c>
      <c r="BW92" s="872">
        <f>+AO92</f>
        <v>0</v>
      </c>
      <c r="BX92" s="835"/>
      <c r="BY92" s="835"/>
      <c r="BZ92" s="826">
        <f t="shared" si="153"/>
        <v>0</v>
      </c>
      <c r="CA92" s="826" t="e">
        <f t="shared" si="154"/>
        <v>#DIV/0!</v>
      </c>
      <c r="CB92" s="826">
        <f t="shared" si="155"/>
        <v>0.75</v>
      </c>
      <c r="CC92" s="826" t="e">
        <f t="shared" si="156"/>
        <v>#DIV/0!</v>
      </c>
      <c r="CD92" s="826"/>
      <c r="CE92" s="640">
        <f t="shared" si="157"/>
        <v>1</v>
      </c>
      <c r="CF92" s="640" t="str">
        <f t="shared" si="158"/>
        <v>No Prog ni Ejec</v>
      </c>
      <c r="CG92" s="640">
        <f t="shared" si="159"/>
        <v>1</v>
      </c>
      <c r="CH92" s="640" t="str">
        <f t="shared" si="160"/>
        <v>No Prog ni Ejec</v>
      </c>
      <c r="CI92" s="640">
        <f t="shared" si="161"/>
        <v>1</v>
      </c>
      <c r="CJ92" s="640" t="str">
        <f t="shared" si="162"/>
        <v>No Prog ni Ejec</v>
      </c>
      <c r="CK92" s="640">
        <f t="shared" si="163"/>
        <v>0</v>
      </c>
      <c r="CL92" s="698" t="str">
        <f t="shared" si="164"/>
        <v>No Prog ni Ejec</v>
      </c>
      <c r="CM92" s="128">
        <f t="shared" si="134"/>
        <v>0</v>
      </c>
      <c r="CU92" s="70">
        <v>4</v>
      </c>
    </row>
    <row r="93" spans="1:106" s="70" customFormat="1" ht="104.25" customHeight="1" x14ac:dyDescent="0.2">
      <c r="A93" s="697">
        <v>11700</v>
      </c>
      <c r="B93" s="636" t="s">
        <v>14</v>
      </c>
      <c r="C93" s="654" t="s">
        <v>502</v>
      </c>
      <c r="D93" s="654"/>
      <c r="E93" s="654"/>
      <c r="F93" s="654"/>
      <c r="G93" s="654" t="s">
        <v>1020</v>
      </c>
      <c r="H93" s="654"/>
      <c r="I93" s="654"/>
      <c r="J93" s="654"/>
      <c r="K93" s="654"/>
      <c r="L93" s="654" t="s">
        <v>1020</v>
      </c>
      <c r="M93" s="654"/>
      <c r="N93" s="654"/>
      <c r="O93" s="654"/>
      <c r="P93" s="654"/>
      <c r="Q93" s="636" t="s">
        <v>204</v>
      </c>
      <c r="R93" s="636" t="s">
        <v>204</v>
      </c>
      <c r="S93" s="638" t="s">
        <v>238</v>
      </c>
      <c r="T93" s="636" t="s">
        <v>94</v>
      </c>
      <c r="U93" s="636" t="s">
        <v>204</v>
      </c>
      <c r="V93" s="636" t="s">
        <v>204</v>
      </c>
      <c r="W93" s="638" t="s">
        <v>1091</v>
      </c>
      <c r="X93" s="636" t="s">
        <v>770</v>
      </c>
      <c r="Y93" s="60" t="s">
        <v>408</v>
      </c>
      <c r="Z93" s="870">
        <v>1</v>
      </c>
      <c r="AA93" s="1139"/>
      <c r="AB93" s="1072"/>
      <c r="AC93" s="833">
        <v>0</v>
      </c>
      <c r="AD93" s="832">
        <v>1</v>
      </c>
      <c r="AE93" s="827" t="s">
        <v>16</v>
      </c>
      <c r="AF93" s="827" t="s">
        <v>21</v>
      </c>
      <c r="AG93" s="827" t="s">
        <v>204</v>
      </c>
      <c r="AH93" s="827" t="s">
        <v>635</v>
      </c>
      <c r="AI93" s="827" t="s">
        <v>77</v>
      </c>
      <c r="AJ93" s="827" t="s">
        <v>1290</v>
      </c>
      <c r="AK93" s="827" t="s">
        <v>785</v>
      </c>
      <c r="AL93" s="827" t="s">
        <v>43</v>
      </c>
      <c r="AM93" s="870">
        <v>1</v>
      </c>
      <c r="AN93" s="1072"/>
      <c r="AO93" s="833">
        <f t="shared" si="165"/>
        <v>0</v>
      </c>
      <c r="AP93" s="860" t="s">
        <v>46</v>
      </c>
      <c r="AQ93" s="870">
        <v>0</v>
      </c>
      <c r="AR93" s="1072"/>
      <c r="AS93" s="872">
        <v>0</v>
      </c>
      <c r="AT93" s="835">
        <v>0</v>
      </c>
      <c r="AU93" s="831">
        <v>0</v>
      </c>
      <c r="AV93" s="828" t="e">
        <f t="shared" si="138"/>
        <v>#DIV/0!</v>
      </c>
      <c r="AW93" s="828" t="e">
        <f t="shared" si="139"/>
        <v>#DIV/0!</v>
      </c>
      <c r="AX93" s="828">
        <f t="shared" si="140"/>
        <v>0</v>
      </c>
      <c r="AY93" s="828" t="e">
        <f t="shared" si="141"/>
        <v>#DIV/0!</v>
      </c>
      <c r="AZ93" s="499" t="s">
        <v>1334</v>
      </c>
      <c r="BA93" s="870">
        <v>0</v>
      </c>
      <c r="BB93" s="1072"/>
      <c r="BC93" s="872">
        <f>+AO93</f>
        <v>0</v>
      </c>
      <c r="BD93" s="838">
        <v>0</v>
      </c>
      <c r="BE93" s="831">
        <v>0</v>
      </c>
      <c r="BF93" s="828" t="e">
        <f t="shared" si="143"/>
        <v>#DIV/0!</v>
      </c>
      <c r="BG93" s="828" t="e">
        <f t="shared" si="144"/>
        <v>#DIV/0!</v>
      </c>
      <c r="BH93" s="828">
        <f t="shared" si="145"/>
        <v>0</v>
      </c>
      <c r="BI93" s="828" t="e">
        <f t="shared" si="146"/>
        <v>#DIV/0!</v>
      </c>
      <c r="BJ93" s="830" t="s">
        <v>1378</v>
      </c>
      <c r="BK93" s="870">
        <v>1</v>
      </c>
      <c r="BL93" s="1072"/>
      <c r="BM93" s="872">
        <f>+AO93</f>
        <v>0</v>
      </c>
      <c r="BN93" s="998">
        <v>0</v>
      </c>
      <c r="BO93" s="995">
        <v>0</v>
      </c>
      <c r="BP93" s="828">
        <f t="shared" si="148"/>
        <v>0</v>
      </c>
      <c r="BQ93" s="828" t="e">
        <f t="shared" si="149"/>
        <v>#DIV/0!</v>
      </c>
      <c r="BR93" s="828">
        <f t="shared" si="150"/>
        <v>0</v>
      </c>
      <c r="BS93" s="828" t="e">
        <f t="shared" si="151"/>
        <v>#DIV/0!</v>
      </c>
      <c r="BT93" s="997" t="s">
        <v>1913</v>
      </c>
      <c r="BU93" s="870">
        <v>0</v>
      </c>
      <c r="BV93" s="1072"/>
      <c r="BW93" s="872">
        <f>+AO93</f>
        <v>0</v>
      </c>
      <c r="BX93" s="835"/>
      <c r="BY93" s="835"/>
      <c r="BZ93" s="826" t="e">
        <f t="shared" si="153"/>
        <v>#DIV/0!</v>
      </c>
      <c r="CA93" s="826" t="e">
        <f t="shared" si="154"/>
        <v>#DIV/0!</v>
      </c>
      <c r="CB93" s="826">
        <f t="shared" si="155"/>
        <v>0</v>
      </c>
      <c r="CC93" s="826" t="e">
        <f t="shared" si="156"/>
        <v>#DIV/0!</v>
      </c>
      <c r="CD93" s="826"/>
      <c r="CE93" s="640" t="str">
        <f t="shared" si="157"/>
        <v>No Prog ni Ejec</v>
      </c>
      <c r="CF93" s="640" t="str">
        <f t="shared" si="158"/>
        <v>No Prog ni Ejec</v>
      </c>
      <c r="CG93" s="640" t="str">
        <f t="shared" si="159"/>
        <v>No Prog ni Ejec</v>
      </c>
      <c r="CH93" s="640" t="str">
        <f t="shared" si="160"/>
        <v>No Prog ni Ejec</v>
      </c>
      <c r="CI93" s="640">
        <f t="shared" si="161"/>
        <v>0</v>
      </c>
      <c r="CJ93" s="640" t="str">
        <f t="shared" si="162"/>
        <v>No Prog ni Ejec</v>
      </c>
      <c r="CK93" s="640" t="str">
        <f t="shared" si="163"/>
        <v>No Prog ni Ejec</v>
      </c>
      <c r="CL93" s="698" t="str">
        <f t="shared" si="164"/>
        <v>No Prog ni Ejec</v>
      </c>
      <c r="CM93" s="128">
        <f t="shared" si="134"/>
        <v>0</v>
      </c>
      <c r="CU93" s="70">
        <v>4</v>
      </c>
    </row>
    <row r="94" spans="1:106" s="70" customFormat="1" ht="89.25" customHeight="1" x14ac:dyDescent="0.2">
      <c r="A94" s="697">
        <v>11700</v>
      </c>
      <c r="B94" s="636" t="s">
        <v>14</v>
      </c>
      <c r="C94" s="636" t="s">
        <v>335</v>
      </c>
      <c r="D94" s="636"/>
      <c r="E94" s="636"/>
      <c r="F94" s="636" t="s">
        <v>1020</v>
      </c>
      <c r="G94" s="636"/>
      <c r="H94" s="636" t="s">
        <v>1020</v>
      </c>
      <c r="I94" s="636"/>
      <c r="J94" s="636"/>
      <c r="K94" s="636"/>
      <c r="L94" s="636" t="s">
        <v>1020</v>
      </c>
      <c r="M94" s="636"/>
      <c r="N94" s="636"/>
      <c r="O94" s="636"/>
      <c r="P94" s="636"/>
      <c r="Q94" s="636" t="s">
        <v>204</v>
      </c>
      <c r="R94" s="636" t="s">
        <v>204</v>
      </c>
      <c r="S94" s="638" t="s">
        <v>238</v>
      </c>
      <c r="T94" s="636" t="s">
        <v>94</v>
      </c>
      <c r="U94" s="636" t="s">
        <v>204</v>
      </c>
      <c r="V94" s="636" t="s">
        <v>204</v>
      </c>
      <c r="W94" s="638" t="s">
        <v>803</v>
      </c>
      <c r="X94" s="636" t="s">
        <v>819</v>
      </c>
      <c r="Y94" s="60" t="s">
        <v>408</v>
      </c>
      <c r="Z94" s="1195">
        <v>19</v>
      </c>
      <c r="AA94" s="1068" t="s">
        <v>793</v>
      </c>
      <c r="AB94" s="1072" t="s">
        <v>1563</v>
      </c>
      <c r="AC94" s="1053">
        <v>299390000</v>
      </c>
      <c r="AD94" s="1147">
        <v>1</v>
      </c>
      <c r="AE94" s="1072" t="s">
        <v>16</v>
      </c>
      <c r="AF94" s="1072" t="s">
        <v>21</v>
      </c>
      <c r="AG94" s="1072" t="s">
        <v>204</v>
      </c>
      <c r="AH94" s="1072" t="s">
        <v>635</v>
      </c>
      <c r="AI94" s="1072" t="s">
        <v>77</v>
      </c>
      <c r="AJ94" s="827" t="s">
        <v>1289</v>
      </c>
      <c r="AK94" s="1050" t="s">
        <v>828</v>
      </c>
      <c r="AL94" s="1072" t="s">
        <v>43</v>
      </c>
      <c r="AM94" s="1194">
        <v>19</v>
      </c>
      <c r="AN94" s="1072" t="str">
        <f>+AB94</f>
        <v>Realizar las actividades programadas en el Plan Anual Bienestar e Incentivos que implican costo a fin de fomentar la integración, respeto, tolerancia, sana competencia, esparcimiento y participación de los Servidores Públicos de la Entidad</v>
      </c>
      <c r="AO94" s="1053">
        <f>+AC94</f>
        <v>299390000</v>
      </c>
      <c r="AP94" s="860" t="s">
        <v>46</v>
      </c>
      <c r="AQ94" s="1194">
        <v>1</v>
      </c>
      <c r="AR94" s="1072" t="str">
        <f>+AN94</f>
        <v>Realizar las actividades programadas en el Plan Anual Bienestar e Incentivos que implican costo a fin de fomentar la integración, respeto, tolerancia, sana competencia, esparcimiento y participación de los Servidores Públicos de la Entidad</v>
      </c>
      <c r="AS94" s="1056">
        <v>0</v>
      </c>
      <c r="AT94" s="1068">
        <v>1</v>
      </c>
      <c r="AU94" s="1056">
        <v>0</v>
      </c>
      <c r="AV94" s="1062">
        <f>+(AT94/AQ94)</f>
        <v>1</v>
      </c>
      <c r="AW94" s="1062" t="e">
        <f>+(AU94/AS94)</f>
        <v>#DIV/0!</v>
      </c>
      <c r="AX94" s="1062">
        <f>+(AT94/AM94)</f>
        <v>5.2631578947368418E-2</v>
      </c>
      <c r="AY94" s="1062">
        <f>+(AU94/AO94)</f>
        <v>0</v>
      </c>
      <c r="AZ94" s="1196" t="s">
        <v>1772</v>
      </c>
      <c r="BA94" s="1194">
        <v>2</v>
      </c>
      <c r="BB94" s="1072" t="str">
        <f>+AN94</f>
        <v>Realizar las actividades programadas en el Plan Anual Bienestar e Incentivos que implican costo a fin de fomentar la integración, respeto, tolerancia, sana competencia, esparcimiento y participación de los Servidores Públicos de la Entidad</v>
      </c>
      <c r="BC94" s="1056">
        <f>+(AO94/18)*2</f>
        <v>33265555.555555556</v>
      </c>
      <c r="BD94" s="1068">
        <v>2</v>
      </c>
      <c r="BE94" s="1075">
        <v>16500000</v>
      </c>
      <c r="BF94" s="1062">
        <f>+(BD94/BA94)</f>
        <v>1</v>
      </c>
      <c r="BG94" s="1062">
        <f>+(BE94/BC94)</f>
        <v>0.49600855071979694</v>
      </c>
      <c r="BH94" s="1062">
        <f>+(BD94+AT94)/AM94</f>
        <v>0.15789473684210525</v>
      </c>
      <c r="BI94" s="1062">
        <f>+(BE94+AU94)/AO94</f>
        <v>5.5112061191088545E-2</v>
      </c>
      <c r="BJ94" s="1145" t="s">
        <v>1643</v>
      </c>
      <c r="BK94" s="1194">
        <v>6</v>
      </c>
      <c r="BL94" s="1072" t="str">
        <f>+AN94</f>
        <v>Realizar las actividades programadas en el Plan Anual Bienestar e Incentivos que implican costo a fin de fomentar la integración, respeto, tolerancia, sana competencia, esparcimiento y participación de los Servidores Públicos de la Entidad</v>
      </c>
      <c r="BM94" s="1056">
        <f>+(AO94/18)*6</f>
        <v>99796666.666666672</v>
      </c>
      <c r="BN94" s="1068">
        <v>3</v>
      </c>
      <c r="BO94" s="1056"/>
      <c r="BP94" s="1062">
        <f>+(BN94/BK94)</f>
        <v>0.5</v>
      </c>
      <c r="BQ94" s="1062">
        <f>+(BO94/BM94)</f>
        <v>0</v>
      </c>
      <c r="BR94" s="1062">
        <f>+(BD94+AT94+BN94)/AM94</f>
        <v>0.31578947368421051</v>
      </c>
      <c r="BS94" s="1062">
        <f>+(BE94+AU94+BO94)/AO94</f>
        <v>5.5112061191088545E-2</v>
      </c>
      <c r="BT94" s="1092" t="s">
        <v>1914</v>
      </c>
      <c r="BU94" s="1194">
        <v>10</v>
      </c>
      <c r="BV94" s="1072" t="str">
        <f>+AN94</f>
        <v>Realizar las actividades programadas en el Plan Anual Bienestar e Incentivos que implican costo a fin de fomentar la integración, respeto, tolerancia, sana competencia, esparcimiento y participación de los Servidores Públicos de la Entidad</v>
      </c>
      <c r="BW94" s="1056">
        <f>+(AO94/18)*10</f>
        <v>166327777.77777779</v>
      </c>
      <c r="BX94" s="1068"/>
      <c r="BY94" s="1068"/>
      <c r="BZ94" s="1155">
        <f>+(BX94/BU94)</f>
        <v>0</v>
      </c>
      <c r="CA94" s="1155">
        <f>+(BY94/BW94)</f>
        <v>0</v>
      </c>
      <c r="CB94" s="1155">
        <f>+(BD94+AT94+BN94+BX94)/AM94</f>
        <v>0.31578947368421051</v>
      </c>
      <c r="CC94" s="1155">
        <f>+(BE94+AU94+BO94+BY94)/AO94</f>
        <v>5.5112061191088545E-2</v>
      </c>
      <c r="CD94" s="1155"/>
      <c r="CE94" s="1078">
        <f t="shared" si="157"/>
        <v>1</v>
      </c>
      <c r="CF94" s="1078" t="str">
        <f t="shared" si="158"/>
        <v>No Prog ni Ejec</v>
      </c>
      <c r="CG94" s="1078">
        <f t="shared" si="159"/>
        <v>1</v>
      </c>
      <c r="CH94" s="1078">
        <f t="shared" si="160"/>
        <v>0.49600855071979694</v>
      </c>
      <c r="CI94" s="1078">
        <f t="shared" si="161"/>
        <v>0.5</v>
      </c>
      <c r="CJ94" s="1078">
        <f t="shared" si="162"/>
        <v>0</v>
      </c>
      <c r="CK94" s="1078">
        <f t="shared" si="163"/>
        <v>0</v>
      </c>
      <c r="CL94" s="1081">
        <f t="shared" si="164"/>
        <v>0</v>
      </c>
      <c r="CM94" s="128">
        <f>+AC94-AS94-BC94-BM94-BW94</f>
        <v>0</v>
      </c>
      <c r="CX94" s="70">
        <v>7</v>
      </c>
      <c r="DB94" s="70">
        <v>11</v>
      </c>
    </row>
    <row r="95" spans="1:106" s="70" customFormat="1" ht="89.25" customHeight="1" x14ac:dyDescent="0.2">
      <c r="A95" s="697">
        <v>11700</v>
      </c>
      <c r="B95" s="636" t="s">
        <v>14</v>
      </c>
      <c r="C95" s="636" t="s">
        <v>335</v>
      </c>
      <c r="D95" s="636"/>
      <c r="E95" s="636"/>
      <c r="F95" s="636" t="s">
        <v>1020</v>
      </c>
      <c r="G95" s="636"/>
      <c r="H95" s="636" t="s">
        <v>1020</v>
      </c>
      <c r="I95" s="636"/>
      <c r="J95" s="636"/>
      <c r="K95" s="636"/>
      <c r="L95" s="636" t="s">
        <v>1020</v>
      </c>
      <c r="M95" s="636"/>
      <c r="N95" s="636"/>
      <c r="O95" s="636"/>
      <c r="P95" s="636"/>
      <c r="Q95" s="636" t="s">
        <v>204</v>
      </c>
      <c r="R95" s="636" t="s">
        <v>204</v>
      </c>
      <c r="S95" s="638" t="s">
        <v>238</v>
      </c>
      <c r="T95" s="636" t="s">
        <v>94</v>
      </c>
      <c r="U95" s="636" t="s">
        <v>204</v>
      </c>
      <c r="V95" s="636" t="s">
        <v>204</v>
      </c>
      <c r="W95" s="638" t="s">
        <v>1092</v>
      </c>
      <c r="X95" s="636" t="s">
        <v>820</v>
      </c>
      <c r="Y95" s="60" t="s">
        <v>408</v>
      </c>
      <c r="Z95" s="1195"/>
      <c r="AA95" s="1068"/>
      <c r="AB95" s="1072"/>
      <c r="AC95" s="1053"/>
      <c r="AD95" s="1147"/>
      <c r="AE95" s="1072"/>
      <c r="AF95" s="1072"/>
      <c r="AG95" s="1072"/>
      <c r="AH95" s="1072"/>
      <c r="AI95" s="1072"/>
      <c r="AJ95" s="827" t="s">
        <v>1289</v>
      </c>
      <c r="AK95" s="1050"/>
      <c r="AL95" s="1072"/>
      <c r="AM95" s="1194"/>
      <c r="AN95" s="1072"/>
      <c r="AO95" s="1053"/>
      <c r="AP95" s="860" t="s">
        <v>46</v>
      </c>
      <c r="AQ95" s="1194"/>
      <c r="AR95" s="1072"/>
      <c r="AS95" s="1056"/>
      <c r="AT95" s="1068"/>
      <c r="AU95" s="1056"/>
      <c r="AV95" s="1062"/>
      <c r="AW95" s="1062"/>
      <c r="AX95" s="1062"/>
      <c r="AY95" s="1062"/>
      <c r="AZ95" s="1196"/>
      <c r="BA95" s="1194"/>
      <c r="BB95" s="1072"/>
      <c r="BC95" s="1056"/>
      <c r="BD95" s="1068"/>
      <c r="BE95" s="1075"/>
      <c r="BF95" s="1062"/>
      <c r="BG95" s="1062"/>
      <c r="BH95" s="1062"/>
      <c r="BI95" s="1062"/>
      <c r="BJ95" s="1146"/>
      <c r="BK95" s="1194"/>
      <c r="BL95" s="1072"/>
      <c r="BM95" s="1056"/>
      <c r="BN95" s="1068"/>
      <c r="BO95" s="1056"/>
      <c r="BP95" s="1062"/>
      <c r="BQ95" s="1062"/>
      <c r="BR95" s="1062"/>
      <c r="BS95" s="1062"/>
      <c r="BT95" s="1092"/>
      <c r="BU95" s="1194"/>
      <c r="BV95" s="1072"/>
      <c r="BW95" s="1056"/>
      <c r="BX95" s="1068"/>
      <c r="BY95" s="1068"/>
      <c r="BZ95" s="1155"/>
      <c r="CA95" s="1155"/>
      <c r="CB95" s="1155"/>
      <c r="CC95" s="1155"/>
      <c r="CD95" s="1155"/>
      <c r="CE95" s="1078"/>
      <c r="CF95" s="1078"/>
      <c r="CG95" s="1078"/>
      <c r="CH95" s="1078"/>
      <c r="CI95" s="1078"/>
      <c r="CJ95" s="1078"/>
      <c r="CK95" s="1078"/>
      <c r="CL95" s="1081"/>
      <c r="CM95" s="128">
        <f>+AC95-AS95-BC95-BM95-BW95</f>
        <v>0</v>
      </c>
      <c r="CX95" s="70">
        <v>7</v>
      </c>
      <c r="DB95" s="70">
        <v>11</v>
      </c>
    </row>
    <row r="96" spans="1:106" s="70" customFormat="1" ht="102" customHeight="1" x14ac:dyDescent="0.2">
      <c r="A96" s="697">
        <v>11700</v>
      </c>
      <c r="B96" s="636" t="s">
        <v>14</v>
      </c>
      <c r="C96" s="636" t="s">
        <v>335</v>
      </c>
      <c r="D96" s="636"/>
      <c r="E96" s="636"/>
      <c r="F96" s="636" t="s">
        <v>1020</v>
      </c>
      <c r="G96" s="636"/>
      <c r="H96" s="636" t="s">
        <v>1020</v>
      </c>
      <c r="I96" s="636"/>
      <c r="J96" s="636"/>
      <c r="K96" s="636"/>
      <c r="L96" s="636" t="s">
        <v>1020</v>
      </c>
      <c r="M96" s="636"/>
      <c r="N96" s="636"/>
      <c r="O96" s="636"/>
      <c r="P96" s="636"/>
      <c r="Q96" s="636" t="s">
        <v>204</v>
      </c>
      <c r="R96" s="636" t="s">
        <v>204</v>
      </c>
      <c r="S96" s="638" t="s">
        <v>238</v>
      </c>
      <c r="T96" s="636" t="s">
        <v>94</v>
      </c>
      <c r="U96" s="636" t="s">
        <v>204</v>
      </c>
      <c r="V96" s="636" t="s">
        <v>204</v>
      </c>
      <c r="W96" s="638" t="s">
        <v>1093</v>
      </c>
      <c r="X96" s="636" t="s">
        <v>821</v>
      </c>
      <c r="Y96" s="60" t="s">
        <v>408</v>
      </c>
      <c r="Z96" s="1195"/>
      <c r="AA96" s="1068"/>
      <c r="AB96" s="1072"/>
      <c r="AC96" s="1053"/>
      <c r="AD96" s="1147"/>
      <c r="AE96" s="1072"/>
      <c r="AF96" s="1072"/>
      <c r="AG96" s="1072"/>
      <c r="AH96" s="1072"/>
      <c r="AI96" s="1072"/>
      <c r="AJ96" s="827" t="s">
        <v>1289</v>
      </c>
      <c r="AK96" s="1050"/>
      <c r="AL96" s="1072"/>
      <c r="AM96" s="1194"/>
      <c r="AN96" s="1072"/>
      <c r="AO96" s="1053"/>
      <c r="AP96" s="860" t="s">
        <v>46</v>
      </c>
      <c r="AQ96" s="1194"/>
      <c r="AR96" s="1072"/>
      <c r="AS96" s="1056"/>
      <c r="AT96" s="1068"/>
      <c r="AU96" s="1056"/>
      <c r="AV96" s="1062"/>
      <c r="AW96" s="1062"/>
      <c r="AX96" s="1062"/>
      <c r="AY96" s="1062"/>
      <c r="AZ96" s="1196"/>
      <c r="BA96" s="1194"/>
      <c r="BB96" s="1072"/>
      <c r="BC96" s="1056"/>
      <c r="BD96" s="1068"/>
      <c r="BE96" s="1075"/>
      <c r="BF96" s="1062"/>
      <c r="BG96" s="1062"/>
      <c r="BH96" s="1062"/>
      <c r="BI96" s="1062"/>
      <c r="BJ96" s="1146"/>
      <c r="BK96" s="1194"/>
      <c r="BL96" s="1072"/>
      <c r="BM96" s="1056"/>
      <c r="BN96" s="1068"/>
      <c r="BO96" s="1056"/>
      <c r="BP96" s="1062"/>
      <c r="BQ96" s="1062"/>
      <c r="BR96" s="1062"/>
      <c r="BS96" s="1062"/>
      <c r="BT96" s="1092"/>
      <c r="BU96" s="1194"/>
      <c r="BV96" s="1072"/>
      <c r="BW96" s="1056"/>
      <c r="BX96" s="1068"/>
      <c r="BY96" s="1068"/>
      <c r="BZ96" s="1155"/>
      <c r="CA96" s="1155"/>
      <c r="CB96" s="1155"/>
      <c r="CC96" s="1155"/>
      <c r="CD96" s="1155"/>
      <c r="CE96" s="1078"/>
      <c r="CF96" s="1078"/>
      <c r="CG96" s="1078"/>
      <c r="CH96" s="1078"/>
      <c r="CI96" s="1078"/>
      <c r="CJ96" s="1078"/>
      <c r="CK96" s="1078"/>
      <c r="CL96" s="1081"/>
      <c r="CM96" s="128"/>
      <c r="CX96" s="70">
        <v>7</v>
      </c>
      <c r="DB96" s="70">
        <v>11</v>
      </c>
    </row>
    <row r="97" spans="1:106" s="70" customFormat="1" ht="105.75" customHeight="1" x14ac:dyDescent="0.2">
      <c r="A97" s="697">
        <v>11700</v>
      </c>
      <c r="B97" s="636" t="s">
        <v>14</v>
      </c>
      <c r="C97" s="636" t="s">
        <v>335</v>
      </c>
      <c r="D97" s="636"/>
      <c r="E97" s="636"/>
      <c r="F97" s="636" t="s">
        <v>1020</v>
      </c>
      <c r="G97" s="636"/>
      <c r="H97" s="636" t="s">
        <v>1020</v>
      </c>
      <c r="I97" s="636"/>
      <c r="J97" s="636"/>
      <c r="K97" s="636"/>
      <c r="L97" s="636" t="s">
        <v>1020</v>
      </c>
      <c r="M97" s="636"/>
      <c r="N97" s="636"/>
      <c r="O97" s="636"/>
      <c r="P97" s="636"/>
      <c r="Q97" s="636" t="s">
        <v>204</v>
      </c>
      <c r="R97" s="636" t="s">
        <v>204</v>
      </c>
      <c r="S97" s="638" t="s">
        <v>238</v>
      </c>
      <c r="T97" s="636" t="s">
        <v>94</v>
      </c>
      <c r="U97" s="636" t="s">
        <v>204</v>
      </c>
      <c r="V97" s="636" t="s">
        <v>204</v>
      </c>
      <c r="W97" s="638" t="s">
        <v>1094</v>
      </c>
      <c r="X97" s="636" t="s">
        <v>822</v>
      </c>
      <c r="Y97" s="60" t="s">
        <v>408</v>
      </c>
      <c r="Z97" s="1195"/>
      <c r="AA97" s="1068"/>
      <c r="AB97" s="1072"/>
      <c r="AC97" s="1053"/>
      <c r="AD97" s="1147"/>
      <c r="AE97" s="1072"/>
      <c r="AF97" s="1072"/>
      <c r="AG97" s="1072"/>
      <c r="AH97" s="1072"/>
      <c r="AI97" s="1072"/>
      <c r="AJ97" s="827" t="s">
        <v>1289</v>
      </c>
      <c r="AK97" s="1050"/>
      <c r="AL97" s="1072"/>
      <c r="AM97" s="1194"/>
      <c r="AN97" s="1072"/>
      <c r="AO97" s="1053"/>
      <c r="AP97" s="860" t="s">
        <v>46</v>
      </c>
      <c r="AQ97" s="1194"/>
      <c r="AR97" s="1072"/>
      <c r="AS97" s="1056"/>
      <c r="AT97" s="1068"/>
      <c r="AU97" s="1056"/>
      <c r="AV97" s="1062"/>
      <c r="AW97" s="1062"/>
      <c r="AX97" s="1062"/>
      <c r="AY97" s="1062"/>
      <c r="AZ97" s="1196"/>
      <c r="BA97" s="1194"/>
      <c r="BB97" s="1072"/>
      <c r="BC97" s="1056"/>
      <c r="BD97" s="1068"/>
      <c r="BE97" s="1075"/>
      <c r="BF97" s="1062"/>
      <c r="BG97" s="1062"/>
      <c r="BH97" s="1062"/>
      <c r="BI97" s="1062"/>
      <c r="BJ97" s="1146"/>
      <c r="BK97" s="1194"/>
      <c r="BL97" s="1072"/>
      <c r="BM97" s="1056"/>
      <c r="BN97" s="1068"/>
      <c r="BO97" s="1056"/>
      <c r="BP97" s="1062"/>
      <c r="BQ97" s="1062"/>
      <c r="BR97" s="1062"/>
      <c r="BS97" s="1062"/>
      <c r="BT97" s="1092"/>
      <c r="BU97" s="1194"/>
      <c r="BV97" s="1072"/>
      <c r="BW97" s="1056"/>
      <c r="BX97" s="1068"/>
      <c r="BY97" s="1068"/>
      <c r="BZ97" s="1155"/>
      <c r="CA97" s="1155"/>
      <c r="CB97" s="1155"/>
      <c r="CC97" s="1155"/>
      <c r="CD97" s="1155"/>
      <c r="CE97" s="1078"/>
      <c r="CF97" s="1078"/>
      <c r="CG97" s="1078"/>
      <c r="CH97" s="1078"/>
      <c r="CI97" s="1078"/>
      <c r="CJ97" s="1078"/>
      <c r="CK97" s="1078"/>
      <c r="CL97" s="1081"/>
      <c r="CM97" s="128"/>
      <c r="CX97" s="70">
        <v>7</v>
      </c>
      <c r="DB97" s="70">
        <v>11</v>
      </c>
    </row>
    <row r="98" spans="1:106" s="70" customFormat="1" ht="104.25" customHeight="1" x14ac:dyDescent="0.2">
      <c r="A98" s="697">
        <v>11700</v>
      </c>
      <c r="B98" s="636" t="s">
        <v>14</v>
      </c>
      <c r="C98" s="636" t="s">
        <v>335</v>
      </c>
      <c r="D98" s="636"/>
      <c r="E98" s="636"/>
      <c r="F98" s="636" t="s">
        <v>1020</v>
      </c>
      <c r="G98" s="636"/>
      <c r="H98" s="636" t="s">
        <v>1020</v>
      </c>
      <c r="I98" s="636"/>
      <c r="J98" s="636"/>
      <c r="K98" s="636"/>
      <c r="L98" s="636" t="s">
        <v>1020</v>
      </c>
      <c r="M98" s="636"/>
      <c r="N98" s="636"/>
      <c r="O98" s="636"/>
      <c r="P98" s="636"/>
      <c r="Q98" s="636" t="s">
        <v>204</v>
      </c>
      <c r="R98" s="636" t="s">
        <v>204</v>
      </c>
      <c r="S98" s="638" t="s">
        <v>238</v>
      </c>
      <c r="T98" s="636" t="s">
        <v>94</v>
      </c>
      <c r="U98" s="636" t="s">
        <v>204</v>
      </c>
      <c r="V98" s="636" t="s">
        <v>204</v>
      </c>
      <c r="W98" s="638" t="s">
        <v>1095</v>
      </c>
      <c r="X98" s="636" t="s">
        <v>823</v>
      </c>
      <c r="Y98" s="60" t="s">
        <v>408</v>
      </c>
      <c r="Z98" s="1195"/>
      <c r="AA98" s="1068"/>
      <c r="AB98" s="1072"/>
      <c r="AC98" s="1053"/>
      <c r="AD98" s="1147"/>
      <c r="AE98" s="1072"/>
      <c r="AF98" s="1072"/>
      <c r="AG98" s="1072"/>
      <c r="AH98" s="1072"/>
      <c r="AI98" s="1072"/>
      <c r="AJ98" s="827" t="s">
        <v>1289</v>
      </c>
      <c r="AK98" s="1050"/>
      <c r="AL98" s="1072"/>
      <c r="AM98" s="1194"/>
      <c r="AN98" s="1072"/>
      <c r="AO98" s="1053"/>
      <c r="AP98" s="860" t="s">
        <v>46</v>
      </c>
      <c r="AQ98" s="1194"/>
      <c r="AR98" s="1072"/>
      <c r="AS98" s="1056"/>
      <c r="AT98" s="1068"/>
      <c r="AU98" s="1056"/>
      <c r="AV98" s="1062"/>
      <c r="AW98" s="1062"/>
      <c r="AX98" s="1062"/>
      <c r="AY98" s="1062"/>
      <c r="AZ98" s="1196"/>
      <c r="BA98" s="1194"/>
      <c r="BB98" s="1072"/>
      <c r="BC98" s="1056"/>
      <c r="BD98" s="1068"/>
      <c r="BE98" s="1075"/>
      <c r="BF98" s="1062"/>
      <c r="BG98" s="1062"/>
      <c r="BH98" s="1062"/>
      <c r="BI98" s="1062"/>
      <c r="BJ98" s="1146"/>
      <c r="BK98" s="1194"/>
      <c r="BL98" s="1072"/>
      <c r="BM98" s="1056"/>
      <c r="BN98" s="1068"/>
      <c r="BO98" s="1056"/>
      <c r="BP98" s="1062"/>
      <c r="BQ98" s="1062"/>
      <c r="BR98" s="1062"/>
      <c r="BS98" s="1062"/>
      <c r="BT98" s="1092"/>
      <c r="BU98" s="1194"/>
      <c r="BV98" s="1072"/>
      <c r="BW98" s="1056"/>
      <c r="BX98" s="1068"/>
      <c r="BY98" s="1068"/>
      <c r="BZ98" s="1155"/>
      <c r="CA98" s="1155"/>
      <c r="CB98" s="1155"/>
      <c r="CC98" s="1155"/>
      <c r="CD98" s="1155"/>
      <c r="CE98" s="1078"/>
      <c r="CF98" s="1078"/>
      <c r="CG98" s="1078"/>
      <c r="CH98" s="1078"/>
      <c r="CI98" s="1078"/>
      <c r="CJ98" s="1078"/>
      <c r="CK98" s="1078"/>
      <c r="CL98" s="1081"/>
      <c r="CM98" s="128"/>
      <c r="CX98" s="70">
        <v>7</v>
      </c>
      <c r="DB98" s="70">
        <v>11</v>
      </c>
    </row>
    <row r="99" spans="1:106" s="70" customFormat="1" ht="104.25" customHeight="1" x14ac:dyDescent="0.2">
      <c r="A99" s="697">
        <v>11700</v>
      </c>
      <c r="B99" s="636" t="s">
        <v>14</v>
      </c>
      <c r="C99" s="636" t="s">
        <v>335</v>
      </c>
      <c r="D99" s="636"/>
      <c r="E99" s="636"/>
      <c r="F99" s="636"/>
      <c r="G99" s="636"/>
      <c r="H99" s="636" t="s">
        <v>1020</v>
      </c>
      <c r="I99" s="636"/>
      <c r="J99" s="636"/>
      <c r="K99" s="636"/>
      <c r="L99" s="636" t="s">
        <v>1020</v>
      </c>
      <c r="M99" s="636"/>
      <c r="N99" s="636"/>
      <c r="O99" s="636"/>
      <c r="P99" s="636"/>
      <c r="Q99" s="636" t="s">
        <v>204</v>
      </c>
      <c r="R99" s="636" t="s">
        <v>204</v>
      </c>
      <c r="S99" s="638" t="s">
        <v>111</v>
      </c>
      <c r="T99" s="636" t="s">
        <v>94</v>
      </c>
      <c r="U99" s="636" t="s">
        <v>204</v>
      </c>
      <c r="V99" s="636" t="s">
        <v>204</v>
      </c>
      <c r="W99" s="835" t="s">
        <v>1096</v>
      </c>
      <c r="X99" s="636" t="s">
        <v>824</v>
      </c>
      <c r="Y99" s="60" t="s">
        <v>408</v>
      </c>
      <c r="Z99" s="1195"/>
      <c r="AA99" s="1068"/>
      <c r="AB99" s="1072"/>
      <c r="AC99" s="1053"/>
      <c r="AD99" s="832">
        <v>1</v>
      </c>
      <c r="AE99" s="1072"/>
      <c r="AF99" s="1072"/>
      <c r="AG99" s="1072"/>
      <c r="AH99" s="1072"/>
      <c r="AI99" s="1072"/>
      <c r="AJ99" s="827" t="s">
        <v>1289</v>
      </c>
      <c r="AK99" s="1050"/>
      <c r="AL99" s="1072"/>
      <c r="AM99" s="1194"/>
      <c r="AN99" s="1072"/>
      <c r="AO99" s="1053"/>
      <c r="AP99" s="1068" t="s">
        <v>46</v>
      </c>
      <c r="AQ99" s="1194"/>
      <c r="AR99" s="1072"/>
      <c r="AS99" s="1056"/>
      <c r="AT99" s="1068"/>
      <c r="AU99" s="1056"/>
      <c r="AV99" s="1062"/>
      <c r="AW99" s="1062"/>
      <c r="AX99" s="1062"/>
      <c r="AY99" s="1062"/>
      <c r="AZ99" s="1196"/>
      <c r="BA99" s="1194"/>
      <c r="BB99" s="1072"/>
      <c r="BC99" s="1056"/>
      <c r="BD99" s="1068"/>
      <c r="BE99" s="1075"/>
      <c r="BF99" s="1062"/>
      <c r="BG99" s="1062"/>
      <c r="BH99" s="1062"/>
      <c r="BI99" s="1062"/>
      <c r="BJ99" s="1146"/>
      <c r="BK99" s="1194"/>
      <c r="BL99" s="1072"/>
      <c r="BM99" s="1056"/>
      <c r="BN99" s="1068"/>
      <c r="BO99" s="1056"/>
      <c r="BP99" s="1062"/>
      <c r="BQ99" s="1062"/>
      <c r="BR99" s="1062"/>
      <c r="BS99" s="1062"/>
      <c r="BT99" s="1092"/>
      <c r="BU99" s="1194"/>
      <c r="BV99" s="1072"/>
      <c r="BW99" s="1056"/>
      <c r="BX99" s="1068"/>
      <c r="BY99" s="1068"/>
      <c r="BZ99" s="1155"/>
      <c r="CA99" s="1155"/>
      <c r="CB99" s="1155"/>
      <c r="CC99" s="1155"/>
      <c r="CD99" s="1155"/>
      <c r="CE99" s="1078"/>
      <c r="CF99" s="1078"/>
      <c r="CG99" s="1078"/>
      <c r="CH99" s="1078"/>
      <c r="CI99" s="1078"/>
      <c r="CJ99" s="1078"/>
      <c r="CK99" s="1078"/>
      <c r="CL99" s="1081"/>
      <c r="CM99" s="128"/>
    </row>
    <row r="100" spans="1:106" s="70" customFormat="1" ht="104.25" customHeight="1" x14ac:dyDescent="0.2">
      <c r="A100" s="697">
        <v>11700</v>
      </c>
      <c r="B100" s="636" t="s">
        <v>14</v>
      </c>
      <c r="C100" s="636" t="s">
        <v>335</v>
      </c>
      <c r="D100" s="636"/>
      <c r="E100" s="636"/>
      <c r="F100" s="636"/>
      <c r="G100" s="636"/>
      <c r="H100" s="636" t="s">
        <v>1020</v>
      </c>
      <c r="I100" s="636"/>
      <c r="J100" s="636"/>
      <c r="K100" s="636"/>
      <c r="L100" s="636" t="s">
        <v>1020</v>
      </c>
      <c r="M100" s="636"/>
      <c r="N100" s="636"/>
      <c r="O100" s="636"/>
      <c r="P100" s="636"/>
      <c r="Q100" s="636" t="s">
        <v>204</v>
      </c>
      <c r="R100" s="636" t="s">
        <v>204</v>
      </c>
      <c r="S100" s="638" t="s">
        <v>111</v>
      </c>
      <c r="T100" s="636" t="s">
        <v>94</v>
      </c>
      <c r="U100" s="636" t="s">
        <v>204</v>
      </c>
      <c r="V100" s="636" t="s">
        <v>204</v>
      </c>
      <c r="W100" s="835" t="s">
        <v>1564</v>
      </c>
      <c r="X100" s="636" t="s">
        <v>807</v>
      </c>
      <c r="Y100" s="60" t="s">
        <v>408</v>
      </c>
      <c r="Z100" s="1195"/>
      <c r="AA100" s="1068"/>
      <c r="AB100" s="1072"/>
      <c r="AC100" s="1053"/>
      <c r="AD100" s="832">
        <v>1</v>
      </c>
      <c r="AE100" s="1072"/>
      <c r="AF100" s="1072"/>
      <c r="AG100" s="1072"/>
      <c r="AH100" s="1072"/>
      <c r="AI100" s="1072"/>
      <c r="AJ100" s="827" t="s">
        <v>1289</v>
      </c>
      <c r="AK100" s="1050"/>
      <c r="AL100" s="1072"/>
      <c r="AM100" s="1194"/>
      <c r="AN100" s="1072"/>
      <c r="AO100" s="1053"/>
      <c r="AP100" s="1068"/>
      <c r="AQ100" s="1194"/>
      <c r="AR100" s="1072"/>
      <c r="AS100" s="1056"/>
      <c r="AT100" s="1068"/>
      <c r="AU100" s="1056"/>
      <c r="AV100" s="1062"/>
      <c r="AW100" s="1062"/>
      <c r="AX100" s="1062"/>
      <c r="AY100" s="1062"/>
      <c r="AZ100" s="1196"/>
      <c r="BA100" s="1194"/>
      <c r="BB100" s="1072"/>
      <c r="BC100" s="1056"/>
      <c r="BD100" s="1068"/>
      <c r="BE100" s="1075"/>
      <c r="BF100" s="1062"/>
      <c r="BG100" s="1062"/>
      <c r="BH100" s="1062"/>
      <c r="BI100" s="1062"/>
      <c r="BJ100" s="1146"/>
      <c r="BK100" s="1194"/>
      <c r="BL100" s="1072"/>
      <c r="BM100" s="1056"/>
      <c r="BN100" s="1068"/>
      <c r="BO100" s="1056"/>
      <c r="BP100" s="1062"/>
      <c r="BQ100" s="1062"/>
      <c r="BR100" s="1062"/>
      <c r="BS100" s="1062"/>
      <c r="BT100" s="1092"/>
      <c r="BU100" s="1194"/>
      <c r="BV100" s="1072"/>
      <c r="BW100" s="1056"/>
      <c r="BX100" s="1068"/>
      <c r="BY100" s="1068"/>
      <c r="BZ100" s="1155"/>
      <c r="CA100" s="1155"/>
      <c r="CB100" s="1155"/>
      <c r="CC100" s="1155"/>
      <c r="CD100" s="1155"/>
      <c r="CE100" s="1078"/>
      <c r="CF100" s="1078"/>
      <c r="CG100" s="1078"/>
      <c r="CH100" s="1078"/>
      <c r="CI100" s="1078"/>
      <c r="CJ100" s="1078"/>
      <c r="CK100" s="1078"/>
      <c r="CL100" s="1081"/>
      <c r="CM100" s="128"/>
    </row>
    <row r="101" spans="1:106" s="70" customFormat="1" ht="104.25" customHeight="1" x14ac:dyDescent="0.2">
      <c r="A101" s="697">
        <v>11700</v>
      </c>
      <c r="B101" s="636" t="s">
        <v>14</v>
      </c>
      <c r="C101" s="636" t="s">
        <v>335</v>
      </c>
      <c r="D101" s="636"/>
      <c r="E101" s="636"/>
      <c r="F101" s="636"/>
      <c r="G101" s="636"/>
      <c r="H101" s="636" t="s">
        <v>1020</v>
      </c>
      <c r="I101" s="636"/>
      <c r="J101" s="636"/>
      <c r="K101" s="636"/>
      <c r="L101" s="636" t="s">
        <v>1020</v>
      </c>
      <c r="M101" s="636"/>
      <c r="N101" s="636"/>
      <c r="O101" s="636"/>
      <c r="P101" s="636"/>
      <c r="Q101" s="636" t="s">
        <v>204</v>
      </c>
      <c r="R101" s="636" t="s">
        <v>204</v>
      </c>
      <c r="S101" s="638" t="s">
        <v>111</v>
      </c>
      <c r="T101" s="636" t="s">
        <v>94</v>
      </c>
      <c r="U101" s="636" t="s">
        <v>204</v>
      </c>
      <c r="V101" s="636" t="s">
        <v>204</v>
      </c>
      <c r="W101" s="835" t="s">
        <v>1565</v>
      </c>
      <c r="X101" s="636" t="s">
        <v>808</v>
      </c>
      <c r="Y101" s="60" t="s">
        <v>408</v>
      </c>
      <c r="Z101" s="1195"/>
      <c r="AA101" s="1068"/>
      <c r="AB101" s="1072"/>
      <c r="AC101" s="1053"/>
      <c r="AD101" s="832">
        <v>1</v>
      </c>
      <c r="AE101" s="1072"/>
      <c r="AF101" s="1072"/>
      <c r="AG101" s="1072"/>
      <c r="AH101" s="1072"/>
      <c r="AI101" s="1072"/>
      <c r="AJ101" s="827" t="s">
        <v>1289</v>
      </c>
      <c r="AK101" s="1050"/>
      <c r="AL101" s="1072"/>
      <c r="AM101" s="1194"/>
      <c r="AN101" s="1072"/>
      <c r="AO101" s="1053"/>
      <c r="AP101" s="1068"/>
      <c r="AQ101" s="1194"/>
      <c r="AR101" s="1072"/>
      <c r="AS101" s="1056"/>
      <c r="AT101" s="1068"/>
      <c r="AU101" s="1056"/>
      <c r="AV101" s="1062"/>
      <c r="AW101" s="1062"/>
      <c r="AX101" s="1062"/>
      <c r="AY101" s="1062"/>
      <c r="AZ101" s="1196"/>
      <c r="BA101" s="1194"/>
      <c r="BB101" s="1072"/>
      <c r="BC101" s="1056"/>
      <c r="BD101" s="1068"/>
      <c r="BE101" s="1075"/>
      <c r="BF101" s="1062"/>
      <c r="BG101" s="1062"/>
      <c r="BH101" s="1062"/>
      <c r="BI101" s="1062"/>
      <c r="BJ101" s="1146"/>
      <c r="BK101" s="1194"/>
      <c r="BL101" s="1072"/>
      <c r="BM101" s="1056"/>
      <c r="BN101" s="1068"/>
      <c r="BO101" s="1056"/>
      <c r="BP101" s="1062"/>
      <c r="BQ101" s="1062"/>
      <c r="BR101" s="1062"/>
      <c r="BS101" s="1062"/>
      <c r="BT101" s="1092"/>
      <c r="BU101" s="1194"/>
      <c r="BV101" s="1072"/>
      <c r="BW101" s="1056"/>
      <c r="BX101" s="1068"/>
      <c r="BY101" s="1068"/>
      <c r="BZ101" s="1155"/>
      <c r="CA101" s="1155"/>
      <c r="CB101" s="1155"/>
      <c r="CC101" s="1155"/>
      <c r="CD101" s="1155"/>
      <c r="CE101" s="1078"/>
      <c r="CF101" s="1078"/>
      <c r="CG101" s="1078"/>
      <c r="CH101" s="1078"/>
      <c r="CI101" s="1078"/>
      <c r="CJ101" s="1078"/>
      <c r="CK101" s="1078"/>
      <c r="CL101" s="1081"/>
      <c r="CM101" s="128"/>
    </row>
    <row r="102" spans="1:106" s="70" customFormat="1" ht="104.25" customHeight="1" x14ac:dyDescent="0.2">
      <c r="A102" s="697">
        <v>11700</v>
      </c>
      <c r="B102" s="636" t="s">
        <v>14</v>
      </c>
      <c r="C102" s="636" t="s">
        <v>335</v>
      </c>
      <c r="D102" s="636"/>
      <c r="E102" s="636"/>
      <c r="F102" s="636"/>
      <c r="G102" s="636"/>
      <c r="H102" s="636" t="s">
        <v>1020</v>
      </c>
      <c r="I102" s="636"/>
      <c r="J102" s="636"/>
      <c r="K102" s="636"/>
      <c r="L102" s="636" t="s">
        <v>1020</v>
      </c>
      <c r="M102" s="636"/>
      <c r="N102" s="636"/>
      <c r="O102" s="636"/>
      <c r="P102" s="636"/>
      <c r="Q102" s="636" t="s">
        <v>204</v>
      </c>
      <c r="R102" s="636" t="s">
        <v>204</v>
      </c>
      <c r="S102" s="638" t="s">
        <v>111</v>
      </c>
      <c r="T102" s="636" t="s">
        <v>94</v>
      </c>
      <c r="U102" s="636" t="s">
        <v>204</v>
      </c>
      <c r="V102" s="636" t="s">
        <v>204</v>
      </c>
      <c r="W102" s="835" t="s">
        <v>1567</v>
      </c>
      <c r="X102" s="636" t="s">
        <v>809</v>
      </c>
      <c r="Y102" s="60" t="s">
        <v>408</v>
      </c>
      <c r="Z102" s="1195"/>
      <c r="AA102" s="1068"/>
      <c r="AB102" s="1072"/>
      <c r="AC102" s="1053"/>
      <c r="AD102" s="832">
        <v>1</v>
      </c>
      <c r="AE102" s="1072"/>
      <c r="AF102" s="1072"/>
      <c r="AG102" s="1072"/>
      <c r="AH102" s="1072"/>
      <c r="AI102" s="1072"/>
      <c r="AJ102" s="827" t="s">
        <v>1289</v>
      </c>
      <c r="AK102" s="1050"/>
      <c r="AL102" s="1072"/>
      <c r="AM102" s="1194"/>
      <c r="AN102" s="1072"/>
      <c r="AO102" s="1053"/>
      <c r="AP102" s="1068"/>
      <c r="AQ102" s="1194"/>
      <c r="AR102" s="1072"/>
      <c r="AS102" s="1056"/>
      <c r="AT102" s="1068"/>
      <c r="AU102" s="1056"/>
      <c r="AV102" s="1062"/>
      <c r="AW102" s="1062"/>
      <c r="AX102" s="1062"/>
      <c r="AY102" s="1062"/>
      <c r="AZ102" s="1196"/>
      <c r="BA102" s="1194"/>
      <c r="BB102" s="1072"/>
      <c r="BC102" s="1056"/>
      <c r="BD102" s="1068"/>
      <c r="BE102" s="1075"/>
      <c r="BF102" s="1062"/>
      <c r="BG102" s="1062"/>
      <c r="BH102" s="1062"/>
      <c r="BI102" s="1062"/>
      <c r="BJ102" s="1146"/>
      <c r="BK102" s="1194"/>
      <c r="BL102" s="1072"/>
      <c r="BM102" s="1056"/>
      <c r="BN102" s="1068"/>
      <c r="BO102" s="1056"/>
      <c r="BP102" s="1062"/>
      <c r="BQ102" s="1062"/>
      <c r="BR102" s="1062"/>
      <c r="BS102" s="1062"/>
      <c r="BT102" s="1092"/>
      <c r="BU102" s="1194"/>
      <c r="BV102" s="1072"/>
      <c r="BW102" s="1056"/>
      <c r="BX102" s="1068"/>
      <c r="BY102" s="1068"/>
      <c r="BZ102" s="1155"/>
      <c r="CA102" s="1155"/>
      <c r="CB102" s="1155"/>
      <c r="CC102" s="1155"/>
      <c r="CD102" s="1155"/>
      <c r="CE102" s="1078"/>
      <c r="CF102" s="1078"/>
      <c r="CG102" s="1078"/>
      <c r="CH102" s="1078"/>
      <c r="CI102" s="1078"/>
      <c r="CJ102" s="1078"/>
      <c r="CK102" s="1078"/>
      <c r="CL102" s="1081"/>
      <c r="CM102" s="128"/>
    </row>
    <row r="103" spans="1:106" s="70" customFormat="1" ht="104.25" customHeight="1" x14ac:dyDescent="0.2">
      <c r="A103" s="697">
        <v>11700</v>
      </c>
      <c r="B103" s="636" t="s">
        <v>14</v>
      </c>
      <c r="C103" s="636" t="s">
        <v>335</v>
      </c>
      <c r="D103" s="636"/>
      <c r="E103" s="636"/>
      <c r="F103" s="636"/>
      <c r="G103" s="636"/>
      <c r="H103" s="636" t="s">
        <v>1020</v>
      </c>
      <c r="I103" s="636"/>
      <c r="J103" s="636"/>
      <c r="K103" s="636"/>
      <c r="L103" s="636" t="s">
        <v>1020</v>
      </c>
      <c r="M103" s="636"/>
      <c r="N103" s="636"/>
      <c r="O103" s="636"/>
      <c r="P103" s="636"/>
      <c r="Q103" s="636" t="s">
        <v>204</v>
      </c>
      <c r="R103" s="636" t="s">
        <v>204</v>
      </c>
      <c r="S103" s="638" t="s">
        <v>111</v>
      </c>
      <c r="T103" s="636" t="s">
        <v>94</v>
      </c>
      <c r="U103" s="636" t="s">
        <v>204</v>
      </c>
      <c r="V103" s="636" t="s">
        <v>204</v>
      </c>
      <c r="W103" s="835" t="s">
        <v>1568</v>
      </c>
      <c r="X103" s="636" t="s">
        <v>879</v>
      </c>
      <c r="Y103" s="60" t="s">
        <v>408</v>
      </c>
      <c r="Z103" s="1195"/>
      <c r="AA103" s="1068"/>
      <c r="AB103" s="1072"/>
      <c r="AC103" s="1053"/>
      <c r="AD103" s="832">
        <v>1</v>
      </c>
      <c r="AE103" s="1072"/>
      <c r="AF103" s="1072"/>
      <c r="AG103" s="1072"/>
      <c r="AH103" s="1072"/>
      <c r="AI103" s="1072"/>
      <c r="AJ103" s="827" t="s">
        <v>1289</v>
      </c>
      <c r="AK103" s="1050"/>
      <c r="AL103" s="1072"/>
      <c r="AM103" s="1194"/>
      <c r="AN103" s="1072"/>
      <c r="AO103" s="1053"/>
      <c r="AP103" s="1068"/>
      <c r="AQ103" s="1194"/>
      <c r="AR103" s="1072"/>
      <c r="AS103" s="1056"/>
      <c r="AT103" s="1068"/>
      <c r="AU103" s="1056"/>
      <c r="AV103" s="1062"/>
      <c r="AW103" s="1062"/>
      <c r="AX103" s="1062"/>
      <c r="AY103" s="1062"/>
      <c r="AZ103" s="1196"/>
      <c r="BA103" s="1194"/>
      <c r="BB103" s="1072"/>
      <c r="BC103" s="1056"/>
      <c r="BD103" s="1068"/>
      <c r="BE103" s="1075"/>
      <c r="BF103" s="1062"/>
      <c r="BG103" s="1062"/>
      <c r="BH103" s="1062"/>
      <c r="BI103" s="1062"/>
      <c r="BJ103" s="1146"/>
      <c r="BK103" s="1194"/>
      <c r="BL103" s="1072"/>
      <c r="BM103" s="1056"/>
      <c r="BN103" s="1068"/>
      <c r="BO103" s="1056"/>
      <c r="BP103" s="1062"/>
      <c r="BQ103" s="1062"/>
      <c r="BR103" s="1062"/>
      <c r="BS103" s="1062"/>
      <c r="BT103" s="1092"/>
      <c r="BU103" s="1194"/>
      <c r="BV103" s="1072"/>
      <c r="BW103" s="1056"/>
      <c r="BX103" s="1068"/>
      <c r="BY103" s="1068"/>
      <c r="BZ103" s="1155"/>
      <c r="CA103" s="1155"/>
      <c r="CB103" s="1155"/>
      <c r="CC103" s="1155"/>
      <c r="CD103" s="1155"/>
      <c r="CE103" s="1078"/>
      <c r="CF103" s="1078"/>
      <c r="CG103" s="1078"/>
      <c r="CH103" s="1078"/>
      <c r="CI103" s="1078"/>
      <c r="CJ103" s="1078"/>
      <c r="CK103" s="1078"/>
      <c r="CL103" s="1081"/>
      <c r="CM103" s="128"/>
    </row>
    <row r="104" spans="1:106" s="70" customFormat="1" ht="104.25" customHeight="1" x14ac:dyDescent="0.2">
      <c r="A104" s="697">
        <v>11700</v>
      </c>
      <c r="B104" s="636" t="s">
        <v>14</v>
      </c>
      <c r="C104" s="636" t="s">
        <v>335</v>
      </c>
      <c r="D104" s="636"/>
      <c r="E104" s="636"/>
      <c r="F104" s="636"/>
      <c r="G104" s="636"/>
      <c r="H104" s="636" t="s">
        <v>1020</v>
      </c>
      <c r="I104" s="636"/>
      <c r="J104" s="636"/>
      <c r="K104" s="636"/>
      <c r="L104" s="636" t="s">
        <v>1020</v>
      </c>
      <c r="M104" s="636"/>
      <c r="N104" s="636"/>
      <c r="O104" s="636"/>
      <c r="P104" s="636"/>
      <c r="Q104" s="636" t="s">
        <v>204</v>
      </c>
      <c r="R104" s="636" t="s">
        <v>204</v>
      </c>
      <c r="S104" s="638" t="s">
        <v>111</v>
      </c>
      <c r="T104" s="636" t="s">
        <v>94</v>
      </c>
      <c r="U104" s="636" t="s">
        <v>204</v>
      </c>
      <c r="V104" s="636" t="s">
        <v>204</v>
      </c>
      <c r="W104" s="835" t="s">
        <v>1569</v>
      </c>
      <c r="X104" s="636" t="s">
        <v>880</v>
      </c>
      <c r="Y104" s="60" t="s">
        <v>408</v>
      </c>
      <c r="Z104" s="1195"/>
      <c r="AA104" s="1068"/>
      <c r="AB104" s="1072"/>
      <c r="AC104" s="1053"/>
      <c r="AD104" s="832">
        <v>1</v>
      </c>
      <c r="AE104" s="1072"/>
      <c r="AF104" s="1072"/>
      <c r="AG104" s="1072"/>
      <c r="AH104" s="1072"/>
      <c r="AI104" s="1072"/>
      <c r="AJ104" s="827" t="s">
        <v>1289</v>
      </c>
      <c r="AK104" s="1050"/>
      <c r="AL104" s="1072"/>
      <c r="AM104" s="1194"/>
      <c r="AN104" s="1072"/>
      <c r="AO104" s="1053"/>
      <c r="AP104" s="1068"/>
      <c r="AQ104" s="1194"/>
      <c r="AR104" s="1072"/>
      <c r="AS104" s="1056"/>
      <c r="AT104" s="1068"/>
      <c r="AU104" s="1056"/>
      <c r="AV104" s="1062"/>
      <c r="AW104" s="1062"/>
      <c r="AX104" s="1062"/>
      <c r="AY104" s="1062"/>
      <c r="AZ104" s="1196"/>
      <c r="BA104" s="1194"/>
      <c r="BB104" s="1072"/>
      <c r="BC104" s="1056"/>
      <c r="BD104" s="1068"/>
      <c r="BE104" s="1075"/>
      <c r="BF104" s="1062"/>
      <c r="BG104" s="1062"/>
      <c r="BH104" s="1062"/>
      <c r="BI104" s="1062"/>
      <c r="BJ104" s="1146"/>
      <c r="BK104" s="1194"/>
      <c r="BL104" s="1072"/>
      <c r="BM104" s="1056"/>
      <c r="BN104" s="1068"/>
      <c r="BO104" s="1056"/>
      <c r="BP104" s="1062"/>
      <c r="BQ104" s="1062"/>
      <c r="BR104" s="1062"/>
      <c r="BS104" s="1062"/>
      <c r="BT104" s="1092"/>
      <c r="BU104" s="1194"/>
      <c r="BV104" s="1072"/>
      <c r="BW104" s="1056"/>
      <c r="BX104" s="1068"/>
      <c r="BY104" s="1068"/>
      <c r="BZ104" s="1155"/>
      <c r="CA104" s="1155"/>
      <c r="CB104" s="1155"/>
      <c r="CC104" s="1155"/>
      <c r="CD104" s="1155"/>
      <c r="CE104" s="1078"/>
      <c r="CF104" s="1078"/>
      <c r="CG104" s="1078"/>
      <c r="CH104" s="1078"/>
      <c r="CI104" s="1078"/>
      <c r="CJ104" s="1078"/>
      <c r="CK104" s="1078"/>
      <c r="CL104" s="1081"/>
      <c r="CM104" s="128"/>
    </row>
    <row r="105" spans="1:106" s="70" customFormat="1" ht="104.25" customHeight="1" x14ac:dyDescent="0.2">
      <c r="A105" s="697">
        <v>11700</v>
      </c>
      <c r="B105" s="636" t="s">
        <v>14</v>
      </c>
      <c r="C105" s="636" t="s">
        <v>335</v>
      </c>
      <c r="D105" s="636"/>
      <c r="E105" s="636"/>
      <c r="F105" s="636"/>
      <c r="G105" s="636"/>
      <c r="H105" s="636" t="s">
        <v>1020</v>
      </c>
      <c r="I105" s="636"/>
      <c r="J105" s="636"/>
      <c r="K105" s="636"/>
      <c r="L105" s="636" t="s">
        <v>1020</v>
      </c>
      <c r="M105" s="636"/>
      <c r="N105" s="636"/>
      <c r="O105" s="636"/>
      <c r="P105" s="636"/>
      <c r="Q105" s="636" t="s">
        <v>204</v>
      </c>
      <c r="R105" s="636" t="s">
        <v>204</v>
      </c>
      <c r="S105" s="638" t="s">
        <v>111</v>
      </c>
      <c r="T105" s="636" t="s">
        <v>94</v>
      </c>
      <c r="U105" s="636" t="s">
        <v>204</v>
      </c>
      <c r="V105" s="636" t="s">
        <v>204</v>
      </c>
      <c r="W105" s="835" t="s">
        <v>1570</v>
      </c>
      <c r="X105" s="636" t="s">
        <v>810</v>
      </c>
      <c r="Y105" s="60" t="s">
        <v>408</v>
      </c>
      <c r="Z105" s="1195"/>
      <c r="AA105" s="1068"/>
      <c r="AB105" s="1072"/>
      <c r="AC105" s="1053"/>
      <c r="AD105" s="832">
        <v>1</v>
      </c>
      <c r="AE105" s="1072"/>
      <c r="AF105" s="1072"/>
      <c r="AG105" s="1072"/>
      <c r="AH105" s="1072"/>
      <c r="AI105" s="1072"/>
      <c r="AJ105" s="827" t="s">
        <v>1289</v>
      </c>
      <c r="AK105" s="1050"/>
      <c r="AL105" s="1072"/>
      <c r="AM105" s="1194"/>
      <c r="AN105" s="1072"/>
      <c r="AO105" s="1053"/>
      <c r="AP105" s="1068"/>
      <c r="AQ105" s="1194"/>
      <c r="AR105" s="1072"/>
      <c r="AS105" s="1056"/>
      <c r="AT105" s="1068"/>
      <c r="AU105" s="1056"/>
      <c r="AV105" s="1062"/>
      <c r="AW105" s="1062"/>
      <c r="AX105" s="1062"/>
      <c r="AY105" s="1062"/>
      <c r="AZ105" s="1196"/>
      <c r="BA105" s="1194"/>
      <c r="BB105" s="1072"/>
      <c r="BC105" s="1056"/>
      <c r="BD105" s="1068"/>
      <c r="BE105" s="1075"/>
      <c r="BF105" s="1062"/>
      <c r="BG105" s="1062"/>
      <c r="BH105" s="1062"/>
      <c r="BI105" s="1062"/>
      <c r="BJ105" s="1146"/>
      <c r="BK105" s="1194"/>
      <c r="BL105" s="1072"/>
      <c r="BM105" s="1056"/>
      <c r="BN105" s="1068"/>
      <c r="BO105" s="1056"/>
      <c r="BP105" s="1062"/>
      <c r="BQ105" s="1062"/>
      <c r="BR105" s="1062"/>
      <c r="BS105" s="1062"/>
      <c r="BT105" s="1092"/>
      <c r="BU105" s="1194"/>
      <c r="BV105" s="1072"/>
      <c r="BW105" s="1056"/>
      <c r="BX105" s="1068"/>
      <c r="BY105" s="1068"/>
      <c r="BZ105" s="1155"/>
      <c r="CA105" s="1155"/>
      <c r="CB105" s="1155"/>
      <c r="CC105" s="1155"/>
      <c r="CD105" s="1155"/>
      <c r="CE105" s="1078"/>
      <c r="CF105" s="1078"/>
      <c r="CG105" s="1078"/>
      <c r="CH105" s="1078"/>
      <c r="CI105" s="1078"/>
      <c r="CJ105" s="1078"/>
      <c r="CK105" s="1078"/>
      <c r="CL105" s="1081"/>
      <c r="CM105" s="128"/>
    </row>
    <row r="106" spans="1:106" s="70" customFormat="1" ht="104.25" customHeight="1" x14ac:dyDescent="0.2">
      <c r="A106" s="697">
        <v>11700</v>
      </c>
      <c r="B106" s="636" t="s">
        <v>14</v>
      </c>
      <c r="C106" s="636" t="s">
        <v>335</v>
      </c>
      <c r="D106" s="636"/>
      <c r="E106" s="636"/>
      <c r="F106" s="636"/>
      <c r="G106" s="636"/>
      <c r="H106" s="636" t="s">
        <v>1020</v>
      </c>
      <c r="I106" s="636"/>
      <c r="J106" s="636"/>
      <c r="K106" s="636"/>
      <c r="L106" s="636" t="s">
        <v>1020</v>
      </c>
      <c r="M106" s="636"/>
      <c r="N106" s="636"/>
      <c r="O106" s="636"/>
      <c r="P106" s="636"/>
      <c r="Q106" s="636" t="s">
        <v>204</v>
      </c>
      <c r="R106" s="636" t="s">
        <v>204</v>
      </c>
      <c r="S106" s="638" t="s">
        <v>111</v>
      </c>
      <c r="T106" s="636" t="s">
        <v>94</v>
      </c>
      <c r="U106" s="636" t="s">
        <v>204</v>
      </c>
      <c r="V106" s="636" t="s">
        <v>204</v>
      </c>
      <c r="W106" s="835" t="s">
        <v>1571</v>
      </c>
      <c r="X106" s="636" t="s">
        <v>881</v>
      </c>
      <c r="Y106" s="60" t="s">
        <v>408</v>
      </c>
      <c r="Z106" s="1195"/>
      <c r="AA106" s="1068"/>
      <c r="AB106" s="1072"/>
      <c r="AC106" s="1053"/>
      <c r="AD106" s="832">
        <v>1</v>
      </c>
      <c r="AE106" s="1072"/>
      <c r="AF106" s="1072"/>
      <c r="AG106" s="1072"/>
      <c r="AH106" s="1072"/>
      <c r="AI106" s="1072"/>
      <c r="AJ106" s="827" t="s">
        <v>1289</v>
      </c>
      <c r="AK106" s="1050"/>
      <c r="AL106" s="1072"/>
      <c r="AM106" s="1194"/>
      <c r="AN106" s="1072"/>
      <c r="AO106" s="1053"/>
      <c r="AP106" s="1068"/>
      <c r="AQ106" s="1194"/>
      <c r="AR106" s="1072"/>
      <c r="AS106" s="1056"/>
      <c r="AT106" s="1068"/>
      <c r="AU106" s="1056"/>
      <c r="AV106" s="1062"/>
      <c r="AW106" s="1062"/>
      <c r="AX106" s="1062"/>
      <c r="AY106" s="1062"/>
      <c r="AZ106" s="1196"/>
      <c r="BA106" s="1194"/>
      <c r="BB106" s="1072"/>
      <c r="BC106" s="1056"/>
      <c r="BD106" s="1068"/>
      <c r="BE106" s="1075"/>
      <c r="BF106" s="1062"/>
      <c r="BG106" s="1062"/>
      <c r="BH106" s="1062"/>
      <c r="BI106" s="1062"/>
      <c r="BJ106" s="1146"/>
      <c r="BK106" s="1194"/>
      <c r="BL106" s="1072"/>
      <c r="BM106" s="1056"/>
      <c r="BN106" s="1068"/>
      <c r="BO106" s="1056"/>
      <c r="BP106" s="1062"/>
      <c r="BQ106" s="1062"/>
      <c r="BR106" s="1062"/>
      <c r="BS106" s="1062"/>
      <c r="BT106" s="1092"/>
      <c r="BU106" s="1194"/>
      <c r="BV106" s="1072"/>
      <c r="BW106" s="1056"/>
      <c r="BX106" s="1068"/>
      <c r="BY106" s="1068"/>
      <c r="BZ106" s="1155"/>
      <c r="CA106" s="1155"/>
      <c r="CB106" s="1155"/>
      <c r="CC106" s="1155"/>
      <c r="CD106" s="1155"/>
      <c r="CE106" s="1078"/>
      <c r="CF106" s="1078"/>
      <c r="CG106" s="1078"/>
      <c r="CH106" s="1078"/>
      <c r="CI106" s="1078"/>
      <c r="CJ106" s="1078"/>
      <c r="CK106" s="1078"/>
      <c r="CL106" s="1081"/>
      <c r="CM106" s="128"/>
    </row>
    <row r="107" spans="1:106" s="70" customFormat="1" ht="104.25" customHeight="1" x14ac:dyDescent="0.2">
      <c r="A107" s="697">
        <v>11700</v>
      </c>
      <c r="B107" s="636" t="s">
        <v>14</v>
      </c>
      <c r="C107" s="636" t="s">
        <v>335</v>
      </c>
      <c r="D107" s="636"/>
      <c r="E107" s="636"/>
      <c r="F107" s="636"/>
      <c r="G107" s="636"/>
      <c r="H107" s="636" t="s">
        <v>1020</v>
      </c>
      <c r="I107" s="636"/>
      <c r="J107" s="636"/>
      <c r="K107" s="636"/>
      <c r="L107" s="636" t="s">
        <v>1020</v>
      </c>
      <c r="M107" s="636"/>
      <c r="N107" s="636"/>
      <c r="O107" s="636"/>
      <c r="P107" s="636"/>
      <c r="Q107" s="636" t="s">
        <v>204</v>
      </c>
      <c r="R107" s="636" t="s">
        <v>204</v>
      </c>
      <c r="S107" s="638" t="s">
        <v>111</v>
      </c>
      <c r="T107" s="636" t="s">
        <v>94</v>
      </c>
      <c r="U107" s="636" t="s">
        <v>204</v>
      </c>
      <c r="V107" s="636" t="s">
        <v>204</v>
      </c>
      <c r="W107" s="835" t="s">
        <v>1572</v>
      </c>
      <c r="X107" s="636" t="s">
        <v>811</v>
      </c>
      <c r="Y107" s="60" t="s">
        <v>408</v>
      </c>
      <c r="Z107" s="1195"/>
      <c r="AA107" s="1068"/>
      <c r="AB107" s="1072"/>
      <c r="AC107" s="1053"/>
      <c r="AD107" s="832">
        <v>1</v>
      </c>
      <c r="AE107" s="1072"/>
      <c r="AF107" s="1072"/>
      <c r="AG107" s="1072"/>
      <c r="AH107" s="1072"/>
      <c r="AI107" s="1072"/>
      <c r="AJ107" s="827" t="s">
        <v>1289</v>
      </c>
      <c r="AK107" s="1050"/>
      <c r="AL107" s="1072"/>
      <c r="AM107" s="1194"/>
      <c r="AN107" s="1072"/>
      <c r="AO107" s="1053"/>
      <c r="AP107" s="1068"/>
      <c r="AQ107" s="1194"/>
      <c r="AR107" s="1072"/>
      <c r="AS107" s="1056"/>
      <c r="AT107" s="1068"/>
      <c r="AU107" s="1056"/>
      <c r="AV107" s="1062"/>
      <c r="AW107" s="1062"/>
      <c r="AX107" s="1062"/>
      <c r="AY107" s="1062"/>
      <c r="AZ107" s="1196"/>
      <c r="BA107" s="1194"/>
      <c r="BB107" s="1072"/>
      <c r="BC107" s="1056"/>
      <c r="BD107" s="1068"/>
      <c r="BE107" s="1075"/>
      <c r="BF107" s="1062"/>
      <c r="BG107" s="1062"/>
      <c r="BH107" s="1062"/>
      <c r="BI107" s="1062"/>
      <c r="BJ107" s="1146"/>
      <c r="BK107" s="1194"/>
      <c r="BL107" s="1072"/>
      <c r="BM107" s="1056"/>
      <c r="BN107" s="1068"/>
      <c r="BO107" s="1056"/>
      <c r="BP107" s="1062"/>
      <c r="BQ107" s="1062"/>
      <c r="BR107" s="1062"/>
      <c r="BS107" s="1062"/>
      <c r="BT107" s="1092"/>
      <c r="BU107" s="1194"/>
      <c r="BV107" s="1072"/>
      <c r="BW107" s="1056"/>
      <c r="BX107" s="1068"/>
      <c r="BY107" s="1068"/>
      <c r="BZ107" s="1155"/>
      <c r="CA107" s="1155"/>
      <c r="CB107" s="1155"/>
      <c r="CC107" s="1155"/>
      <c r="CD107" s="1155"/>
      <c r="CE107" s="1078"/>
      <c r="CF107" s="1078"/>
      <c r="CG107" s="1078"/>
      <c r="CH107" s="1078"/>
      <c r="CI107" s="1078"/>
      <c r="CJ107" s="1078"/>
      <c r="CK107" s="1078"/>
      <c r="CL107" s="1081"/>
      <c r="CM107" s="128"/>
    </row>
    <row r="108" spans="1:106" s="70" customFormat="1" ht="104.25" customHeight="1" x14ac:dyDescent="0.2">
      <c r="A108" s="697">
        <v>11700</v>
      </c>
      <c r="B108" s="636" t="s">
        <v>14</v>
      </c>
      <c r="C108" s="636" t="s">
        <v>335</v>
      </c>
      <c r="D108" s="636"/>
      <c r="E108" s="636"/>
      <c r="F108" s="636"/>
      <c r="G108" s="636"/>
      <c r="H108" s="636" t="s">
        <v>1020</v>
      </c>
      <c r="I108" s="636"/>
      <c r="J108" s="636"/>
      <c r="K108" s="636"/>
      <c r="L108" s="636" t="s">
        <v>1020</v>
      </c>
      <c r="M108" s="636"/>
      <c r="N108" s="636"/>
      <c r="O108" s="636"/>
      <c r="P108" s="636"/>
      <c r="Q108" s="636" t="s">
        <v>204</v>
      </c>
      <c r="R108" s="636" t="s">
        <v>204</v>
      </c>
      <c r="S108" s="638" t="s">
        <v>111</v>
      </c>
      <c r="T108" s="636" t="s">
        <v>94</v>
      </c>
      <c r="U108" s="636" t="s">
        <v>204</v>
      </c>
      <c r="V108" s="636" t="s">
        <v>204</v>
      </c>
      <c r="W108" s="835" t="s">
        <v>1573</v>
      </c>
      <c r="X108" s="827" t="s">
        <v>815</v>
      </c>
      <c r="Y108" s="60" t="s">
        <v>408</v>
      </c>
      <c r="Z108" s="1195"/>
      <c r="AA108" s="1068"/>
      <c r="AB108" s="1072"/>
      <c r="AC108" s="1053"/>
      <c r="AD108" s="832">
        <v>1</v>
      </c>
      <c r="AE108" s="1072"/>
      <c r="AF108" s="1072"/>
      <c r="AG108" s="1072"/>
      <c r="AH108" s="1072"/>
      <c r="AI108" s="1072"/>
      <c r="AJ108" s="827" t="s">
        <v>1289</v>
      </c>
      <c r="AK108" s="1050"/>
      <c r="AL108" s="1072"/>
      <c r="AM108" s="1194"/>
      <c r="AN108" s="1072"/>
      <c r="AO108" s="1053"/>
      <c r="AP108" s="1068"/>
      <c r="AQ108" s="1194"/>
      <c r="AR108" s="1072"/>
      <c r="AS108" s="1056"/>
      <c r="AT108" s="1068"/>
      <c r="AU108" s="1056"/>
      <c r="AV108" s="1062"/>
      <c r="AW108" s="1062"/>
      <c r="AX108" s="1062"/>
      <c r="AY108" s="1062"/>
      <c r="AZ108" s="1196"/>
      <c r="BA108" s="1194"/>
      <c r="BB108" s="1072"/>
      <c r="BC108" s="1056"/>
      <c r="BD108" s="1068"/>
      <c r="BE108" s="1075"/>
      <c r="BF108" s="1062"/>
      <c r="BG108" s="1062"/>
      <c r="BH108" s="1062"/>
      <c r="BI108" s="1062"/>
      <c r="BJ108" s="1146"/>
      <c r="BK108" s="1194"/>
      <c r="BL108" s="1072"/>
      <c r="BM108" s="1056"/>
      <c r="BN108" s="1068"/>
      <c r="BO108" s="1056"/>
      <c r="BP108" s="1062"/>
      <c r="BQ108" s="1062"/>
      <c r="BR108" s="1062"/>
      <c r="BS108" s="1062"/>
      <c r="BT108" s="1092"/>
      <c r="BU108" s="1194"/>
      <c r="BV108" s="1072"/>
      <c r="BW108" s="1056"/>
      <c r="BX108" s="1068"/>
      <c r="BY108" s="1068"/>
      <c r="BZ108" s="1155"/>
      <c r="CA108" s="1155"/>
      <c r="CB108" s="1155"/>
      <c r="CC108" s="1155"/>
      <c r="CD108" s="1155"/>
      <c r="CE108" s="1078"/>
      <c r="CF108" s="1078"/>
      <c r="CG108" s="1078"/>
      <c r="CH108" s="1078"/>
      <c r="CI108" s="1078"/>
      <c r="CJ108" s="1078"/>
      <c r="CK108" s="1078"/>
      <c r="CL108" s="1081"/>
      <c r="CM108" s="128"/>
    </row>
    <row r="109" spans="1:106" s="70" customFormat="1" ht="104.25" customHeight="1" x14ac:dyDescent="0.2">
      <c r="A109" s="697">
        <v>11700</v>
      </c>
      <c r="B109" s="636" t="s">
        <v>14</v>
      </c>
      <c r="C109" s="636" t="s">
        <v>335</v>
      </c>
      <c r="D109" s="636"/>
      <c r="E109" s="636"/>
      <c r="F109" s="636"/>
      <c r="G109" s="636"/>
      <c r="H109" s="636" t="s">
        <v>1020</v>
      </c>
      <c r="I109" s="636"/>
      <c r="J109" s="636"/>
      <c r="K109" s="636"/>
      <c r="L109" s="636" t="s">
        <v>1020</v>
      </c>
      <c r="M109" s="636"/>
      <c r="N109" s="636"/>
      <c r="O109" s="636"/>
      <c r="P109" s="636"/>
      <c r="Q109" s="636" t="s">
        <v>204</v>
      </c>
      <c r="R109" s="636" t="s">
        <v>204</v>
      </c>
      <c r="S109" s="638" t="s">
        <v>111</v>
      </c>
      <c r="T109" s="636" t="s">
        <v>94</v>
      </c>
      <c r="U109" s="636" t="s">
        <v>204</v>
      </c>
      <c r="V109" s="636" t="s">
        <v>204</v>
      </c>
      <c r="W109" s="835" t="s">
        <v>1574</v>
      </c>
      <c r="X109" s="827" t="s">
        <v>825</v>
      </c>
      <c r="Y109" s="60" t="s">
        <v>408</v>
      </c>
      <c r="Z109" s="1195"/>
      <c r="AA109" s="1068"/>
      <c r="AB109" s="1072"/>
      <c r="AC109" s="1053"/>
      <c r="AD109" s="832">
        <v>1</v>
      </c>
      <c r="AE109" s="1072"/>
      <c r="AF109" s="1072"/>
      <c r="AG109" s="1072"/>
      <c r="AH109" s="1072"/>
      <c r="AI109" s="1072"/>
      <c r="AJ109" s="827" t="s">
        <v>1289</v>
      </c>
      <c r="AK109" s="1050"/>
      <c r="AL109" s="1072"/>
      <c r="AM109" s="1194"/>
      <c r="AN109" s="1072"/>
      <c r="AO109" s="1053"/>
      <c r="AP109" s="1068"/>
      <c r="AQ109" s="1194"/>
      <c r="AR109" s="1072"/>
      <c r="AS109" s="1056"/>
      <c r="AT109" s="1068"/>
      <c r="AU109" s="1056"/>
      <c r="AV109" s="1062"/>
      <c r="AW109" s="1062"/>
      <c r="AX109" s="1062"/>
      <c r="AY109" s="1062"/>
      <c r="AZ109" s="1196"/>
      <c r="BA109" s="1194"/>
      <c r="BB109" s="1072"/>
      <c r="BC109" s="1056"/>
      <c r="BD109" s="1068"/>
      <c r="BE109" s="1075"/>
      <c r="BF109" s="1062"/>
      <c r="BG109" s="1062"/>
      <c r="BH109" s="1062"/>
      <c r="BI109" s="1062"/>
      <c r="BJ109" s="1146"/>
      <c r="BK109" s="1194"/>
      <c r="BL109" s="1072"/>
      <c r="BM109" s="1056"/>
      <c r="BN109" s="1068"/>
      <c r="BO109" s="1056"/>
      <c r="BP109" s="1062"/>
      <c r="BQ109" s="1062"/>
      <c r="BR109" s="1062"/>
      <c r="BS109" s="1062"/>
      <c r="BT109" s="1092"/>
      <c r="BU109" s="1194"/>
      <c r="BV109" s="1072"/>
      <c r="BW109" s="1056"/>
      <c r="BX109" s="1068"/>
      <c r="BY109" s="1068"/>
      <c r="BZ109" s="1155"/>
      <c r="CA109" s="1155"/>
      <c r="CB109" s="1155"/>
      <c r="CC109" s="1155"/>
      <c r="CD109" s="1155"/>
      <c r="CE109" s="1078"/>
      <c r="CF109" s="1078"/>
      <c r="CG109" s="1078"/>
      <c r="CH109" s="1078"/>
      <c r="CI109" s="1078"/>
      <c r="CJ109" s="1078"/>
      <c r="CK109" s="1078"/>
      <c r="CL109" s="1081"/>
      <c r="CM109" s="128"/>
    </row>
    <row r="110" spans="1:106" s="70" customFormat="1" ht="104.25" customHeight="1" x14ac:dyDescent="0.2">
      <c r="A110" s="697">
        <v>11700</v>
      </c>
      <c r="B110" s="636" t="s">
        <v>14</v>
      </c>
      <c r="C110" s="636" t="s">
        <v>335</v>
      </c>
      <c r="D110" s="636"/>
      <c r="E110" s="636"/>
      <c r="F110" s="636"/>
      <c r="G110" s="636"/>
      <c r="H110" s="636" t="s">
        <v>1020</v>
      </c>
      <c r="I110" s="636"/>
      <c r="J110" s="636"/>
      <c r="K110" s="636"/>
      <c r="L110" s="636" t="s">
        <v>1020</v>
      </c>
      <c r="M110" s="636"/>
      <c r="N110" s="636"/>
      <c r="O110" s="636"/>
      <c r="P110" s="636"/>
      <c r="Q110" s="636" t="s">
        <v>204</v>
      </c>
      <c r="R110" s="636" t="s">
        <v>204</v>
      </c>
      <c r="S110" s="638" t="s">
        <v>111</v>
      </c>
      <c r="T110" s="636" t="s">
        <v>94</v>
      </c>
      <c r="U110" s="636" t="s">
        <v>204</v>
      </c>
      <c r="V110" s="636" t="s">
        <v>204</v>
      </c>
      <c r="W110" s="835" t="s">
        <v>1575</v>
      </c>
      <c r="X110" s="827" t="s">
        <v>826</v>
      </c>
      <c r="Y110" s="60" t="s">
        <v>408</v>
      </c>
      <c r="Z110" s="1195"/>
      <c r="AA110" s="1068"/>
      <c r="AB110" s="1072"/>
      <c r="AC110" s="1053"/>
      <c r="AD110" s="832">
        <v>1</v>
      </c>
      <c r="AE110" s="1072"/>
      <c r="AF110" s="1072"/>
      <c r="AG110" s="1072"/>
      <c r="AH110" s="1072"/>
      <c r="AI110" s="1072"/>
      <c r="AJ110" s="827" t="s">
        <v>1289</v>
      </c>
      <c r="AK110" s="1050"/>
      <c r="AL110" s="1072"/>
      <c r="AM110" s="1194"/>
      <c r="AN110" s="1072"/>
      <c r="AO110" s="1053"/>
      <c r="AP110" s="1068"/>
      <c r="AQ110" s="1194"/>
      <c r="AR110" s="1072"/>
      <c r="AS110" s="1056"/>
      <c r="AT110" s="1068"/>
      <c r="AU110" s="1056"/>
      <c r="AV110" s="1062"/>
      <c r="AW110" s="1062"/>
      <c r="AX110" s="1062"/>
      <c r="AY110" s="1062"/>
      <c r="AZ110" s="1196"/>
      <c r="BA110" s="1194"/>
      <c r="BB110" s="1072"/>
      <c r="BC110" s="1056"/>
      <c r="BD110" s="1068"/>
      <c r="BE110" s="1075"/>
      <c r="BF110" s="1062"/>
      <c r="BG110" s="1062"/>
      <c r="BH110" s="1062"/>
      <c r="BI110" s="1062"/>
      <c r="BJ110" s="1146"/>
      <c r="BK110" s="1194"/>
      <c r="BL110" s="1072"/>
      <c r="BM110" s="1056"/>
      <c r="BN110" s="1068"/>
      <c r="BO110" s="1056"/>
      <c r="BP110" s="1062"/>
      <c r="BQ110" s="1062"/>
      <c r="BR110" s="1062"/>
      <c r="BS110" s="1062"/>
      <c r="BT110" s="1092"/>
      <c r="BU110" s="1194"/>
      <c r="BV110" s="1072"/>
      <c r="BW110" s="1056"/>
      <c r="BX110" s="1068"/>
      <c r="BY110" s="1068"/>
      <c r="BZ110" s="1155"/>
      <c r="CA110" s="1155"/>
      <c r="CB110" s="1155"/>
      <c r="CC110" s="1155"/>
      <c r="CD110" s="1155"/>
      <c r="CE110" s="1078"/>
      <c r="CF110" s="1078"/>
      <c r="CG110" s="1078"/>
      <c r="CH110" s="1078"/>
      <c r="CI110" s="1078"/>
      <c r="CJ110" s="1078"/>
      <c r="CK110" s="1078"/>
      <c r="CL110" s="1081"/>
      <c r="CM110" s="128"/>
    </row>
    <row r="111" spans="1:106" s="70" customFormat="1" ht="104.25" customHeight="1" x14ac:dyDescent="0.2">
      <c r="A111" s="697">
        <v>11700</v>
      </c>
      <c r="B111" s="636" t="s">
        <v>14</v>
      </c>
      <c r="C111" s="636" t="s">
        <v>335</v>
      </c>
      <c r="D111" s="636"/>
      <c r="E111" s="636"/>
      <c r="F111" s="636"/>
      <c r="G111" s="636"/>
      <c r="H111" s="636" t="s">
        <v>1020</v>
      </c>
      <c r="I111" s="636"/>
      <c r="J111" s="636"/>
      <c r="K111" s="636"/>
      <c r="L111" s="636" t="s">
        <v>1020</v>
      </c>
      <c r="M111" s="636"/>
      <c r="N111" s="636"/>
      <c r="O111" s="636"/>
      <c r="P111" s="636"/>
      <c r="Q111" s="636" t="s">
        <v>204</v>
      </c>
      <c r="R111" s="636" t="s">
        <v>204</v>
      </c>
      <c r="S111" s="638" t="s">
        <v>111</v>
      </c>
      <c r="T111" s="636" t="s">
        <v>94</v>
      </c>
      <c r="U111" s="636" t="s">
        <v>204</v>
      </c>
      <c r="V111" s="636" t="s">
        <v>204</v>
      </c>
      <c r="W111" s="835" t="s">
        <v>1576</v>
      </c>
      <c r="X111" s="827" t="s">
        <v>827</v>
      </c>
      <c r="Y111" s="60" t="s">
        <v>408</v>
      </c>
      <c r="Z111" s="1195"/>
      <c r="AA111" s="1068"/>
      <c r="AB111" s="1072"/>
      <c r="AC111" s="1053"/>
      <c r="AD111" s="832">
        <v>1</v>
      </c>
      <c r="AE111" s="1072"/>
      <c r="AF111" s="1072"/>
      <c r="AG111" s="1072"/>
      <c r="AH111" s="1072"/>
      <c r="AI111" s="1072"/>
      <c r="AJ111" s="827" t="s">
        <v>1289</v>
      </c>
      <c r="AK111" s="1050"/>
      <c r="AL111" s="1072"/>
      <c r="AM111" s="1194"/>
      <c r="AN111" s="1072"/>
      <c r="AO111" s="1053"/>
      <c r="AP111" s="1068"/>
      <c r="AQ111" s="1194"/>
      <c r="AR111" s="1072"/>
      <c r="AS111" s="1056"/>
      <c r="AT111" s="1068"/>
      <c r="AU111" s="1056"/>
      <c r="AV111" s="1062"/>
      <c r="AW111" s="1062"/>
      <c r="AX111" s="1062"/>
      <c r="AY111" s="1062"/>
      <c r="AZ111" s="1196"/>
      <c r="BA111" s="1194"/>
      <c r="BB111" s="1072"/>
      <c r="BC111" s="1056"/>
      <c r="BD111" s="1068"/>
      <c r="BE111" s="1075"/>
      <c r="BF111" s="1062"/>
      <c r="BG111" s="1062"/>
      <c r="BH111" s="1062"/>
      <c r="BI111" s="1062"/>
      <c r="BJ111" s="1146"/>
      <c r="BK111" s="1194"/>
      <c r="BL111" s="1072"/>
      <c r="BM111" s="1056"/>
      <c r="BN111" s="1068"/>
      <c r="BO111" s="1056"/>
      <c r="BP111" s="1062"/>
      <c r="BQ111" s="1062"/>
      <c r="BR111" s="1062"/>
      <c r="BS111" s="1062"/>
      <c r="BT111" s="1092"/>
      <c r="BU111" s="1194"/>
      <c r="BV111" s="1072"/>
      <c r="BW111" s="1056"/>
      <c r="BX111" s="1068"/>
      <c r="BY111" s="1068"/>
      <c r="BZ111" s="1155"/>
      <c r="CA111" s="1155"/>
      <c r="CB111" s="1155"/>
      <c r="CC111" s="1155"/>
      <c r="CD111" s="1155"/>
      <c r="CE111" s="1078"/>
      <c r="CF111" s="1078"/>
      <c r="CG111" s="1078"/>
      <c r="CH111" s="1078"/>
      <c r="CI111" s="1078"/>
      <c r="CJ111" s="1078"/>
      <c r="CK111" s="1078"/>
      <c r="CL111" s="1081"/>
      <c r="CM111" s="128"/>
    </row>
    <row r="112" spans="1:106" s="70" customFormat="1" ht="104.25" customHeight="1" x14ac:dyDescent="0.2">
      <c r="A112" s="697">
        <v>11700</v>
      </c>
      <c r="B112" s="636" t="s">
        <v>14</v>
      </c>
      <c r="C112" s="636" t="s">
        <v>335</v>
      </c>
      <c r="D112" s="636"/>
      <c r="E112" s="636"/>
      <c r="F112" s="636"/>
      <c r="G112" s="636"/>
      <c r="H112" s="636" t="s">
        <v>1020</v>
      </c>
      <c r="I112" s="636"/>
      <c r="J112" s="636"/>
      <c r="K112" s="636"/>
      <c r="L112" s="636" t="s">
        <v>1020</v>
      </c>
      <c r="M112" s="636"/>
      <c r="N112" s="636"/>
      <c r="O112" s="636"/>
      <c r="P112" s="636"/>
      <c r="Q112" s="636" t="s">
        <v>204</v>
      </c>
      <c r="R112" s="636" t="s">
        <v>204</v>
      </c>
      <c r="S112" s="638" t="s">
        <v>111</v>
      </c>
      <c r="T112" s="636" t="s">
        <v>94</v>
      </c>
      <c r="U112" s="636" t="s">
        <v>204</v>
      </c>
      <c r="V112" s="636" t="s">
        <v>204</v>
      </c>
      <c r="W112" s="835" t="s">
        <v>1577</v>
      </c>
      <c r="X112" s="827" t="s">
        <v>1566</v>
      </c>
      <c r="Y112" s="60" t="s">
        <v>391</v>
      </c>
      <c r="Z112" s="1195"/>
      <c r="AA112" s="1068"/>
      <c r="AB112" s="1072"/>
      <c r="AC112" s="1053"/>
      <c r="AD112" s="832">
        <v>1</v>
      </c>
      <c r="AE112" s="1072"/>
      <c r="AF112" s="1072"/>
      <c r="AG112" s="1072"/>
      <c r="AH112" s="1072"/>
      <c r="AI112" s="1072"/>
      <c r="AJ112" s="827" t="s">
        <v>1289</v>
      </c>
      <c r="AK112" s="1050"/>
      <c r="AL112" s="1072"/>
      <c r="AM112" s="1194"/>
      <c r="AN112" s="1072"/>
      <c r="AO112" s="1053"/>
      <c r="AP112" s="1068"/>
      <c r="AQ112" s="1194"/>
      <c r="AR112" s="1072"/>
      <c r="AS112" s="1056"/>
      <c r="AT112" s="1068"/>
      <c r="AU112" s="1056"/>
      <c r="AV112" s="1062"/>
      <c r="AW112" s="1062"/>
      <c r="AX112" s="1062"/>
      <c r="AY112" s="1062"/>
      <c r="AZ112" s="1196"/>
      <c r="BA112" s="1194"/>
      <c r="BB112" s="1072"/>
      <c r="BC112" s="1056"/>
      <c r="BD112" s="1068"/>
      <c r="BE112" s="1075"/>
      <c r="BF112" s="1062"/>
      <c r="BG112" s="1062"/>
      <c r="BH112" s="1062"/>
      <c r="BI112" s="1062"/>
      <c r="BJ112" s="1146"/>
      <c r="BK112" s="1194"/>
      <c r="BL112" s="1072"/>
      <c r="BM112" s="1056"/>
      <c r="BN112" s="1068"/>
      <c r="BO112" s="1056"/>
      <c r="BP112" s="1062"/>
      <c r="BQ112" s="1062"/>
      <c r="BR112" s="1062"/>
      <c r="BS112" s="1062"/>
      <c r="BT112" s="1092"/>
      <c r="BU112" s="1194"/>
      <c r="BV112" s="1072"/>
      <c r="BW112" s="1056"/>
      <c r="BX112" s="1068"/>
      <c r="BY112" s="1068"/>
      <c r="BZ112" s="1155"/>
      <c r="CA112" s="1155"/>
      <c r="CB112" s="1155"/>
      <c r="CC112" s="1155"/>
      <c r="CD112" s="1155"/>
      <c r="CE112" s="1078"/>
      <c r="CF112" s="1078"/>
      <c r="CG112" s="1078"/>
      <c r="CH112" s="1078"/>
      <c r="CI112" s="1078"/>
      <c r="CJ112" s="1078"/>
      <c r="CK112" s="1078"/>
      <c r="CL112" s="1081"/>
      <c r="CM112" s="128"/>
    </row>
    <row r="113" spans="1:107" s="578" customFormat="1" ht="105.75" hidden="1" customHeight="1" x14ac:dyDescent="0.2">
      <c r="A113" s="726">
        <v>11700</v>
      </c>
      <c r="B113" s="632" t="s">
        <v>14</v>
      </c>
      <c r="C113" s="632" t="s">
        <v>335</v>
      </c>
      <c r="D113" s="636"/>
      <c r="E113" s="636"/>
      <c r="F113" s="636" t="s">
        <v>1020</v>
      </c>
      <c r="G113" s="636"/>
      <c r="H113" s="636" t="s">
        <v>1020</v>
      </c>
      <c r="I113" s="636"/>
      <c r="J113" s="636"/>
      <c r="K113" s="636"/>
      <c r="L113" s="636" t="s">
        <v>1020</v>
      </c>
      <c r="M113" s="636"/>
      <c r="N113" s="636"/>
      <c r="O113" s="636"/>
      <c r="P113" s="636"/>
      <c r="Q113" s="636" t="s">
        <v>204</v>
      </c>
      <c r="R113" s="636" t="s">
        <v>204</v>
      </c>
      <c r="S113" s="638" t="s">
        <v>238</v>
      </c>
      <c r="T113" s="636" t="s">
        <v>94</v>
      </c>
      <c r="U113" s="636" t="s">
        <v>204</v>
      </c>
      <c r="V113" s="636" t="s">
        <v>204</v>
      </c>
      <c r="W113" s="637" t="s">
        <v>1096</v>
      </c>
      <c r="X113" s="632" t="s">
        <v>806</v>
      </c>
      <c r="Y113" s="597" t="s">
        <v>408</v>
      </c>
      <c r="Z113" s="593">
        <v>1</v>
      </c>
      <c r="AA113" s="1068"/>
      <c r="AB113" s="1198"/>
      <c r="AC113" s="861">
        <v>57000000</v>
      </c>
      <c r="AD113" s="832">
        <v>1</v>
      </c>
      <c r="AE113" s="827" t="s">
        <v>16</v>
      </c>
      <c r="AF113" s="827" t="s">
        <v>21</v>
      </c>
      <c r="AG113" s="827" t="s">
        <v>204</v>
      </c>
      <c r="AH113" s="827" t="s">
        <v>635</v>
      </c>
      <c r="AI113" s="827" t="s">
        <v>77</v>
      </c>
      <c r="AJ113" s="827" t="s">
        <v>1289</v>
      </c>
      <c r="AK113" s="1050"/>
      <c r="AL113" s="827" t="s">
        <v>43</v>
      </c>
      <c r="AM113" s="593">
        <v>1</v>
      </c>
      <c r="AN113" s="1198"/>
      <c r="AO113" s="861">
        <v>57000000</v>
      </c>
      <c r="AP113" s="860" t="s">
        <v>46</v>
      </c>
      <c r="AQ113" s="593">
        <v>0</v>
      </c>
      <c r="AR113" s="1072"/>
      <c r="AS113" s="859">
        <v>0</v>
      </c>
      <c r="AT113" s="858">
        <v>0</v>
      </c>
      <c r="AU113" s="859">
        <v>0</v>
      </c>
      <c r="AV113" s="856" t="e">
        <f t="shared" ref="AV113:AV117" si="166">+(AT113/AQ113)</f>
        <v>#DIV/0!</v>
      </c>
      <c r="AW113" s="856" t="e">
        <f t="shared" ref="AW113:AW117" si="167">+(AU113/AS113)</f>
        <v>#DIV/0!</v>
      </c>
      <c r="AX113" s="856">
        <f t="shared" ref="AX113:AX117" si="168">+(AT113/AM113)</f>
        <v>0</v>
      </c>
      <c r="AY113" s="856">
        <f t="shared" ref="AY113:AY115" si="169">+(AU113/AO113)</f>
        <v>0</v>
      </c>
      <c r="AZ113" s="594" t="s">
        <v>1334</v>
      </c>
      <c r="BA113" s="593">
        <v>0</v>
      </c>
      <c r="BB113" s="1198"/>
      <c r="BC113" s="859">
        <v>0</v>
      </c>
      <c r="BD113" s="572">
        <v>0</v>
      </c>
      <c r="BE113" s="859">
        <v>0</v>
      </c>
      <c r="BF113" s="856" t="e">
        <f t="shared" ref="BF113:BF117" si="170">+(BD113/BA113)</f>
        <v>#DIV/0!</v>
      </c>
      <c r="BG113" s="856" t="e">
        <f t="shared" ref="BG113:BG117" si="171">+(BE113/BC113)</f>
        <v>#DIV/0!</v>
      </c>
      <c r="BH113" s="856">
        <f t="shared" ref="BH113:BH117" si="172">+(BD113+AT113)/AM113</f>
        <v>0</v>
      </c>
      <c r="BI113" s="856">
        <f t="shared" ref="BI113:BI115" si="173">+(BE113+AU113)/AO113</f>
        <v>0</v>
      </c>
      <c r="BJ113" s="745" t="s">
        <v>1644</v>
      </c>
      <c r="BK113" s="593">
        <v>1</v>
      </c>
      <c r="BL113" s="1198"/>
      <c r="BM113" s="859">
        <f>+AO113</f>
        <v>57000000</v>
      </c>
      <c r="BN113" s="1009">
        <v>0</v>
      </c>
      <c r="BO113" s="1007">
        <v>0</v>
      </c>
      <c r="BP113" s="856">
        <f t="shared" ref="BP113:BP117" si="174">+(BN113/BK113)</f>
        <v>0</v>
      </c>
      <c r="BQ113" s="856">
        <f t="shared" ref="BQ113:BQ117" si="175">+(BO113/BM113)</f>
        <v>0</v>
      </c>
      <c r="BR113" s="856">
        <f t="shared" ref="BR113:BR117" si="176">+(BD113+AT113+BN113)/AM113</f>
        <v>0</v>
      </c>
      <c r="BS113" s="856">
        <f t="shared" ref="BS113:BS115" si="177">+(BE113+AU113+BO113)/AO113</f>
        <v>0</v>
      </c>
      <c r="BT113" s="1012" t="s">
        <v>1645</v>
      </c>
      <c r="BU113" s="593">
        <v>0</v>
      </c>
      <c r="BV113" s="1198"/>
      <c r="BW113" s="859">
        <v>0</v>
      </c>
      <c r="BX113" s="858"/>
      <c r="BY113" s="858"/>
      <c r="BZ113" s="863" t="e">
        <f t="shared" ref="BZ113:BZ117" si="178">+(BX113/BU113)</f>
        <v>#DIV/0!</v>
      </c>
      <c r="CA113" s="863" t="e">
        <f t="shared" ref="CA113:CA117" si="179">+(BY113/BW113)</f>
        <v>#DIV/0!</v>
      </c>
      <c r="CB113" s="863">
        <f t="shared" ref="CB113:CB117" si="180">+(BD113+AT113+BN113+BX113)/AM113</f>
        <v>0</v>
      </c>
      <c r="CC113" s="863">
        <f t="shared" ref="CC113:CC115" si="181">+(BE113+AU113+BO113+BY113)/AO113</f>
        <v>0</v>
      </c>
      <c r="CD113" s="863"/>
      <c r="CE113" s="642" t="str">
        <f t="shared" si="157"/>
        <v>No Prog ni Ejec</v>
      </c>
      <c r="CF113" s="642" t="str">
        <f t="shared" si="158"/>
        <v>No Prog ni Ejec</v>
      </c>
      <c r="CG113" s="642" t="str">
        <f t="shared" si="159"/>
        <v>No Prog ni Ejec</v>
      </c>
      <c r="CH113" s="642" t="str">
        <f t="shared" si="160"/>
        <v>No Prog ni Ejec</v>
      </c>
      <c r="CI113" s="642">
        <f t="shared" si="161"/>
        <v>0</v>
      </c>
      <c r="CJ113" s="642">
        <f t="shared" si="162"/>
        <v>0</v>
      </c>
      <c r="CK113" s="642" t="str">
        <f t="shared" si="163"/>
        <v>No Prog ni Ejec</v>
      </c>
      <c r="CL113" s="762" t="str">
        <f t="shared" si="164"/>
        <v>No Prog ni Ejec</v>
      </c>
      <c r="CM113" s="577">
        <f t="shared" si="134"/>
        <v>0</v>
      </c>
      <c r="CR113" s="70"/>
      <c r="CS113" s="70"/>
      <c r="CT113" s="70"/>
      <c r="CU113" s="70"/>
      <c r="CV113" s="70"/>
      <c r="CW113" s="70"/>
      <c r="CX113" s="70">
        <v>7</v>
      </c>
      <c r="CY113" s="70"/>
      <c r="CZ113" s="70"/>
      <c r="DA113" s="70"/>
      <c r="DB113" s="70">
        <v>11</v>
      </c>
      <c r="DC113" s="70"/>
    </row>
    <row r="114" spans="1:107" s="70" customFormat="1" ht="114.75" x14ac:dyDescent="0.2">
      <c r="A114" s="697">
        <v>11700</v>
      </c>
      <c r="B114" s="636" t="s">
        <v>14</v>
      </c>
      <c r="C114" s="636" t="s">
        <v>335</v>
      </c>
      <c r="D114" s="636"/>
      <c r="E114" s="636"/>
      <c r="F114" s="636" t="s">
        <v>1020</v>
      </c>
      <c r="G114" s="636"/>
      <c r="H114" s="636" t="s">
        <v>1020</v>
      </c>
      <c r="I114" s="636"/>
      <c r="J114" s="636"/>
      <c r="K114" s="636"/>
      <c r="L114" s="636" t="s">
        <v>1020</v>
      </c>
      <c r="M114" s="636"/>
      <c r="N114" s="636"/>
      <c r="O114" s="636"/>
      <c r="P114" s="636"/>
      <c r="Q114" s="636" t="s">
        <v>204</v>
      </c>
      <c r="R114" s="636" t="s">
        <v>204</v>
      </c>
      <c r="S114" s="638" t="s">
        <v>238</v>
      </c>
      <c r="T114" s="636" t="s">
        <v>94</v>
      </c>
      <c r="U114" s="636" t="s">
        <v>204</v>
      </c>
      <c r="V114" s="636" t="s">
        <v>204</v>
      </c>
      <c r="W114" s="638" t="s">
        <v>804</v>
      </c>
      <c r="X114" s="636" t="s">
        <v>812</v>
      </c>
      <c r="Y114" s="60" t="s">
        <v>408</v>
      </c>
      <c r="Z114" s="66">
        <v>1</v>
      </c>
      <c r="AA114" s="835" t="s">
        <v>794</v>
      </c>
      <c r="AB114" s="827" t="s">
        <v>817</v>
      </c>
      <c r="AC114" s="833">
        <v>0</v>
      </c>
      <c r="AD114" s="832">
        <v>1</v>
      </c>
      <c r="AE114" s="827" t="s">
        <v>16</v>
      </c>
      <c r="AF114" s="827" t="s">
        <v>21</v>
      </c>
      <c r="AG114" s="827" t="s">
        <v>204</v>
      </c>
      <c r="AH114" s="827" t="s">
        <v>635</v>
      </c>
      <c r="AI114" s="827" t="s">
        <v>77</v>
      </c>
      <c r="AJ114" s="827" t="s">
        <v>1289</v>
      </c>
      <c r="AK114" s="340" t="s">
        <v>828</v>
      </c>
      <c r="AL114" s="827" t="s">
        <v>43</v>
      </c>
      <c r="AM114" s="66">
        <v>1</v>
      </c>
      <c r="AN114" s="827" t="str">
        <f>+AB114</f>
        <v>Determinar y analizar el estado de la satisfacción laboral de los funcionarios, para identificar aspectos que puedan entorpecer la obtención de resultados de acuerdo a la misión de la entidad</v>
      </c>
      <c r="AO114" s="833">
        <v>0</v>
      </c>
      <c r="AP114" s="860" t="s">
        <v>46</v>
      </c>
      <c r="AQ114" s="865">
        <v>0</v>
      </c>
      <c r="AR114" s="827" t="str">
        <f>+AN114</f>
        <v>Determinar y analizar el estado de la satisfacción laboral de los funcionarios, para identificar aspectos que puedan entorpecer la obtención de resultados de acuerdo a la misión de la entidad</v>
      </c>
      <c r="AS114" s="831">
        <v>0</v>
      </c>
      <c r="AT114" s="473">
        <v>0</v>
      </c>
      <c r="AU114" s="864">
        <v>0</v>
      </c>
      <c r="AV114" s="828" t="e">
        <f t="shared" si="166"/>
        <v>#DIV/0!</v>
      </c>
      <c r="AW114" s="828" t="e">
        <f t="shared" si="167"/>
        <v>#DIV/0!</v>
      </c>
      <c r="AX114" s="828">
        <f t="shared" si="168"/>
        <v>0</v>
      </c>
      <c r="AY114" s="828" t="e">
        <f t="shared" si="169"/>
        <v>#DIV/0!</v>
      </c>
      <c r="AZ114" s="499" t="s">
        <v>1334</v>
      </c>
      <c r="BA114" s="865">
        <v>0</v>
      </c>
      <c r="BB114" s="827" t="str">
        <f>+AN114</f>
        <v>Determinar y analizar el estado de la satisfacción laboral de los funcionarios, para identificar aspectos que puedan entorpecer la obtención de resultados de acuerdo a la misión de la entidad</v>
      </c>
      <c r="BC114" s="831">
        <v>0</v>
      </c>
      <c r="BD114" s="838">
        <v>0</v>
      </c>
      <c r="BE114" s="831">
        <v>0</v>
      </c>
      <c r="BF114" s="828" t="e">
        <f t="shared" si="170"/>
        <v>#DIV/0!</v>
      </c>
      <c r="BG114" s="828" t="e">
        <f t="shared" si="171"/>
        <v>#DIV/0!</v>
      </c>
      <c r="BH114" s="828">
        <f t="shared" si="172"/>
        <v>0</v>
      </c>
      <c r="BI114" s="828" t="e">
        <f t="shared" si="173"/>
        <v>#DIV/0!</v>
      </c>
      <c r="BJ114" s="830" t="s">
        <v>1378</v>
      </c>
      <c r="BK114" s="865">
        <v>1</v>
      </c>
      <c r="BL114" s="827" t="str">
        <f>+AN114</f>
        <v>Determinar y analizar el estado de la satisfacción laboral de los funcionarios, para identificar aspectos que puedan entorpecer la obtención de resultados de acuerdo a la misión de la entidad</v>
      </c>
      <c r="BM114" s="831">
        <f>+AO114</f>
        <v>0</v>
      </c>
      <c r="BN114" s="998">
        <v>0</v>
      </c>
      <c r="BO114" s="995">
        <v>0</v>
      </c>
      <c r="BP114" s="828">
        <f t="shared" si="174"/>
        <v>0</v>
      </c>
      <c r="BQ114" s="828" t="e">
        <f t="shared" si="175"/>
        <v>#DIV/0!</v>
      </c>
      <c r="BR114" s="828">
        <f t="shared" si="176"/>
        <v>0</v>
      </c>
      <c r="BS114" s="828" t="e">
        <f t="shared" si="177"/>
        <v>#DIV/0!</v>
      </c>
      <c r="BT114" s="997" t="s">
        <v>1915</v>
      </c>
      <c r="BU114" s="865">
        <v>0</v>
      </c>
      <c r="BV114" s="827" t="str">
        <f>+AN114</f>
        <v>Determinar y analizar el estado de la satisfacción laboral de los funcionarios, para identificar aspectos que puedan entorpecer la obtención de resultados de acuerdo a la misión de la entidad</v>
      </c>
      <c r="BW114" s="831">
        <v>0</v>
      </c>
      <c r="BX114" s="835"/>
      <c r="BY114" s="835"/>
      <c r="BZ114" s="826" t="e">
        <f t="shared" si="178"/>
        <v>#DIV/0!</v>
      </c>
      <c r="CA114" s="826" t="e">
        <f t="shared" si="179"/>
        <v>#DIV/0!</v>
      </c>
      <c r="CB114" s="826">
        <f t="shared" si="180"/>
        <v>0</v>
      </c>
      <c r="CC114" s="826" t="e">
        <f t="shared" si="181"/>
        <v>#DIV/0!</v>
      </c>
      <c r="CD114" s="826"/>
      <c r="CE114" s="640" t="str">
        <f t="shared" si="157"/>
        <v>No Prog ni Ejec</v>
      </c>
      <c r="CF114" s="640" t="str">
        <f t="shared" si="158"/>
        <v>No Prog ni Ejec</v>
      </c>
      <c r="CG114" s="640" t="str">
        <f t="shared" si="159"/>
        <v>No Prog ni Ejec</v>
      </c>
      <c r="CH114" s="640" t="str">
        <f t="shared" si="160"/>
        <v>No Prog ni Ejec</v>
      </c>
      <c r="CI114" s="640">
        <f t="shared" si="161"/>
        <v>0</v>
      </c>
      <c r="CJ114" s="640" t="str">
        <f t="shared" si="162"/>
        <v>No Prog ni Ejec</v>
      </c>
      <c r="CK114" s="640" t="str">
        <f t="shared" si="163"/>
        <v>No Prog ni Ejec</v>
      </c>
      <c r="CL114" s="698" t="str">
        <f t="shared" si="164"/>
        <v>No Prog ni Ejec</v>
      </c>
      <c r="CM114" s="128">
        <f t="shared" si="134"/>
        <v>0</v>
      </c>
      <c r="CX114" s="70">
        <v>7</v>
      </c>
      <c r="DB114" s="70">
        <v>11</v>
      </c>
    </row>
    <row r="115" spans="1:107" s="578" customFormat="1" ht="105" hidden="1" customHeight="1" x14ac:dyDescent="0.2">
      <c r="A115" s="726">
        <v>11700</v>
      </c>
      <c r="B115" s="632" t="s">
        <v>14</v>
      </c>
      <c r="C115" s="632" t="s">
        <v>335</v>
      </c>
      <c r="D115" s="636"/>
      <c r="E115" s="636"/>
      <c r="F115" s="636" t="s">
        <v>1020</v>
      </c>
      <c r="G115" s="636"/>
      <c r="H115" s="636" t="s">
        <v>1020</v>
      </c>
      <c r="I115" s="636"/>
      <c r="J115" s="636"/>
      <c r="K115" s="636"/>
      <c r="L115" s="636" t="s">
        <v>1020</v>
      </c>
      <c r="M115" s="636"/>
      <c r="N115" s="636"/>
      <c r="O115" s="636"/>
      <c r="P115" s="636"/>
      <c r="Q115" s="636" t="s">
        <v>204</v>
      </c>
      <c r="R115" s="636" t="s">
        <v>204</v>
      </c>
      <c r="S115" s="638" t="s">
        <v>238</v>
      </c>
      <c r="T115" s="636" t="s">
        <v>94</v>
      </c>
      <c r="U115" s="636" t="s">
        <v>204</v>
      </c>
      <c r="V115" s="636" t="s">
        <v>204</v>
      </c>
      <c r="W115" s="637" t="s">
        <v>805</v>
      </c>
      <c r="X115" s="632" t="s">
        <v>813</v>
      </c>
      <c r="Y115" s="597" t="s">
        <v>408</v>
      </c>
      <c r="Z115" s="593">
        <v>2</v>
      </c>
      <c r="AA115" s="1205" t="s">
        <v>795</v>
      </c>
      <c r="AB115" s="1198" t="s">
        <v>818</v>
      </c>
      <c r="AC115" s="1206">
        <v>51453000</v>
      </c>
      <c r="AD115" s="832">
        <v>1</v>
      </c>
      <c r="AE115" s="827" t="s">
        <v>16</v>
      </c>
      <c r="AF115" s="827" t="s">
        <v>21</v>
      </c>
      <c r="AG115" s="827" t="s">
        <v>204</v>
      </c>
      <c r="AH115" s="827" t="s">
        <v>635</v>
      </c>
      <c r="AI115" s="827" t="s">
        <v>77</v>
      </c>
      <c r="AJ115" s="827" t="s">
        <v>1289</v>
      </c>
      <c r="AK115" s="598" t="s">
        <v>828</v>
      </c>
      <c r="AL115" s="827" t="s">
        <v>43</v>
      </c>
      <c r="AM115" s="593">
        <v>2</v>
      </c>
      <c r="AN115" s="1198" t="str">
        <f>+AB115</f>
        <v>Contribuir al bienestar integral de los funcionarios, mediante la promoción de hábitos saludables, acciones de prevención de la salud, diagnostico temprano, tratamiento oportuno de los factores de riesgo</v>
      </c>
      <c r="AO115" s="1206">
        <v>51453000</v>
      </c>
      <c r="AP115" s="860" t="s">
        <v>46</v>
      </c>
      <c r="AQ115" s="593">
        <v>0</v>
      </c>
      <c r="AR115" s="1198" t="str">
        <f>+AN115</f>
        <v>Contribuir al bienestar integral de los funcionarios, mediante la promoción de hábitos saludables, acciones de prevención de la salud, diagnostico temprano, tratamiento oportuno de los factores de riesgo</v>
      </c>
      <c r="AS115" s="859">
        <v>0</v>
      </c>
      <c r="AT115" s="858">
        <v>0</v>
      </c>
      <c r="AU115" s="859">
        <v>0</v>
      </c>
      <c r="AV115" s="856" t="e">
        <f t="shared" si="166"/>
        <v>#DIV/0!</v>
      </c>
      <c r="AW115" s="856" t="e">
        <f t="shared" si="167"/>
        <v>#DIV/0!</v>
      </c>
      <c r="AX115" s="856">
        <f t="shared" si="168"/>
        <v>0</v>
      </c>
      <c r="AY115" s="856">
        <f t="shared" si="169"/>
        <v>0</v>
      </c>
      <c r="AZ115" s="594" t="s">
        <v>1334</v>
      </c>
      <c r="BA115" s="593">
        <v>1</v>
      </c>
      <c r="BB115" s="1198" t="str">
        <f>+AN115</f>
        <v>Contribuir al bienestar integral de los funcionarios, mediante la promoción de hábitos saludables, acciones de prevención de la salud, diagnostico temprano, tratamiento oportuno de los factores de riesgo</v>
      </c>
      <c r="BC115" s="1199">
        <f>+AO115/2</f>
        <v>25726500</v>
      </c>
      <c r="BD115" s="572">
        <v>0</v>
      </c>
      <c r="BE115" s="859">
        <v>0</v>
      </c>
      <c r="BF115" s="856">
        <f t="shared" si="170"/>
        <v>0</v>
      </c>
      <c r="BG115" s="856">
        <f t="shared" si="171"/>
        <v>0</v>
      </c>
      <c r="BH115" s="856">
        <f t="shared" si="172"/>
        <v>0</v>
      </c>
      <c r="BI115" s="856">
        <f t="shared" si="173"/>
        <v>0</v>
      </c>
      <c r="BJ115" s="745" t="s">
        <v>1645</v>
      </c>
      <c r="BK115" s="593">
        <v>0</v>
      </c>
      <c r="BL115" s="1198" t="str">
        <f>+AN115</f>
        <v>Contribuir al bienestar integral de los funcionarios, mediante la promoción de hábitos saludables, acciones de prevención de la salud, diagnostico temprano, tratamiento oportuno de los factores de riesgo</v>
      </c>
      <c r="BM115" s="859">
        <v>0</v>
      </c>
      <c r="BN115" s="1009">
        <v>0</v>
      </c>
      <c r="BO115" s="1007">
        <v>0</v>
      </c>
      <c r="BP115" s="856" t="e">
        <f t="shared" si="174"/>
        <v>#DIV/0!</v>
      </c>
      <c r="BQ115" s="856" t="e">
        <f t="shared" si="175"/>
        <v>#DIV/0!</v>
      </c>
      <c r="BR115" s="856">
        <f t="shared" si="176"/>
        <v>0</v>
      </c>
      <c r="BS115" s="856">
        <f t="shared" si="177"/>
        <v>0</v>
      </c>
      <c r="BT115" s="1012" t="s">
        <v>1645</v>
      </c>
      <c r="BU115" s="593">
        <v>1</v>
      </c>
      <c r="BV115" s="1198" t="str">
        <f>+AN115</f>
        <v>Contribuir al bienestar integral de los funcionarios, mediante la promoción de hábitos saludables, acciones de prevención de la salud, diagnostico temprano, tratamiento oportuno de los factores de riesgo</v>
      </c>
      <c r="BW115" s="1199">
        <f>+AO115/2</f>
        <v>25726500</v>
      </c>
      <c r="BX115" s="858"/>
      <c r="BY115" s="858"/>
      <c r="BZ115" s="863">
        <f t="shared" si="178"/>
        <v>0</v>
      </c>
      <c r="CA115" s="863">
        <f t="shared" si="179"/>
        <v>0</v>
      </c>
      <c r="CB115" s="863">
        <f t="shared" si="180"/>
        <v>0</v>
      </c>
      <c r="CC115" s="863">
        <f t="shared" si="181"/>
        <v>0</v>
      </c>
      <c r="CD115" s="863"/>
      <c r="CE115" s="642" t="str">
        <f t="shared" si="157"/>
        <v>No Prog ni Ejec</v>
      </c>
      <c r="CF115" s="642" t="str">
        <f t="shared" si="158"/>
        <v>No Prog ni Ejec</v>
      </c>
      <c r="CG115" s="642">
        <f t="shared" si="159"/>
        <v>0</v>
      </c>
      <c r="CH115" s="642">
        <f t="shared" si="160"/>
        <v>0</v>
      </c>
      <c r="CI115" s="642" t="str">
        <f t="shared" si="161"/>
        <v>No Prog ni Ejec</v>
      </c>
      <c r="CJ115" s="642" t="str">
        <f t="shared" si="162"/>
        <v>No Prog ni Ejec</v>
      </c>
      <c r="CK115" s="642">
        <f t="shared" si="163"/>
        <v>0</v>
      </c>
      <c r="CL115" s="762">
        <f t="shared" si="164"/>
        <v>0</v>
      </c>
      <c r="CM115" s="577">
        <f t="shared" si="134"/>
        <v>0</v>
      </c>
      <c r="CR115" s="70"/>
      <c r="CS115" s="70"/>
      <c r="CT115" s="70"/>
      <c r="CU115" s="70"/>
      <c r="CV115" s="70"/>
      <c r="CW115" s="70"/>
      <c r="CX115" s="70">
        <v>7</v>
      </c>
      <c r="CY115" s="70"/>
      <c r="CZ115" s="70"/>
      <c r="DA115" s="70"/>
      <c r="DB115" s="70">
        <v>11</v>
      </c>
      <c r="DC115" s="70"/>
    </row>
    <row r="116" spans="1:107" s="578" customFormat="1" ht="108.75" hidden="1" customHeight="1" x14ac:dyDescent="0.2">
      <c r="A116" s="726">
        <v>11700</v>
      </c>
      <c r="B116" s="632" t="s">
        <v>14</v>
      </c>
      <c r="C116" s="632" t="s">
        <v>335</v>
      </c>
      <c r="D116" s="636"/>
      <c r="E116" s="636"/>
      <c r="F116" s="636" t="s">
        <v>1020</v>
      </c>
      <c r="G116" s="636"/>
      <c r="H116" s="636" t="s">
        <v>1020</v>
      </c>
      <c r="I116" s="636"/>
      <c r="J116" s="636"/>
      <c r="K116" s="636"/>
      <c r="L116" s="636" t="s">
        <v>1020</v>
      </c>
      <c r="M116" s="636"/>
      <c r="N116" s="636"/>
      <c r="O116" s="636"/>
      <c r="P116" s="636"/>
      <c r="Q116" s="636" t="s">
        <v>204</v>
      </c>
      <c r="R116" s="636" t="s">
        <v>204</v>
      </c>
      <c r="S116" s="638" t="s">
        <v>238</v>
      </c>
      <c r="T116" s="636" t="s">
        <v>94</v>
      </c>
      <c r="U116" s="636" t="s">
        <v>204</v>
      </c>
      <c r="V116" s="636" t="s">
        <v>204</v>
      </c>
      <c r="W116" s="637" t="s">
        <v>1097</v>
      </c>
      <c r="X116" s="632" t="s">
        <v>814</v>
      </c>
      <c r="Y116" s="597" t="s">
        <v>408</v>
      </c>
      <c r="Z116" s="593">
        <v>2</v>
      </c>
      <c r="AA116" s="1205"/>
      <c r="AB116" s="1198"/>
      <c r="AC116" s="1206"/>
      <c r="AD116" s="1147">
        <v>1</v>
      </c>
      <c r="AE116" s="827" t="s">
        <v>16</v>
      </c>
      <c r="AF116" s="827" t="s">
        <v>21</v>
      </c>
      <c r="AG116" s="827" t="s">
        <v>204</v>
      </c>
      <c r="AH116" s="827" t="s">
        <v>635</v>
      </c>
      <c r="AI116" s="827" t="s">
        <v>77</v>
      </c>
      <c r="AJ116" s="827" t="s">
        <v>1289</v>
      </c>
      <c r="AK116" s="598" t="s">
        <v>828</v>
      </c>
      <c r="AL116" s="827" t="s">
        <v>43</v>
      </c>
      <c r="AM116" s="593">
        <v>2</v>
      </c>
      <c r="AN116" s="1198"/>
      <c r="AO116" s="1206"/>
      <c r="AP116" s="860" t="s">
        <v>46</v>
      </c>
      <c r="AQ116" s="593">
        <v>0</v>
      </c>
      <c r="AR116" s="1198"/>
      <c r="AS116" s="859">
        <v>0</v>
      </c>
      <c r="AT116" s="858">
        <v>0</v>
      </c>
      <c r="AU116" s="859">
        <v>0</v>
      </c>
      <c r="AV116" s="856" t="e">
        <f t="shared" si="166"/>
        <v>#DIV/0!</v>
      </c>
      <c r="AW116" s="856" t="e">
        <f t="shared" si="167"/>
        <v>#DIV/0!</v>
      </c>
      <c r="AX116" s="856">
        <f t="shared" si="168"/>
        <v>0</v>
      </c>
      <c r="AY116" s="856">
        <f>+(AU116/AO115)</f>
        <v>0</v>
      </c>
      <c r="AZ116" s="594" t="s">
        <v>1334</v>
      </c>
      <c r="BA116" s="593">
        <v>1</v>
      </c>
      <c r="BB116" s="1198"/>
      <c r="BC116" s="1199"/>
      <c r="BD116" s="572">
        <v>0</v>
      </c>
      <c r="BE116" s="859">
        <v>0</v>
      </c>
      <c r="BF116" s="856">
        <f t="shared" si="170"/>
        <v>0</v>
      </c>
      <c r="BG116" s="856" t="e">
        <f t="shared" si="171"/>
        <v>#DIV/0!</v>
      </c>
      <c r="BH116" s="856">
        <f t="shared" si="172"/>
        <v>0</v>
      </c>
      <c r="BI116" s="856">
        <f>+(BE116+AU116)/AO115</f>
        <v>0</v>
      </c>
      <c r="BJ116" s="745" t="s">
        <v>1645</v>
      </c>
      <c r="BK116" s="593">
        <v>0</v>
      </c>
      <c r="BL116" s="1198"/>
      <c r="BM116" s="859">
        <v>0</v>
      </c>
      <c r="BN116" s="1009">
        <v>0</v>
      </c>
      <c r="BO116" s="1007">
        <v>0</v>
      </c>
      <c r="BP116" s="856" t="e">
        <f t="shared" si="174"/>
        <v>#DIV/0!</v>
      </c>
      <c r="BQ116" s="856" t="e">
        <f t="shared" si="175"/>
        <v>#DIV/0!</v>
      </c>
      <c r="BR116" s="856">
        <f t="shared" si="176"/>
        <v>0</v>
      </c>
      <c r="BS116" s="856">
        <f>+(BE116+AU116+BO116)/AO115</f>
        <v>0</v>
      </c>
      <c r="BT116" s="1012" t="s">
        <v>1645</v>
      </c>
      <c r="BU116" s="593">
        <v>1</v>
      </c>
      <c r="BV116" s="1198"/>
      <c r="BW116" s="1199"/>
      <c r="BX116" s="858"/>
      <c r="BY116" s="858"/>
      <c r="BZ116" s="863">
        <f t="shared" si="178"/>
        <v>0</v>
      </c>
      <c r="CA116" s="863" t="e">
        <f t="shared" si="179"/>
        <v>#DIV/0!</v>
      </c>
      <c r="CB116" s="863">
        <f t="shared" si="180"/>
        <v>0</v>
      </c>
      <c r="CC116" s="863">
        <f>+(BE116+AU116+BO116+BY116)/AO115</f>
        <v>0</v>
      </c>
      <c r="CD116" s="863"/>
      <c r="CE116" s="642" t="str">
        <f t="shared" si="157"/>
        <v>No Prog ni Ejec</v>
      </c>
      <c r="CF116" s="642" t="str">
        <f t="shared" si="158"/>
        <v>No Prog ni Ejec</v>
      </c>
      <c r="CG116" s="642">
        <f t="shared" si="159"/>
        <v>0</v>
      </c>
      <c r="CH116" s="642" t="str">
        <f t="shared" si="160"/>
        <v>No Prog ni Ejec</v>
      </c>
      <c r="CI116" s="642" t="str">
        <f t="shared" si="161"/>
        <v>No Prog ni Ejec</v>
      </c>
      <c r="CJ116" s="642" t="str">
        <f t="shared" si="162"/>
        <v>No Prog ni Ejec</v>
      </c>
      <c r="CK116" s="642">
        <f t="shared" si="163"/>
        <v>0</v>
      </c>
      <c r="CL116" s="762" t="str">
        <f t="shared" si="164"/>
        <v>No Prog ni Ejec</v>
      </c>
      <c r="CM116" s="577">
        <f t="shared" si="134"/>
        <v>0</v>
      </c>
      <c r="CR116" s="70"/>
      <c r="CS116" s="70"/>
      <c r="CT116" s="70"/>
      <c r="CU116" s="70"/>
      <c r="CV116" s="70"/>
      <c r="CW116" s="70"/>
      <c r="CX116" s="70">
        <v>7</v>
      </c>
      <c r="CY116" s="70"/>
      <c r="CZ116" s="70"/>
      <c r="DA116" s="70"/>
      <c r="DB116" s="70">
        <v>11</v>
      </c>
      <c r="DC116" s="70"/>
    </row>
    <row r="117" spans="1:107" s="578" customFormat="1" ht="89.25" hidden="1" x14ac:dyDescent="0.2">
      <c r="A117" s="726">
        <v>11700</v>
      </c>
      <c r="B117" s="632" t="s">
        <v>14</v>
      </c>
      <c r="C117" s="632" t="s">
        <v>335</v>
      </c>
      <c r="D117" s="636"/>
      <c r="E117" s="636"/>
      <c r="F117" s="636" t="s">
        <v>1020</v>
      </c>
      <c r="G117" s="636"/>
      <c r="H117" s="636" t="s">
        <v>1020</v>
      </c>
      <c r="I117" s="636"/>
      <c r="J117" s="636"/>
      <c r="K117" s="636"/>
      <c r="L117" s="636" t="s">
        <v>1020</v>
      </c>
      <c r="M117" s="636"/>
      <c r="N117" s="636"/>
      <c r="O117" s="636"/>
      <c r="P117" s="636"/>
      <c r="Q117" s="636" t="s">
        <v>204</v>
      </c>
      <c r="R117" s="636" t="s">
        <v>204</v>
      </c>
      <c r="S117" s="638" t="s">
        <v>238</v>
      </c>
      <c r="T117" s="636" t="s">
        <v>94</v>
      </c>
      <c r="U117" s="636" t="s">
        <v>204</v>
      </c>
      <c r="V117" s="636" t="s">
        <v>204</v>
      </c>
      <c r="W117" s="637" t="s">
        <v>1098</v>
      </c>
      <c r="X117" s="632" t="s">
        <v>816</v>
      </c>
      <c r="Y117" s="597" t="s">
        <v>408</v>
      </c>
      <c r="Z117" s="593">
        <v>2</v>
      </c>
      <c r="AA117" s="1205"/>
      <c r="AB117" s="1198"/>
      <c r="AC117" s="1206"/>
      <c r="AD117" s="1147"/>
      <c r="AE117" s="827" t="s">
        <v>16</v>
      </c>
      <c r="AF117" s="827" t="s">
        <v>21</v>
      </c>
      <c r="AG117" s="827" t="s">
        <v>204</v>
      </c>
      <c r="AH117" s="827" t="s">
        <v>635</v>
      </c>
      <c r="AI117" s="827" t="s">
        <v>77</v>
      </c>
      <c r="AJ117" s="827" t="s">
        <v>1289</v>
      </c>
      <c r="AK117" s="598" t="s">
        <v>828</v>
      </c>
      <c r="AL117" s="827" t="s">
        <v>43</v>
      </c>
      <c r="AM117" s="593">
        <v>2</v>
      </c>
      <c r="AN117" s="1198"/>
      <c r="AO117" s="1206"/>
      <c r="AP117" s="860" t="s">
        <v>46</v>
      </c>
      <c r="AQ117" s="593">
        <v>0</v>
      </c>
      <c r="AR117" s="1198"/>
      <c r="AS117" s="859">
        <v>0</v>
      </c>
      <c r="AT117" s="858">
        <v>0</v>
      </c>
      <c r="AU117" s="859">
        <v>0</v>
      </c>
      <c r="AV117" s="856" t="e">
        <f t="shared" si="166"/>
        <v>#DIV/0!</v>
      </c>
      <c r="AW117" s="856" t="e">
        <f t="shared" si="167"/>
        <v>#DIV/0!</v>
      </c>
      <c r="AX117" s="856">
        <f t="shared" si="168"/>
        <v>0</v>
      </c>
      <c r="AY117" s="856">
        <f>+(AU117/AO115)</f>
        <v>0</v>
      </c>
      <c r="AZ117" s="594" t="s">
        <v>1334</v>
      </c>
      <c r="BA117" s="593">
        <v>1</v>
      </c>
      <c r="BB117" s="1198"/>
      <c r="BC117" s="1199"/>
      <c r="BD117" s="572">
        <v>0</v>
      </c>
      <c r="BE117" s="859">
        <v>0</v>
      </c>
      <c r="BF117" s="856">
        <f t="shared" si="170"/>
        <v>0</v>
      </c>
      <c r="BG117" s="856" t="e">
        <f t="shared" si="171"/>
        <v>#DIV/0!</v>
      </c>
      <c r="BH117" s="856">
        <f t="shared" si="172"/>
        <v>0</v>
      </c>
      <c r="BI117" s="856">
        <f>+(BE117+AU117)/AO115</f>
        <v>0</v>
      </c>
      <c r="BJ117" s="745" t="s">
        <v>1645</v>
      </c>
      <c r="BK117" s="593">
        <v>0</v>
      </c>
      <c r="BL117" s="1198"/>
      <c r="BM117" s="859">
        <v>0</v>
      </c>
      <c r="BN117" s="1009"/>
      <c r="BO117" s="1007"/>
      <c r="BP117" s="856" t="e">
        <f t="shared" si="174"/>
        <v>#DIV/0!</v>
      </c>
      <c r="BQ117" s="856" t="e">
        <f t="shared" si="175"/>
        <v>#DIV/0!</v>
      </c>
      <c r="BR117" s="856">
        <f t="shared" si="176"/>
        <v>0</v>
      </c>
      <c r="BS117" s="856">
        <f>+(BE117+AU117+BO117)/AO115</f>
        <v>0</v>
      </c>
      <c r="BT117" s="856"/>
      <c r="BU117" s="593">
        <v>1</v>
      </c>
      <c r="BV117" s="1198"/>
      <c r="BW117" s="1199"/>
      <c r="BX117" s="858"/>
      <c r="BY117" s="858"/>
      <c r="BZ117" s="863">
        <f t="shared" si="178"/>
        <v>0</v>
      </c>
      <c r="CA117" s="863" t="e">
        <f t="shared" si="179"/>
        <v>#DIV/0!</v>
      </c>
      <c r="CB117" s="863">
        <f t="shared" si="180"/>
        <v>0</v>
      </c>
      <c r="CC117" s="863">
        <f>+(BE117+AU117+BO117+BY117)/AO115</f>
        <v>0</v>
      </c>
      <c r="CD117" s="863"/>
      <c r="CE117" s="642" t="str">
        <f t="shared" si="157"/>
        <v>No Prog ni Ejec</v>
      </c>
      <c r="CF117" s="642" t="str">
        <f t="shared" si="158"/>
        <v>No Prog ni Ejec</v>
      </c>
      <c r="CG117" s="642">
        <f t="shared" si="159"/>
        <v>0</v>
      </c>
      <c r="CH117" s="642" t="str">
        <f t="shared" si="160"/>
        <v>No Prog ni Ejec</v>
      </c>
      <c r="CI117" s="642" t="str">
        <f t="shared" si="161"/>
        <v>No Prog ni Ejec</v>
      </c>
      <c r="CJ117" s="642" t="str">
        <f t="shared" si="162"/>
        <v>No Prog ni Ejec</v>
      </c>
      <c r="CK117" s="642">
        <f t="shared" si="163"/>
        <v>0</v>
      </c>
      <c r="CL117" s="762" t="str">
        <f t="shared" si="164"/>
        <v>No Prog ni Ejec</v>
      </c>
      <c r="CM117" s="577">
        <f t="shared" si="134"/>
        <v>0</v>
      </c>
      <c r="CR117" s="70"/>
      <c r="CS117" s="70"/>
      <c r="CT117" s="70"/>
      <c r="CU117" s="70"/>
      <c r="CV117" s="70"/>
      <c r="CW117" s="70"/>
      <c r="CX117" s="70">
        <v>7</v>
      </c>
      <c r="CY117" s="70"/>
      <c r="CZ117" s="70"/>
      <c r="DA117" s="70"/>
      <c r="DB117" s="70">
        <v>11</v>
      </c>
      <c r="DC117" s="70"/>
    </row>
    <row r="118" spans="1:107" s="70" customFormat="1" ht="104.25" customHeight="1" x14ac:dyDescent="0.2">
      <c r="A118" s="697">
        <v>11700</v>
      </c>
      <c r="B118" s="636" t="s">
        <v>14</v>
      </c>
      <c r="C118" s="654" t="s">
        <v>845</v>
      </c>
      <c r="D118" s="165"/>
      <c r="E118" s="165"/>
      <c r="F118" s="165"/>
      <c r="G118" s="165"/>
      <c r="H118" s="165"/>
      <c r="I118" s="165"/>
      <c r="J118" s="165" t="s">
        <v>1020</v>
      </c>
      <c r="K118" s="165"/>
      <c r="L118" s="165" t="s">
        <v>1020</v>
      </c>
      <c r="M118" s="165"/>
      <c r="N118" s="165"/>
      <c r="O118" s="165"/>
      <c r="P118" s="165"/>
      <c r="Q118" s="636" t="s">
        <v>204</v>
      </c>
      <c r="R118" s="636" t="s">
        <v>204</v>
      </c>
      <c r="S118" s="638" t="s">
        <v>238</v>
      </c>
      <c r="T118" s="636" t="s">
        <v>94</v>
      </c>
      <c r="U118" s="636" t="s">
        <v>204</v>
      </c>
      <c r="V118" s="636" t="s">
        <v>204</v>
      </c>
      <c r="W118" s="638" t="s">
        <v>837</v>
      </c>
      <c r="X118" s="654" t="s">
        <v>849</v>
      </c>
      <c r="Y118" s="155" t="s">
        <v>391</v>
      </c>
      <c r="Z118" s="835">
        <v>1</v>
      </c>
      <c r="AA118" s="835" t="s">
        <v>829</v>
      </c>
      <c r="AB118" s="827" t="s">
        <v>852</v>
      </c>
      <c r="AC118" s="158">
        <v>0</v>
      </c>
      <c r="AD118" s="832">
        <v>1</v>
      </c>
      <c r="AE118" s="827" t="s">
        <v>16</v>
      </c>
      <c r="AF118" s="827" t="s">
        <v>21</v>
      </c>
      <c r="AG118" s="827" t="s">
        <v>204</v>
      </c>
      <c r="AH118" s="827" t="s">
        <v>635</v>
      </c>
      <c r="AI118" s="827" t="s">
        <v>77</v>
      </c>
      <c r="AJ118" s="827" t="s">
        <v>1280</v>
      </c>
      <c r="AK118" s="827" t="s">
        <v>855</v>
      </c>
      <c r="AL118" s="827" t="s">
        <v>43</v>
      </c>
      <c r="AM118" s="835">
        <v>1</v>
      </c>
      <c r="AN118" s="827" t="str">
        <f t="shared" ref="AN118:AN123" si="182">+AB118</f>
        <v>Actualizar el Manual de funciones de la ADRES</v>
      </c>
      <c r="AO118" s="833">
        <f t="shared" ref="AO118:AO123" si="183">+AC118</f>
        <v>0</v>
      </c>
      <c r="AP118" s="860" t="s">
        <v>48</v>
      </c>
      <c r="AQ118" s="67">
        <v>0</v>
      </c>
      <c r="AR118" s="827" t="str">
        <f t="shared" ref="AR118:AR123" si="184">+AN118</f>
        <v>Actualizar el Manual de funciones de la ADRES</v>
      </c>
      <c r="AS118" s="831">
        <v>0</v>
      </c>
      <c r="AT118" s="473">
        <v>0</v>
      </c>
      <c r="AU118" s="864">
        <v>0</v>
      </c>
      <c r="AV118" s="828" t="e">
        <f t="shared" ref="AV118:AV123" si="185">+(AT118/AQ118)</f>
        <v>#DIV/0!</v>
      </c>
      <c r="AW118" s="828" t="e">
        <f t="shared" ref="AW118:AW123" si="186">+(AU118/AS118)</f>
        <v>#DIV/0!</v>
      </c>
      <c r="AX118" s="828">
        <f t="shared" ref="AX118:AX123" si="187">+(AT118/AM118)</f>
        <v>0</v>
      </c>
      <c r="AY118" s="828" t="e">
        <f t="shared" ref="AY118:AY123" si="188">+(AU118/AO118)</f>
        <v>#DIV/0!</v>
      </c>
      <c r="AZ118" s="499" t="s">
        <v>1334</v>
      </c>
      <c r="BA118" s="67">
        <v>0</v>
      </c>
      <c r="BB118" s="827" t="str">
        <f t="shared" ref="BB118:BB123" si="189">+AN118</f>
        <v>Actualizar el Manual de funciones de la ADRES</v>
      </c>
      <c r="BC118" s="831">
        <v>0</v>
      </c>
      <c r="BD118" s="838">
        <v>0</v>
      </c>
      <c r="BE118" s="831">
        <v>0</v>
      </c>
      <c r="BF118" s="828" t="e">
        <f t="shared" ref="BF118:BF123" si="190">+(BD118/BA118)</f>
        <v>#DIV/0!</v>
      </c>
      <c r="BG118" s="828" t="e">
        <f t="shared" ref="BG118:BG123" si="191">+(BE118/BC118)</f>
        <v>#DIV/0!</v>
      </c>
      <c r="BH118" s="828">
        <f t="shared" ref="BH118:BH123" si="192">+(BD118+AT118)/AM118</f>
        <v>0</v>
      </c>
      <c r="BI118" s="828" t="e">
        <f t="shared" ref="BI118:BI123" si="193">+(BE118+AU118)/AO118</f>
        <v>#DIV/0!</v>
      </c>
      <c r="BJ118" s="830" t="s">
        <v>1378</v>
      </c>
      <c r="BK118" s="835">
        <v>1</v>
      </c>
      <c r="BL118" s="827" t="str">
        <f t="shared" ref="BL118:BL123" si="194">+AN118</f>
        <v>Actualizar el Manual de funciones de la ADRES</v>
      </c>
      <c r="BM118" s="831">
        <v>0</v>
      </c>
      <c r="BN118" s="998">
        <v>1</v>
      </c>
      <c r="BO118" s="995">
        <v>0</v>
      </c>
      <c r="BP118" s="828">
        <f t="shared" ref="BP118:BP123" si="195">+(BN118/BK118)</f>
        <v>1</v>
      </c>
      <c r="BQ118" s="828" t="e">
        <f t="shared" ref="BQ118:BQ123" si="196">+(BO118/BM118)</f>
        <v>#DIV/0!</v>
      </c>
      <c r="BR118" s="828">
        <f t="shared" ref="BR118:BR123" si="197">+(BD118+AT118+BN118)/AM118</f>
        <v>1</v>
      </c>
      <c r="BS118" s="828" t="e">
        <f t="shared" ref="BS118:BS123" si="198">+(BE118+AU118+BO118)/AO118</f>
        <v>#DIV/0!</v>
      </c>
      <c r="BT118" s="997" t="s">
        <v>1916</v>
      </c>
      <c r="BU118" s="67">
        <v>0</v>
      </c>
      <c r="BV118" s="827" t="str">
        <f t="shared" ref="BV118:BV123" si="199">+AN118</f>
        <v>Actualizar el Manual de funciones de la ADRES</v>
      </c>
      <c r="BW118" s="831">
        <v>0</v>
      </c>
      <c r="BX118" s="835"/>
      <c r="BY118" s="835"/>
      <c r="BZ118" s="826" t="e">
        <f t="shared" ref="BZ118:BZ123" si="200">+(BX118/BU118)</f>
        <v>#DIV/0!</v>
      </c>
      <c r="CA118" s="826" t="e">
        <f t="shared" ref="CA118:CA123" si="201">+(BY118/BW118)</f>
        <v>#DIV/0!</v>
      </c>
      <c r="CB118" s="826">
        <f t="shared" ref="CB118:CB123" si="202">+(BD118+AT118+BN118+BX118)/AM118</f>
        <v>1</v>
      </c>
      <c r="CC118" s="826" t="e">
        <f t="shared" ref="CC118:CC123" si="203">+(BE118+AU118+BO118+BY118)/AO118</f>
        <v>#DIV/0!</v>
      </c>
      <c r="CD118" s="826"/>
      <c r="CE118" s="640" t="str">
        <f t="shared" ref="CE118:CE123" si="204">IF(AND(AQ118=0,AT118=0),"No Prog ni Ejec",IF(AQ118=0,CONCATENATE("No Prog, Ejec=  ",AT118),AT118/AQ118))</f>
        <v>No Prog ni Ejec</v>
      </c>
      <c r="CF118" s="640" t="str">
        <f t="shared" ref="CF118:CF123" si="205">IF(AND(AS118=0,AU118=0),"No Prog ni Ejec",IF(AS118=0,CONCATENATE("No Prog, Ejec=  ",AU118),AU118/AS118))</f>
        <v>No Prog ni Ejec</v>
      </c>
      <c r="CG118" s="640" t="str">
        <f t="shared" ref="CG118:CG123" si="206">IF(AND(BA118=0,BD118=0),"No Prog ni Ejec",IF(BA118=0,CONCATENATE("No Prog, Ejec=  ",BD118),BD118/BA118))</f>
        <v>No Prog ni Ejec</v>
      </c>
      <c r="CH118" s="640" t="str">
        <f t="shared" ref="CH118:CH123" si="207">IF(AND(BC118=0,BE118=0),"No Prog ni Ejec",IF(BC118=0,CONCATENATE("No Prog, Ejec=  ",BE118),BE118/BC118))</f>
        <v>No Prog ni Ejec</v>
      </c>
      <c r="CI118" s="640">
        <f t="shared" ref="CI118:CI123" si="208">IF(AND(BK118=0,BN118=0),"No Prog ni Ejec",IF(BK118=0,CONCATENATE("No Prog, Ejec=  ",BN118),BN118/BK118))</f>
        <v>1</v>
      </c>
      <c r="CJ118" s="640" t="str">
        <f t="shared" ref="CJ118:CJ123" si="209">IF(AND(BM118=0,BO118=0),"No Prog ni Ejec",IF(BM118=0,CONCATENATE("No Prog, Ejec=  ",BO118),BO118/BM118))</f>
        <v>No Prog ni Ejec</v>
      </c>
      <c r="CK118" s="640" t="str">
        <f t="shared" ref="CK118:CK123" si="210">IF(AND(BU118=0,BX118=0),"No Prog ni Ejec",IF(BU118=0,CONCATENATE("No Prog, Ejec=  ",BX118),BX118/BU118))</f>
        <v>No Prog ni Ejec</v>
      </c>
      <c r="CL118" s="698" t="str">
        <f t="shared" ref="CL118:CL123" si="211">IF(AND(BW118=0,BY118=0),"No Prog ni Ejec",IF(BW118=0,CONCATENATE("No Prog, Ejec=  ",BY118),BY118/BW118))</f>
        <v>No Prog ni Ejec</v>
      </c>
      <c r="CM118" s="128">
        <f t="shared" si="134"/>
        <v>0</v>
      </c>
      <c r="CV118" s="122">
        <v>5</v>
      </c>
      <c r="DB118" s="70">
        <v>11</v>
      </c>
    </row>
    <row r="119" spans="1:107" s="70" customFormat="1" ht="99.75" customHeight="1" x14ac:dyDescent="0.2">
      <c r="A119" s="697">
        <v>11700</v>
      </c>
      <c r="B119" s="636" t="s">
        <v>14</v>
      </c>
      <c r="C119" s="654" t="s">
        <v>845</v>
      </c>
      <c r="D119" s="165"/>
      <c r="E119" s="165"/>
      <c r="F119" s="165"/>
      <c r="G119" s="165"/>
      <c r="H119" s="165"/>
      <c r="I119" s="165"/>
      <c r="J119" s="165" t="s">
        <v>1020</v>
      </c>
      <c r="K119" s="165"/>
      <c r="L119" s="165" t="s">
        <v>1020</v>
      </c>
      <c r="M119" s="165"/>
      <c r="N119" s="165"/>
      <c r="O119" s="165"/>
      <c r="P119" s="165"/>
      <c r="Q119" s="636" t="s">
        <v>204</v>
      </c>
      <c r="R119" s="636" t="s">
        <v>204</v>
      </c>
      <c r="S119" s="638" t="s">
        <v>238</v>
      </c>
      <c r="T119" s="636" t="s">
        <v>94</v>
      </c>
      <c r="U119" s="636" t="s">
        <v>204</v>
      </c>
      <c r="V119" s="636" t="s">
        <v>204</v>
      </c>
      <c r="W119" s="638" t="s">
        <v>838</v>
      </c>
      <c r="X119" s="654" t="s">
        <v>850</v>
      </c>
      <c r="Y119" s="155" t="s">
        <v>391</v>
      </c>
      <c r="Z119" s="835">
        <v>1</v>
      </c>
      <c r="AA119" s="835" t="s">
        <v>830</v>
      </c>
      <c r="AB119" s="827" t="s">
        <v>853</v>
      </c>
      <c r="AC119" s="158">
        <v>0</v>
      </c>
      <c r="AD119" s="832">
        <v>1</v>
      </c>
      <c r="AE119" s="827" t="s">
        <v>16</v>
      </c>
      <c r="AF119" s="827" t="s">
        <v>21</v>
      </c>
      <c r="AG119" s="827" t="s">
        <v>204</v>
      </c>
      <c r="AH119" s="827" t="s">
        <v>635</v>
      </c>
      <c r="AI119" s="827" t="s">
        <v>77</v>
      </c>
      <c r="AJ119" s="827" t="s">
        <v>204</v>
      </c>
      <c r="AK119" s="827" t="s">
        <v>856</v>
      </c>
      <c r="AL119" s="827" t="s">
        <v>43</v>
      </c>
      <c r="AM119" s="835">
        <v>1</v>
      </c>
      <c r="AN119" s="827" t="str">
        <f t="shared" si="182"/>
        <v xml:space="preserve">Solicitar a la CNSC, la apertura de la OPEC </v>
      </c>
      <c r="AO119" s="833">
        <f t="shared" si="183"/>
        <v>0</v>
      </c>
      <c r="AP119" s="860" t="s">
        <v>48</v>
      </c>
      <c r="AQ119" s="67">
        <v>0</v>
      </c>
      <c r="AR119" s="827" t="str">
        <f t="shared" si="184"/>
        <v xml:space="preserve">Solicitar a la CNSC, la apertura de la OPEC </v>
      </c>
      <c r="AS119" s="831">
        <v>0</v>
      </c>
      <c r="AT119" s="473">
        <v>0</v>
      </c>
      <c r="AU119" s="864">
        <v>0</v>
      </c>
      <c r="AV119" s="828" t="e">
        <f t="shared" si="185"/>
        <v>#DIV/0!</v>
      </c>
      <c r="AW119" s="828" t="e">
        <f t="shared" si="186"/>
        <v>#DIV/0!</v>
      </c>
      <c r="AX119" s="828">
        <f t="shared" si="187"/>
        <v>0</v>
      </c>
      <c r="AY119" s="828" t="e">
        <f t="shared" si="188"/>
        <v>#DIV/0!</v>
      </c>
      <c r="AZ119" s="499" t="s">
        <v>1334</v>
      </c>
      <c r="BA119" s="67">
        <v>0</v>
      </c>
      <c r="BB119" s="827" t="str">
        <f t="shared" si="189"/>
        <v xml:space="preserve">Solicitar a la CNSC, la apertura de la OPEC </v>
      </c>
      <c r="BC119" s="831">
        <v>0</v>
      </c>
      <c r="BD119" s="838">
        <v>0</v>
      </c>
      <c r="BE119" s="831">
        <v>0</v>
      </c>
      <c r="BF119" s="828" t="e">
        <f t="shared" si="190"/>
        <v>#DIV/0!</v>
      </c>
      <c r="BG119" s="828" t="e">
        <f t="shared" si="191"/>
        <v>#DIV/0!</v>
      </c>
      <c r="BH119" s="828">
        <f t="shared" si="192"/>
        <v>0</v>
      </c>
      <c r="BI119" s="828" t="e">
        <f t="shared" si="193"/>
        <v>#DIV/0!</v>
      </c>
      <c r="BJ119" s="830" t="s">
        <v>1378</v>
      </c>
      <c r="BK119" s="835">
        <v>1</v>
      </c>
      <c r="BL119" s="827" t="str">
        <f t="shared" si="194"/>
        <v xml:space="preserve">Solicitar a la CNSC, la apertura de la OPEC </v>
      </c>
      <c r="BM119" s="831">
        <v>0</v>
      </c>
      <c r="BN119" s="998">
        <v>0</v>
      </c>
      <c r="BO119" s="995">
        <v>0</v>
      </c>
      <c r="BP119" s="828">
        <f t="shared" si="195"/>
        <v>0</v>
      </c>
      <c r="BQ119" s="828" t="e">
        <f t="shared" si="196"/>
        <v>#DIV/0!</v>
      </c>
      <c r="BR119" s="828">
        <f t="shared" si="197"/>
        <v>0</v>
      </c>
      <c r="BS119" s="828" t="e">
        <f t="shared" si="198"/>
        <v>#DIV/0!</v>
      </c>
      <c r="BT119" s="997" t="s">
        <v>1917</v>
      </c>
      <c r="BU119" s="67">
        <v>0</v>
      </c>
      <c r="BV119" s="827" t="str">
        <f t="shared" si="199"/>
        <v xml:space="preserve">Solicitar a la CNSC, la apertura de la OPEC </v>
      </c>
      <c r="BW119" s="831">
        <v>0</v>
      </c>
      <c r="BX119" s="835"/>
      <c r="BY119" s="835"/>
      <c r="BZ119" s="826" t="e">
        <f t="shared" si="200"/>
        <v>#DIV/0!</v>
      </c>
      <c r="CA119" s="826" t="e">
        <f t="shared" si="201"/>
        <v>#DIV/0!</v>
      </c>
      <c r="CB119" s="826">
        <f t="shared" si="202"/>
        <v>0</v>
      </c>
      <c r="CC119" s="826" t="e">
        <f t="shared" si="203"/>
        <v>#DIV/0!</v>
      </c>
      <c r="CD119" s="826"/>
      <c r="CE119" s="640" t="str">
        <f t="shared" si="204"/>
        <v>No Prog ni Ejec</v>
      </c>
      <c r="CF119" s="640" t="str">
        <f t="shared" si="205"/>
        <v>No Prog ni Ejec</v>
      </c>
      <c r="CG119" s="640" t="str">
        <f t="shared" si="206"/>
        <v>No Prog ni Ejec</v>
      </c>
      <c r="CH119" s="640" t="str">
        <f t="shared" si="207"/>
        <v>No Prog ni Ejec</v>
      </c>
      <c r="CI119" s="640">
        <f t="shared" si="208"/>
        <v>0</v>
      </c>
      <c r="CJ119" s="640" t="str">
        <f t="shared" si="209"/>
        <v>No Prog ni Ejec</v>
      </c>
      <c r="CK119" s="640" t="str">
        <f t="shared" si="210"/>
        <v>No Prog ni Ejec</v>
      </c>
      <c r="CL119" s="698" t="str">
        <f t="shared" si="211"/>
        <v>No Prog ni Ejec</v>
      </c>
      <c r="CM119" s="128">
        <f t="shared" si="134"/>
        <v>0</v>
      </c>
      <c r="CV119" s="122">
        <v>5</v>
      </c>
      <c r="DB119" s="70">
        <v>11</v>
      </c>
    </row>
    <row r="120" spans="1:107" s="70" customFormat="1" ht="104.25" customHeight="1" x14ac:dyDescent="0.2">
      <c r="A120" s="697">
        <v>11700</v>
      </c>
      <c r="B120" s="636" t="s">
        <v>14</v>
      </c>
      <c r="C120" s="654" t="s">
        <v>845</v>
      </c>
      <c r="D120" s="165"/>
      <c r="E120" s="165"/>
      <c r="F120" s="165"/>
      <c r="G120" s="165"/>
      <c r="H120" s="165"/>
      <c r="I120" s="165"/>
      <c r="J120" s="165" t="s">
        <v>1020</v>
      </c>
      <c r="K120" s="165"/>
      <c r="L120" s="165" t="s">
        <v>1020</v>
      </c>
      <c r="M120" s="165"/>
      <c r="N120" s="165"/>
      <c r="O120" s="165"/>
      <c r="P120" s="165"/>
      <c r="Q120" s="636" t="s">
        <v>204</v>
      </c>
      <c r="R120" s="636" t="s">
        <v>204</v>
      </c>
      <c r="S120" s="638" t="s">
        <v>238</v>
      </c>
      <c r="T120" s="636" t="s">
        <v>94</v>
      </c>
      <c r="U120" s="636" t="s">
        <v>204</v>
      </c>
      <c r="V120" s="636" t="s">
        <v>204</v>
      </c>
      <c r="W120" s="638" t="s">
        <v>839</v>
      </c>
      <c r="X120" s="654" t="s">
        <v>851</v>
      </c>
      <c r="Y120" s="155" t="s">
        <v>391</v>
      </c>
      <c r="Z120" s="835">
        <v>1</v>
      </c>
      <c r="AA120" s="835" t="s">
        <v>831</v>
      </c>
      <c r="AB120" s="827" t="s">
        <v>854</v>
      </c>
      <c r="AC120" s="158">
        <v>0</v>
      </c>
      <c r="AD120" s="832">
        <v>1</v>
      </c>
      <c r="AE120" s="827" t="s">
        <v>16</v>
      </c>
      <c r="AF120" s="827" t="s">
        <v>21</v>
      </c>
      <c r="AG120" s="827" t="s">
        <v>204</v>
      </c>
      <c r="AH120" s="827" t="s">
        <v>635</v>
      </c>
      <c r="AI120" s="827" t="s">
        <v>77</v>
      </c>
      <c r="AJ120" s="827" t="s">
        <v>204</v>
      </c>
      <c r="AK120" s="827" t="s">
        <v>857</v>
      </c>
      <c r="AL120" s="827" t="s">
        <v>43</v>
      </c>
      <c r="AM120" s="835">
        <v>1</v>
      </c>
      <c r="AN120" s="827" t="str">
        <f t="shared" si="182"/>
        <v>Actualizar la OPEC en el aplicativo SIMO</v>
      </c>
      <c r="AO120" s="833">
        <f t="shared" si="183"/>
        <v>0</v>
      </c>
      <c r="AP120" s="860" t="s">
        <v>48</v>
      </c>
      <c r="AQ120" s="67">
        <v>0</v>
      </c>
      <c r="AR120" s="827" t="str">
        <f t="shared" si="184"/>
        <v>Actualizar la OPEC en el aplicativo SIMO</v>
      </c>
      <c r="AS120" s="831">
        <v>0</v>
      </c>
      <c r="AT120" s="473">
        <v>0</v>
      </c>
      <c r="AU120" s="864">
        <v>0</v>
      </c>
      <c r="AV120" s="828" t="e">
        <f t="shared" si="185"/>
        <v>#DIV/0!</v>
      </c>
      <c r="AW120" s="828" t="e">
        <f t="shared" si="186"/>
        <v>#DIV/0!</v>
      </c>
      <c r="AX120" s="828">
        <f t="shared" si="187"/>
        <v>0</v>
      </c>
      <c r="AY120" s="828" t="e">
        <f t="shared" si="188"/>
        <v>#DIV/0!</v>
      </c>
      <c r="AZ120" s="499" t="s">
        <v>1334</v>
      </c>
      <c r="BA120" s="67">
        <v>0</v>
      </c>
      <c r="BB120" s="827" t="str">
        <f t="shared" si="189"/>
        <v>Actualizar la OPEC en el aplicativo SIMO</v>
      </c>
      <c r="BC120" s="831">
        <v>0</v>
      </c>
      <c r="BD120" s="838">
        <v>0</v>
      </c>
      <c r="BE120" s="831">
        <v>0</v>
      </c>
      <c r="BF120" s="828" t="e">
        <f t="shared" si="190"/>
        <v>#DIV/0!</v>
      </c>
      <c r="BG120" s="828" t="e">
        <f t="shared" si="191"/>
        <v>#DIV/0!</v>
      </c>
      <c r="BH120" s="828">
        <f t="shared" si="192"/>
        <v>0</v>
      </c>
      <c r="BI120" s="828" t="e">
        <f t="shared" si="193"/>
        <v>#DIV/0!</v>
      </c>
      <c r="BJ120" s="830" t="s">
        <v>1378</v>
      </c>
      <c r="BK120" s="835">
        <v>1</v>
      </c>
      <c r="BL120" s="827" t="str">
        <f t="shared" si="194"/>
        <v>Actualizar la OPEC en el aplicativo SIMO</v>
      </c>
      <c r="BM120" s="831">
        <v>0</v>
      </c>
      <c r="BN120" s="998">
        <v>0</v>
      </c>
      <c r="BO120" s="995">
        <v>0</v>
      </c>
      <c r="BP120" s="828">
        <f t="shared" si="195"/>
        <v>0</v>
      </c>
      <c r="BQ120" s="828" t="e">
        <f t="shared" si="196"/>
        <v>#DIV/0!</v>
      </c>
      <c r="BR120" s="828">
        <f t="shared" si="197"/>
        <v>0</v>
      </c>
      <c r="BS120" s="828" t="e">
        <f t="shared" si="198"/>
        <v>#DIV/0!</v>
      </c>
      <c r="BT120" s="997" t="s">
        <v>1917</v>
      </c>
      <c r="BU120" s="67">
        <v>0</v>
      </c>
      <c r="BV120" s="827" t="str">
        <f t="shared" si="199"/>
        <v>Actualizar la OPEC en el aplicativo SIMO</v>
      </c>
      <c r="BW120" s="831">
        <v>0</v>
      </c>
      <c r="BX120" s="835"/>
      <c r="BY120" s="835"/>
      <c r="BZ120" s="826" t="e">
        <f t="shared" si="200"/>
        <v>#DIV/0!</v>
      </c>
      <c r="CA120" s="826" t="e">
        <f t="shared" si="201"/>
        <v>#DIV/0!</v>
      </c>
      <c r="CB120" s="826">
        <f t="shared" si="202"/>
        <v>0</v>
      </c>
      <c r="CC120" s="826" t="e">
        <f t="shared" si="203"/>
        <v>#DIV/0!</v>
      </c>
      <c r="CD120" s="826"/>
      <c r="CE120" s="640" t="str">
        <f t="shared" si="204"/>
        <v>No Prog ni Ejec</v>
      </c>
      <c r="CF120" s="640" t="str">
        <f t="shared" si="205"/>
        <v>No Prog ni Ejec</v>
      </c>
      <c r="CG120" s="640" t="str">
        <f t="shared" si="206"/>
        <v>No Prog ni Ejec</v>
      </c>
      <c r="CH120" s="640" t="str">
        <f t="shared" si="207"/>
        <v>No Prog ni Ejec</v>
      </c>
      <c r="CI120" s="640">
        <f t="shared" si="208"/>
        <v>0</v>
      </c>
      <c r="CJ120" s="640" t="str">
        <f t="shared" si="209"/>
        <v>No Prog ni Ejec</v>
      </c>
      <c r="CK120" s="640" t="str">
        <f t="shared" si="210"/>
        <v>No Prog ni Ejec</v>
      </c>
      <c r="CL120" s="698" t="str">
        <f t="shared" si="211"/>
        <v>No Prog ni Ejec</v>
      </c>
      <c r="CM120" s="128">
        <f t="shared" si="134"/>
        <v>0</v>
      </c>
      <c r="CV120" s="122">
        <v>5</v>
      </c>
      <c r="DB120" s="70">
        <v>11</v>
      </c>
    </row>
    <row r="121" spans="1:107" s="70" customFormat="1" ht="106.5" customHeight="1" x14ac:dyDescent="0.2">
      <c r="A121" s="697">
        <v>11700</v>
      </c>
      <c r="B121" s="636" t="s">
        <v>14</v>
      </c>
      <c r="C121" s="636" t="s">
        <v>330</v>
      </c>
      <c r="D121" s="124"/>
      <c r="E121" s="124" t="s">
        <v>1020</v>
      </c>
      <c r="F121" s="124" t="s">
        <v>1020</v>
      </c>
      <c r="G121" s="124"/>
      <c r="H121" s="124"/>
      <c r="I121" s="124"/>
      <c r="J121" s="124"/>
      <c r="K121" s="124"/>
      <c r="L121" s="124"/>
      <c r="M121" s="124"/>
      <c r="N121" s="124"/>
      <c r="O121" s="124"/>
      <c r="P121" s="124"/>
      <c r="Q121" s="636" t="s">
        <v>204</v>
      </c>
      <c r="R121" s="636" t="s">
        <v>204</v>
      </c>
      <c r="S121" s="638" t="s">
        <v>238</v>
      </c>
      <c r="T121" s="636" t="s">
        <v>94</v>
      </c>
      <c r="U121" s="636" t="s">
        <v>204</v>
      </c>
      <c r="V121" s="636" t="s">
        <v>204</v>
      </c>
      <c r="W121" s="638" t="s">
        <v>840</v>
      </c>
      <c r="X121" s="837" t="s">
        <v>1760</v>
      </c>
      <c r="Y121" s="650" t="s">
        <v>391</v>
      </c>
      <c r="Z121" s="592">
        <v>2</v>
      </c>
      <c r="AA121" s="638" t="s">
        <v>832</v>
      </c>
      <c r="AB121" s="837" t="s">
        <v>1759</v>
      </c>
      <c r="AC121" s="569">
        <v>0</v>
      </c>
      <c r="AD121" s="646">
        <v>1</v>
      </c>
      <c r="AE121" s="636" t="s">
        <v>17</v>
      </c>
      <c r="AF121" s="636" t="s">
        <v>23</v>
      </c>
      <c r="AG121" s="636" t="s">
        <v>204</v>
      </c>
      <c r="AH121" s="636" t="s">
        <v>635</v>
      </c>
      <c r="AI121" s="636" t="s">
        <v>78</v>
      </c>
      <c r="AJ121" s="636" t="s">
        <v>1269</v>
      </c>
      <c r="AK121" s="837" t="s">
        <v>1761</v>
      </c>
      <c r="AL121" s="636" t="s">
        <v>42</v>
      </c>
      <c r="AM121" s="592">
        <v>2</v>
      </c>
      <c r="AN121" s="636" t="str">
        <f t="shared" si="182"/>
        <v xml:space="preserve">Desarrollar la herramienta tecnológica en el Sistema de Gestión de PQRSD- CRM las funcionalidades que permitan medir tiempos de atención y satisfacción en el servicio brindado por el canal presencial. </v>
      </c>
      <c r="AO121" s="645">
        <f t="shared" si="183"/>
        <v>0</v>
      </c>
      <c r="AP121" s="643" t="s">
        <v>46</v>
      </c>
      <c r="AQ121" s="67">
        <v>0</v>
      </c>
      <c r="AR121" s="636" t="str">
        <f t="shared" si="184"/>
        <v xml:space="preserve">Desarrollar la herramienta tecnológica en el Sistema de Gestión de PQRSD- CRM las funcionalidades que permitan medir tiempos de atención y satisfacción en el servicio brindado por el canal presencial. </v>
      </c>
      <c r="AS121" s="634">
        <v>0</v>
      </c>
      <c r="AT121" s="473">
        <v>0</v>
      </c>
      <c r="AU121" s="648">
        <v>0</v>
      </c>
      <c r="AV121" s="633" t="e">
        <f t="shared" si="185"/>
        <v>#DIV/0!</v>
      </c>
      <c r="AW121" s="633" t="e">
        <f t="shared" si="186"/>
        <v>#DIV/0!</v>
      </c>
      <c r="AX121" s="633">
        <f t="shared" si="187"/>
        <v>0</v>
      </c>
      <c r="AY121" s="633" t="e">
        <f t="shared" si="188"/>
        <v>#DIV/0!</v>
      </c>
      <c r="AZ121" s="497" t="s">
        <v>1334</v>
      </c>
      <c r="BA121" s="67">
        <v>0</v>
      </c>
      <c r="BB121" s="827" t="str">
        <f t="shared" si="189"/>
        <v xml:space="preserve">Desarrollar la herramienta tecnológica en el Sistema de Gestión de PQRSD- CRM las funcionalidades que permitan medir tiempos de atención y satisfacción en el servicio brindado por el canal presencial. </v>
      </c>
      <c r="BC121" s="831">
        <v>0</v>
      </c>
      <c r="BD121" s="124">
        <v>0</v>
      </c>
      <c r="BE121" s="806">
        <v>0</v>
      </c>
      <c r="BF121" s="633" t="e">
        <f t="shared" si="190"/>
        <v>#DIV/0!</v>
      </c>
      <c r="BG121" s="633" t="e">
        <f t="shared" si="191"/>
        <v>#DIV/0!</v>
      </c>
      <c r="BH121" s="633">
        <f t="shared" si="192"/>
        <v>0</v>
      </c>
      <c r="BI121" s="633" t="e">
        <f t="shared" si="193"/>
        <v>#DIV/0!</v>
      </c>
      <c r="BJ121" s="492" t="s">
        <v>1334</v>
      </c>
      <c r="BK121" s="67">
        <v>0</v>
      </c>
      <c r="BL121" s="827" t="str">
        <f t="shared" si="194"/>
        <v xml:space="preserve">Desarrollar la herramienta tecnológica en el Sistema de Gestión de PQRSD- CRM las funcionalidades que permitan medir tiempos de atención y satisfacción en el servicio brindado por el canal presencial. </v>
      </c>
      <c r="BM121" s="565">
        <v>0</v>
      </c>
      <c r="BN121" s="998">
        <v>0</v>
      </c>
      <c r="BO121" s="995">
        <v>0</v>
      </c>
      <c r="BP121" s="828" t="e">
        <f t="shared" si="195"/>
        <v>#DIV/0!</v>
      </c>
      <c r="BQ121" s="828" t="e">
        <f t="shared" si="196"/>
        <v>#DIV/0!</v>
      </c>
      <c r="BR121" s="828">
        <f t="shared" si="197"/>
        <v>0</v>
      </c>
      <c r="BS121" s="828" t="e">
        <f t="shared" si="198"/>
        <v>#DIV/0!</v>
      </c>
      <c r="BT121" s="1019" t="s">
        <v>1334</v>
      </c>
      <c r="BU121" s="592">
        <v>2</v>
      </c>
      <c r="BV121" s="636" t="str">
        <f t="shared" si="199"/>
        <v xml:space="preserve">Desarrollar la herramienta tecnológica en el Sistema de Gestión de PQRSD- CRM las funcionalidades que permitan medir tiempos de atención y satisfacción en el servicio brindado por el canal presencial. </v>
      </c>
      <c r="BW121" s="634">
        <v>0</v>
      </c>
      <c r="BX121" s="638"/>
      <c r="BY121" s="638"/>
      <c r="BZ121" s="641">
        <f t="shared" si="200"/>
        <v>0</v>
      </c>
      <c r="CA121" s="641" t="e">
        <f t="shared" si="201"/>
        <v>#DIV/0!</v>
      </c>
      <c r="CB121" s="641">
        <f t="shared" si="202"/>
        <v>0</v>
      </c>
      <c r="CC121" s="641" t="e">
        <f t="shared" si="203"/>
        <v>#DIV/0!</v>
      </c>
      <c r="CD121" s="641"/>
      <c r="CE121" s="640" t="str">
        <f t="shared" si="204"/>
        <v>No Prog ni Ejec</v>
      </c>
      <c r="CF121" s="640" t="str">
        <f t="shared" si="205"/>
        <v>No Prog ni Ejec</v>
      </c>
      <c r="CG121" s="640" t="str">
        <f t="shared" si="206"/>
        <v>No Prog ni Ejec</v>
      </c>
      <c r="CH121" s="640" t="str">
        <f t="shared" si="207"/>
        <v>No Prog ni Ejec</v>
      </c>
      <c r="CI121" s="640" t="str">
        <f t="shared" si="208"/>
        <v>No Prog ni Ejec</v>
      </c>
      <c r="CJ121" s="640" t="str">
        <f t="shared" si="209"/>
        <v>No Prog ni Ejec</v>
      </c>
      <c r="CK121" s="640">
        <f t="shared" si="210"/>
        <v>0</v>
      </c>
      <c r="CL121" s="698" t="str">
        <f t="shared" si="211"/>
        <v>No Prog ni Ejec</v>
      </c>
      <c r="CM121" s="128">
        <f t="shared" si="134"/>
        <v>0</v>
      </c>
      <c r="CW121" s="122">
        <v>6</v>
      </c>
    </row>
    <row r="122" spans="1:107" s="70" customFormat="1" ht="140.25" x14ac:dyDescent="0.2">
      <c r="A122" s="697">
        <v>11700</v>
      </c>
      <c r="B122" s="636" t="s">
        <v>14</v>
      </c>
      <c r="C122" s="636" t="s">
        <v>330</v>
      </c>
      <c r="D122" s="124"/>
      <c r="E122" s="124" t="s">
        <v>1020</v>
      </c>
      <c r="F122" s="124" t="s">
        <v>1020</v>
      </c>
      <c r="G122" s="124"/>
      <c r="H122" s="124"/>
      <c r="I122" s="124"/>
      <c r="J122" s="124"/>
      <c r="K122" s="124"/>
      <c r="L122" s="124"/>
      <c r="M122" s="124"/>
      <c r="N122" s="124"/>
      <c r="O122" s="124"/>
      <c r="P122" s="124"/>
      <c r="Q122" s="636" t="s">
        <v>204</v>
      </c>
      <c r="R122" s="636" t="s">
        <v>204</v>
      </c>
      <c r="S122" s="638" t="s">
        <v>238</v>
      </c>
      <c r="T122" s="636" t="s">
        <v>94</v>
      </c>
      <c r="U122" s="636" t="s">
        <v>204</v>
      </c>
      <c r="V122" s="636" t="s">
        <v>204</v>
      </c>
      <c r="W122" s="638" t="s">
        <v>841</v>
      </c>
      <c r="X122" s="636" t="s">
        <v>363</v>
      </c>
      <c r="Y122" s="650" t="s">
        <v>51</v>
      </c>
      <c r="Z122" s="832">
        <v>1</v>
      </c>
      <c r="AA122" s="835" t="s">
        <v>833</v>
      </c>
      <c r="AB122" s="827" t="s">
        <v>611</v>
      </c>
      <c r="AC122" s="850">
        <f>95547737+410239094.26</f>
        <v>505786831.25999999</v>
      </c>
      <c r="AD122" s="832">
        <v>1</v>
      </c>
      <c r="AE122" s="827" t="s">
        <v>17</v>
      </c>
      <c r="AF122" s="827" t="s">
        <v>23</v>
      </c>
      <c r="AG122" s="827" t="s">
        <v>204</v>
      </c>
      <c r="AH122" s="827" t="s">
        <v>635</v>
      </c>
      <c r="AI122" s="827" t="s">
        <v>78</v>
      </c>
      <c r="AJ122" s="827" t="s">
        <v>1278</v>
      </c>
      <c r="AK122" s="79" t="s">
        <v>315</v>
      </c>
      <c r="AL122" s="636" t="s">
        <v>42</v>
      </c>
      <c r="AM122" s="832">
        <v>0.8</v>
      </c>
      <c r="AN122" s="827" t="str">
        <f t="shared" si="182"/>
        <v>Brindar atención, respuesta inmediata, seguimiento a solicitudes de los ciudadanos, empresas y servidores públicos sobre los tramites y servicios de la ADRES y para la ejecución de Campañas informativas</v>
      </c>
      <c r="AO122" s="833">
        <f t="shared" si="183"/>
        <v>505786831.25999999</v>
      </c>
      <c r="AP122" s="860" t="s">
        <v>46</v>
      </c>
      <c r="AQ122" s="832">
        <v>0.2</v>
      </c>
      <c r="AR122" s="827" t="str">
        <f t="shared" si="184"/>
        <v>Brindar atención, respuesta inmediata, seguimiento a solicitudes de los ciudadanos, empresas y servidores públicos sobre los tramites y servicios de la ADRES y para la ejecución de Campañas informativas</v>
      </c>
      <c r="AS122" s="831">
        <f>+AO122/4</f>
        <v>126446707.815</v>
      </c>
      <c r="AT122" s="752">
        <v>0.19645477937672737</v>
      </c>
      <c r="AU122" s="478">
        <v>89331190</v>
      </c>
      <c r="AV122" s="828">
        <f t="shared" si="185"/>
        <v>0.98227389688363675</v>
      </c>
      <c r="AW122" s="828">
        <f t="shared" si="186"/>
        <v>0.70647303946179063</v>
      </c>
      <c r="AX122" s="828">
        <f t="shared" si="187"/>
        <v>0.24556847422090919</v>
      </c>
      <c r="AY122" s="828">
        <f t="shared" si="188"/>
        <v>0.17661825986544766</v>
      </c>
      <c r="AZ122" s="472" t="s">
        <v>1335</v>
      </c>
      <c r="BA122" s="832">
        <v>0.2</v>
      </c>
      <c r="BB122" s="827" t="str">
        <f t="shared" si="189"/>
        <v>Brindar atención, respuesta inmediata, seguimiento a solicitudes de los ciudadanos, empresas y servidores públicos sobre los tramites y servicios de la ADRES y para la ejecución de Campañas informativas</v>
      </c>
      <c r="BC122" s="831">
        <f>+AO122/4</f>
        <v>126446707.815</v>
      </c>
      <c r="BD122" s="741">
        <f>14017/14541*20%</f>
        <v>0.19279279279279282</v>
      </c>
      <c r="BE122" s="831">
        <v>133994342</v>
      </c>
      <c r="BF122" s="828">
        <f t="shared" si="190"/>
        <v>0.96396396396396411</v>
      </c>
      <c r="BG122" s="828">
        <f t="shared" si="191"/>
        <v>1.0596902388003862</v>
      </c>
      <c r="BH122" s="828">
        <f t="shared" si="192"/>
        <v>0.48655946521190024</v>
      </c>
      <c r="BI122" s="828">
        <f t="shared" si="193"/>
        <v>0.4415408195655442</v>
      </c>
      <c r="BJ122" s="829" t="s">
        <v>1741</v>
      </c>
      <c r="BK122" s="832">
        <v>0.2</v>
      </c>
      <c r="BL122" s="827" t="str">
        <f t="shared" si="194"/>
        <v>Brindar atención, respuesta inmediata, seguimiento a solicitudes de los ciudadanos, empresas y servidores públicos sobre los tramites y servicios de la ADRES y para la ejecución de Campañas informativas</v>
      </c>
      <c r="BM122" s="831">
        <f>+AO122/4</f>
        <v>126446707.815</v>
      </c>
      <c r="BN122" s="1003">
        <f>+(6662+6012+6316)/(7107+6449+6775)*20%</f>
        <v>0.18680832226648961</v>
      </c>
      <c r="BO122" s="995">
        <f>44667274+44666490+44665514</f>
        <v>133999278</v>
      </c>
      <c r="BP122" s="828">
        <f t="shared" si="195"/>
        <v>0.93404161133244801</v>
      </c>
      <c r="BQ122" s="828">
        <f t="shared" si="196"/>
        <v>1.0597292750084875</v>
      </c>
      <c r="BR122" s="828">
        <f t="shared" si="197"/>
        <v>0.72006986804501216</v>
      </c>
      <c r="BS122" s="828">
        <f t="shared" si="198"/>
        <v>0.70647313831766612</v>
      </c>
      <c r="BT122" s="466" t="s">
        <v>1918</v>
      </c>
      <c r="BU122" s="832">
        <v>0.2</v>
      </c>
      <c r="BV122" s="827" t="str">
        <f t="shared" si="199"/>
        <v>Brindar atención, respuesta inmediata, seguimiento a solicitudes de los ciudadanos, empresas y servidores públicos sobre los tramites y servicios de la ADRES y para la ejecución de Campañas informativas</v>
      </c>
      <c r="BW122" s="831">
        <f>+AO122/4</f>
        <v>126446707.815</v>
      </c>
      <c r="BX122" s="835"/>
      <c r="BY122" s="835"/>
      <c r="BZ122" s="826">
        <f t="shared" si="200"/>
        <v>0</v>
      </c>
      <c r="CA122" s="826">
        <f t="shared" si="201"/>
        <v>0</v>
      </c>
      <c r="CB122" s="826">
        <f t="shared" si="202"/>
        <v>0.72006986804501216</v>
      </c>
      <c r="CC122" s="826">
        <f t="shared" si="203"/>
        <v>0.70647313831766612</v>
      </c>
      <c r="CD122" s="826"/>
      <c r="CE122" s="640">
        <f t="shared" si="204"/>
        <v>0.98227389688363675</v>
      </c>
      <c r="CF122" s="640">
        <f t="shared" si="205"/>
        <v>0.70647303946179063</v>
      </c>
      <c r="CG122" s="640">
        <f t="shared" si="206"/>
        <v>0.96396396396396411</v>
      </c>
      <c r="CH122" s="640">
        <f t="shared" si="207"/>
        <v>1.0596902388003862</v>
      </c>
      <c r="CI122" s="640">
        <f t="shared" si="208"/>
        <v>0.93404161133244801</v>
      </c>
      <c r="CJ122" s="640">
        <f t="shared" si="209"/>
        <v>1.0597292750084875</v>
      </c>
      <c r="CK122" s="640">
        <f t="shared" si="210"/>
        <v>0</v>
      </c>
      <c r="CL122" s="698">
        <f t="shared" si="211"/>
        <v>0</v>
      </c>
      <c r="CM122" s="128">
        <f t="shared" si="134"/>
        <v>0</v>
      </c>
      <c r="CW122" s="122">
        <v>6</v>
      </c>
    </row>
    <row r="123" spans="1:107" s="70" customFormat="1" ht="106.5" customHeight="1" x14ac:dyDescent="0.2">
      <c r="A123" s="697">
        <v>11700</v>
      </c>
      <c r="B123" s="636" t="s">
        <v>14</v>
      </c>
      <c r="C123" s="636" t="s">
        <v>336</v>
      </c>
      <c r="D123" s="124" t="s">
        <v>1020</v>
      </c>
      <c r="E123" s="124"/>
      <c r="F123" s="124"/>
      <c r="G123" s="124"/>
      <c r="H123" s="124"/>
      <c r="I123" s="124"/>
      <c r="J123" s="124"/>
      <c r="K123" s="124"/>
      <c r="L123" s="124"/>
      <c r="M123" s="124"/>
      <c r="N123" s="124"/>
      <c r="O123" s="124"/>
      <c r="P123" s="124"/>
      <c r="Q123" s="827" t="s">
        <v>1129</v>
      </c>
      <c r="R123" s="827" t="s">
        <v>1133</v>
      </c>
      <c r="S123" s="638" t="s">
        <v>238</v>
      </c>
      <c r="T123" s="636" t="s">
        <v>94</v>
      </c>
      <c r="U123" s="636" t="s">
        <v>204</v>
      </c>
      <c r="V123" s="636" t="s">
        <v>204</v>
      </c>
      <c r="W123" s="638" t="s">
        <v>842</v>
      </c>
      <c r="X123" s="636" t="s">
        <v>638</v>
      </c>
      <c r="Y123" s="650" t="s">
        <v>391</v>
      </c>
      <c r="Z123" s="67">
        <v>1</v>
      </c>
      <c r="AA123" s="835" t="s">
        <v>834</v>
      </c>
      <c r="AB123" s="827" t="s">
        <v>636</v>
      </c>
      <c r="AC123" s="850">
        <v>0</v>
      </c>
      <c r="AD123" s="832">
        <v>1</v>
      </c>
      <c r="AE123" s="827" t="s">
        <v>17</v>
      </c>
      <c r="AF123" s="827" t="s">
        <v>23</v>
      </c>
      <c r="AG123" s="827" t="s">
        <v>204</v>
      </c>
      <c r="AH123" s="827" t="s">
        <v>635</v>
      </c>
      <c r="AI123" s="827" t="s">
        <v>78</v>
      </c>
      <c r="AJ123" s="827" t="s">
        <v>1278</v>
      </c>
      <c r="AK123" s="79" t="s">
        <v>637</v>
      </c>
      <c r="AL123" s="636" t="s">
        <v>42</v>
      </c>
      <c r="AM123" s="67">
        <v>1</v>
      </c>
      <c r="AN123" s="827" t="str">
        <f t="shared" si="182"/>
        <v>Actualizar el manual de la Política de Servicio al Ciudadano con el propósito de orientar la gestión al interior de la entidad y socializarlo en los programas de Inducción y Reinducción de la ADRES</v>
      </c>
      <c r="AO123" s="833">
        <f t="shared" si="183"/>
        <v>0</v>
      </c>
      <c r="AP123" s="860" t="s">
        <v>48</v>
      </c>
      <c r="AQ123" s="67">
        <v>1</v>
      </c>
      <c r="AR123" s="827" t="str">
        <f t="shared" si="184"/>
        <v>Actualizar el manual de la Política de Servicio al Ciudadano con el propósito de orientar la gestión al interior de la entidad y socializarlo en los programas de Inducción y Reinducción de la ADRES</v>
      </c>
      <c r="AS123" s="831">
        <v>0</v>
      </c>
      <c r="AT123" s="473">
        <v>1</v>
      </c>
      <c r="AU123" s="864">
        <v>0</v>
      </c>
      <c r="AV123" s="828">
        <f t="shared" si="185"/>
        <v>1</v>
      </c>
      <c r="AW123" s="828" t="e">
        <f t="shared" si="186"/>
        <v>#DIV/0!</v>
      </c>
      <c r="AX123" s="828">
        <f t="shared" si="187"/>
        <v>1</v>
      </c>
      <c r="AY123" s="828" t="e">
        <f t="shared" si="188"/>
        <v>#DIV/0!</v>
      </c>
      <c r="AZ123" s="472" t="s">
        <v>1336</v>
      </c>
      <c r="BA123" s="96">
        <v>0</v>
      </c>
      <c r="BB123" s="827" t="str">
        <f t="shared" si="189"/>
        <v>Actualizar el manual de la Política de Servicio al Ciudadano con el propósito de orientar la gestión al interior de la entidad y socializarlo en los programas de Inducción y Reinducción de la ADRES</v>
      </c>
      <c r="BC123" s="850">
        <v>0</v>
      </c>
      <c r="BD123" s="845">
        <v>0</v>
      </c>
      <c r="BE123" s="831">
        <v>0</v>
      </c>
      <c r="BF123" s="828" t="e">
        <f t="shared" si="190"/>
        <v>#DIV/0!</v>
      </c>
      <c r="BG123" s="828" t="e">
        <f t="shared" si="191"/>
        <v>#DIV/0!</v>
      </c>
      <c r="BH123" s="828">
        <f t="shared" si="192"/>
        <v>1</v>
      </c>
      <c r="BI123" s="828" t="e">
        <f t="shared" si="193"/>
        <v>#DIV/0!</v>
      </c>
      <c r="BJ123" s="830" t="s">
        <v>1334</v>
      </c>
      <c r="BK123" s="96">
        <v>0</v>
      </c>
      <c r="BL123" s="827" t="str">
        <f t="shared" si="194"/>
        <v>Actualizar el manual de la Política de Servicio al Ciudadano con el propósito de orientar la gestión al interior de la entidad y socializarlo en los programas de Inducción y Reinducción de la ADRES</v>
      </c>
      <c r="BM123" s="831">
        <v>0</v>
      </c>
      <c r="BN123" s="998">
        <v>0</v>
      </c>
      <c r="BO123" s="995">
        <v>0</v>
      </c>
      <c r="BP123" s="828" t="e">
        <f t="shared" si="195"/>
        <v>#DIV/0!</v>
      </c>
      <c r="BQ123" s="828" t="e">
        <f t="shared" si="196"/>
        <v>#DIV/0!</v>
      </c>
      <c r="BR123" s="828">
        <f t="shared" si="197"/>
        <v>1</v>
      </c>
      <c r="BS123" s="828" t="e">
        <f t="shared" si="198"/>
        <v>#DIV/0!</v>
      </c>
      <c r="BT123" s="994" t="s">
        <v>1334</v>
      </c>
      <c r="BU123" s="96">
        <v>0</v>
      </c>
      <c r="BV123" s="827" t="str">
        <f t="shared" si="199"/>
        <v>Actualizar el manual de la Política de Servicio al Ciudadano con el propósito de orientar la gestión al interior de la entidad y socializarlo en los programas de Inducción y Reinducción de la ADRES</v>
      </c>
      <c r="BW123" s="831">
        <v>0</v>
      </c>
      <c r="BX123" s="835"/>
      <c r="BY123" s="835"/>
      <c r="BZ123" s="826" t="e">
        <f t="shared" si="200"/>
        <v>#DIV/0!</v>
      </c>
      <c r="CA123" s="826" t="e">
        <f t="shared" si="201"/>
        <v>#DIV/0!</v>
      </c>
      <c r="CB123" s="826">
        <f t="shared" si="202"/>
        <v>1</v>
      </c>
      <c r="CC123" s="826" t="e">
        <f t="shared" si="203"/>
        <v>#DIV/0!</v>
      </c>
      <c r="CD123" s="826"/>
      <c r="CE123" s="640">
        <f t="shared" si="204"/>
        <v>1</v>
      </c>
      <c r="CF123" s="640" t="str">
        <f t="shared" si="205"/>
        <v>No Prog ni Ejec</v>
      </c>
      <c r="CG123" s="640" t="str">
        <f t="shared" si="206"/>
        <v>No Prog ni Ejec</v>
      </c>
      <c r="CH123" s="640" t="str">
        <f t="shared" si="207"/>
        <v>No Prog ni Ejec</v>
      </c>
      <c r="CI123" s="640" t="str">
        <f t="shared" si="208"/>
        <v>No Prog ni Ejec</v>
      </c>
      <c r="CJ123" s="640" t="str">
        <f t="shared" si="209"/>
        <v>No Prog ni Ejec</v>
      </c>
      <c r="CK123" s="640" t="str">
        <f t="shared" si="210"/>
        <v>No Prog ni Ejec</v>
      </c>
      <c r="CL123" s="698" t="str">
        <f t="shared" si="211"/>
        <v>No Prog ni Ejec</v>
      </c>
      <c r="CM123" s="128">
        <f t="shared" si="134"/>
        <v>0</v>
      </c>
      <c r="CW123" s="122">
        <v>6</v>
      </c>
    </row>
    <row r="124" spans="1:107" s="70" customFormat="1" ht="122.25" customHeight="1" x14ac:dyDescent="0.2">
      <c r="A124" s="697">
        <v>11700</v>
      </c>
      <c r="B124" s="636" t="s">
        <v>14</v>
      </c>
      <c r="C124" s="636" t="s">
        <v>612</v>
      </c>
      <c r="D124" s="124" t="s">
        <v>1020</v>
      </c>
      <c r="E124" s="124"/>
      <c r="F124" s="124"/>
      <c r="G124" s="124" t="s">
        <v>1020</v>
      </c>
      <c r="H124" s="124"/>
      <c r="I124" s="124"/>
      <c r="J124" s="124"/>
      <c r="K124" s="124"/>
      <c r="L124" s="124" t="s">
        <v>1020</v>
      </c>
      <c r="M124" s="124"/>
      <c r="N124" s="124"/>
      <c r="O124" s="124"/>
      <c r="P124" s="124"/>
      <c r="Q124" s="827" t="s">
        <v>1129</v>
      </c>
      <c r="R124" s="827" t="s">
        <v>1767</v>
      </c>
      <c r="S124" s="638" t="s">
        <v>238</v>
      </c>
      <c r="T124" s="636" t="s">
        <v>94</v>
      </c>
      <c r="U124" s="636" t="s">
        <v>204</v>
      </c>
      <c r="V124" s="636" t="s">
        <v>204</v>
      </c>
      <c r="W124" s="638" t="s">
        <v>843</v>
      </c>
      <c r="X124" s="636" t="s">
        <v>640</v>
      </c>
      <c r="Y124" s="650" t="s">
        <v>408</v>
      </c>
      <c r="Z124" s="66">
        <f>25+18</f>
        <v>43</v>
      </c>
      <c r="AA124" s="835" t="s">
        <v>835</v>
      </c>
      <c r="AB124" s="827" t="s">
        <v>639</v>
      </c>
      <c r="AC124" s="831">
        <v>0</v>
      </c>
      <c r="AD124" s="832">
        <v>1</v>
      </c>
      <c r="AE124" s="827" t="s">
        <v>17</v>
      </c>
      <c r="AF124" s="827" t="s">
        <v>23</v>
      </c>
      <c r="AG124" s="827" t="s">
        <v>204</v>
      </c>
      <c r="AH124" s="827" t="s">
        <v>635</v>
      </c>
      <c r="AI124" s="827" t="s">
        <v>78</v>
      </c>
      <c r="AJ124" s="827" t="s">
        <v>1279</v>
      </c>
      <c r="AK124" s="79" t="s">
        <v>1583</v>
      </c>
      <c r="AL124" s="636" t="s">
        <v>42</v>
      </c>
      <c r="AM124" s="67">
        <v>100</v>
      </c>
      <c r="AN124" s="827" t="str">
        <f t="shared" ref="AN124:AN131" si="212">+AB124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O124" s="833">
        <f t="shared" ref="AO124:AO131" si="213">+AC124</f>
        <v>0</v>
      </c>
      <c r="AP124" s="860" t="s">
        <v>48</v>
      </c>
      <c r="AQ124" s="67">
        <v>25</v>
      </c>
      <c r="AR124" s="827" t="str">
        <f t="shared" ref="AR124:AR131" si="21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AS124" s="831">
        <v>0</v>
      </c>
      <c r="AT124" s="835">
        <v>25</v>
      </c>
      <c r="AU124" s="831">
        <v>0</v>
      </c>
      <c r="AV124" s="828">
        <f t="shared" ref="AV124:AV131" si="215">+(AT124/AQ124)</f>
        <v>1</v>
      </c>
      <c r="AW124" s="828" t="e">
        <f t="shared" ref="AW124:AW131" si="216">+(AU124/AS124)</f>
        <v>#DIV/0!</v>
      </c>
      <c r="AX124" s="828">
        <f t="shared" ref="AX124:AX131" si="217">+(AT124/AM124)</f>
        <v>0.25</v>
      </c>
      <c r="AY124" s="828" t="e">
        <f t="shared" ref="AY124:AY131" si="218">+(AU124/AO124)</f>
        <v>#DIV/0!</v>
      </c>
      <c r="AZ124" s="71" t="s">
        <v>1624</v>
      </c>
      <c r="BA124" s="67">
        <v>6</v>
      </c>
      <c r="BB124" s="827" t="str">
        <f t="shared" ref="BB124:BB131" si="219">+AN124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C124" s="831">
        <v>0</v>
      </c>
      <c r="BD124" s="838">
        <v>6</v>
      </c>
      <c r="BE124" s="831">
        <v>0</v>
      </c>
      <c r="BF124" s="828">
        <f t="shared" ref="BF124:BF131" si="220">+(BD124/BA124)</f>
        <v>1</v>
      </c>
      <c r="BG124" s="828" t="e">
        <f t="shared" ref="BG124:BG131" si="221">+(BE124/BC124)</f>
        <v>#DIV/0!</v>
      </c>
      <c r="BH124" s="828">
        <f t="shared" ref="BH124:BH131" si="222">+(BD124+AT124)/AM124</f>
        <v>0.31</v>
      </c>
      <c r="BI124" s="828" t="e">
        <f t="shared" ref="BI124:BI131" si="223">+(BE124+AU124)/AO124</f>
        <v>#DIV/0!</v>
      </c>
      <c r="BJ124" s="829" t="s">
        <v>1742</v>
      </c>
      <c r="BK124" s="67">
        <v>6</v>
      </c>
      <c r="BL124" s="827" t="str">
        <f t="shared" ref="BL124:BL131" si="224">+AN124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M124" s="831">
        <v>0</v>
      </c>
      <c r="BN124" s="66">
        <f>(6/1)</f>
        <v>6</v>
      </c>
      <c r="BO124" s="995">
        <v>0</v>
      </c>
      <c r="BP124" s="828">
        <f t="shared" ref="BP124:BP131" si="225">+(BN124/BK124)</f>
        <v>1</v>
      </c>
      <c r="BQ124" s="828" t="e">
        <f t="shared" ref="BQ124:BQ131" si="226">+(BO124/BM124)</f>
        <v>#DIV/0!</v>
      </c>
      <c r="BR124" s="828">
        <f t="shared" ref="BR124:BR131" si="227">+(BD124+AT124+BN124)/AM124</f>
        <v>0.37</v>
      </c>
      <c r="BS124" s="828" t="e">
        <f t="shared" ref="BS124:BS131" si="228">+(BE124+AU124+BO124)/AO124</f>
        <v>#DIV/0!</v>
      </c>
      <c r="BT124" s="466" t="s">
        <v>1919</v>
      </c>
      <c r="BU124" s="67">
        <v>6</v>
      </c>
      <c r="BV124" s="827" t="str">
        <f t="shared" ref="BV124:BV131" si="229">+AN124</f>
        <v>Difusión de información en temáticas relacionadas con servicio al ciudadano,  inclusión social, Lenguaje Claro, trámites, servicios y OPAS de la entidad a todos funcionarios a través del correo electrónico u otros mecanismos que se puedan implementar (Carteleras, brochures, intranet, etc.).</v>
      </c>
      <c r="BW124" s="831">
        <v>0</v>
      </c>
      <c r="BX124" s="835"/>
      <c r="BY124" s="835"/>
      <c r="BZ124" s="826">
        <f t="shared" ref="BZ124:BZ131" si="230">+(BX124/BU124)</f>
        <v>0</v>
      </c>
      <c r="CA124" s="826" t="e">
        <f t="shared" ref="CA124:CA131" si="231">+(BY124/BW124)</f>
        <v>#DIV/0!</v>
      </c>
      <c r="CB124" s="826">
        <f t="shared" ref="CB124:CB131" si="232">+(BD124+AT124+BN124+BX124)/AM124</f>
        <v>0.37</v>
      </c>
      <c r="CC124" s="826" t="e">
        <f t="shared" ref="CC124:CC131" si="233">+(BE124+AU124+BO124+BY124)/AO124</f>
        <v>#DIV/0!</v>
      </c>
      <c r="CD124" s="826"/>
      <c r="CE124" s="640">
        <f t="shared" ref="CE124:CE131" si="234">IF(AND(AQ124=0,AT124=0),"No Prog ni Ejec",IF(AQ124=0,CONCATENATE("No Prog, Ejec=  ",AT124),AT124/AQ124))</f>
        <v>1</v>
      </c>
      <c r="CF124" s="640" t="str">
        <f t="shared" ref="CF124:CF131" si="235">IF(AND(AS124=0,AU124=0),"No Prog ni Ejec",IF(AS124=0,CONCATENATE("No Prog, Ejec=  ",AU124),AU124/AS124))</f>
        <v>No Prog ni Ejec</v>
      </c>
      <c r="CG124" s="640">
        <f t="shared" ref="CG124:CG131" si="236">IF(AND(BA124=0,BD124=0),"No Prog ni Ejec",IF(BA124=0,CONCATENATE("No Prog, Ejec=  ",BD124),BD124/BA124))</f>
        <v>1</v>
      </c>
      <c r="CH124" s="640" t="str">
        <f t="shared" ref="CH124:CH131" si="237">IF(AND(BC124=0,BE124=0),"No Prog ni Ejec",IF(BC124=0,CONCATENATE("No Prog, Ejec=  ",BE124),BE124/BC124))</f>
        <v>No Prog ni Ejec</v>
      </c>
      <c r="CI124" s="640">
        <f t="shared" ref="CI124:CI131" si="238">IF(AND(BK124=0,BN124=0),"No Prog ni Ejec",IF(BK124=0,CONCATENATE("No Prog, Ejec=  ",BN124),BN124/BK124))</f>
        <v>1</v>
      </c>
      <c r="CJ124" s="640" t="str">
        <f t="shared" ref="CJ124:CJ131" si="239">IF(AND(BM124=0,BO124=0),"No Prog ni Ejec",IF(BM124=0,CONCATENATE("No Prog, Ejec=  ",BO124),BO124/BM124))</f>
        <v>No Prog ni Ejec</v>
      </c>
      <c r="CK124" s="640">
        <f t="shared" ref="CK124:CK131" si="240">IF(AND(BU124=0,BX124=0),"No Prog ni Ejec",IF(BU124=0,CONCATENATE("No Prog, Ejec=  ",BX124),BX124/BU124))</f>
        <v>0</v>
      </c>
      <c r="CL124" s="698" t="str">
        <f t="shared" ref="CL124:CL131" si="241">IF(AND(BW124=0,BY124=0),"No Prog ni Ejec",IF(BW124=0,CONCATENATE("No Prog, Ejec=  ",BY124),BY124/BW124))</f>
        <v>No Prog ni Ejec</v>
      </c>
      <c r="CM124" s="128">
        <f t="shared" si="134"/>
        <v>0</v>
      </c>
      <c r="CU124" s="122">
        <v>4</v>
      </c>
      <c r="DB124" s="70">
        <v>11</v>
      </c>
    </row>
    <row r="125" spans="1:107" s="70" customFormat="1" ht="188.25" customHeight="1" x14ac:dyDescent="0.2">
      <c r="A125" s="697">
        <v>11700</v>
      </c>
      <c r="B125" s="636" t="s">
        <v>14</v>
      </c>
      <c r="C125" s="636" t="s">
        <v>336</v>
      </c>
      <c r="D125" s="124" t="s">
        <v>1020</v>
      </c>
      <c r="E125" s="124"/>
      <c r="F125" s="124"/>
      <c r="G125" s="124"/>
      <c r="H125" s="124"/>
      <c r="I125" s="124"/>
      <c r="J125" s="124"/>
      <c r="K125" s="124"/>
      <c r="L125" s="124"/>
      <c r="M125" s="124"/>
      <c r="N125" s="124"/>
      <c r="O125" s="124"/>
      <c r="P125" s="124"/>
      <c r="Q125" s="827" t="s">
        <v>1129</v>
      </c>
      <c r="R125" s="827" t="s">
        <v>1135</v>
      </c>
      <c r="S125" s="638" t="s">
        <v>238</v>
      </c>
      <c r="T125" s="636" t="s">
        <v>94</v>
      </c>
      <c r="U125" s="636" t="s">
        <v>204</v>
      </c>
      <c r="V125" s="636" t="s">
        <v>204</v>
      </c>
      <c r="W125" s="638" t="s">
        <v>844</v>
      </c>
      <c r="X125" s="636" t="s">
        <v>364</v>
      </c>
      <c r="Y125" s="650" t="s">
        <v>408</v>
      </c>
      <c r="Z125" s="832">
        <v>1</v>
      </c>
      <c r="AA125" s="835" t="s">
        <v>836</v>
      </c>
      <c r="AB125" s="827" t="s">
        <v>369</v>
      </c>
      <c r="AC125" s="831">
        <v>0</v>
      </c>
      <c r="AD125" s="832">
        <v>1</v>
      </c>
      <c r="AE125" s="827" t="s">
        <v>17</v>
      </c>
      <c r="AF125" s="827" t="s">
        <v>23</v>
      </c>
      <c r="AG125" s="827" t="s">
        <v>204</v>
      </c>
      <c r="AH125" s="827" t="s">
        <v>635</v>
      </c>
      <c r="AI125" s="827" t="s">
        <v>78</v>
      </c>
      <c r="AJ125" s="827" t="s">
        <v>204</v>
      </c>
      <c r="AK125" s="79" t="s">
        <v>613</v>
      </c>
      <c r="AL125" s="636" t="s">
        <v>42</v>
      </c>
      <c r="AM125" s="832">
        <v>1</v>
      </c>
      <c r="AN125" s="827" t="str">
        <f t="shared" si="212"/>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O125" s="833">
        <f t="shared" si="213"/>
        <v>0</v>
      </c>
      <c r="AP125" s="860" t="s">
        <v>48</v>
      </c>
      <c r="AQ125" s="826">
        <v>0.25</v>
      </c>
      <c r="AR125" s="827" t="str">
        <f t="shared" si="21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AS125" s="831">
        <v>0</v>
      </c>
      <c r="AT125" s="753">
        <v>0.25</v>
      </c>
      <c r="AU125" s="864">
        <v>0</v>
      </c>
      <c r="AV125" s="828">
        <f t="shared" si="215"/>
        <v>1</v>
      </c>
      <c r="AW125" s="828" t="e">
        <f t="shared" si="216"/>
        <v>#DIV/0!</v>
      </c>
      <c r="AX125" s="828">
        <f t="shared" si="217"/>
        <v>0.25</v>
      </c>
      <c r="AY125" s="828" t="e">
        <f t="shared" si="218"/>
        <v>#DIV/0!</v>
      </c>
      <c r="AZ125" s="472" t="s">
        <v>1337</v>
      </c>
      <c r="BA125" s="826">
        <v>0.25</v>
      </c>
      <c r="BB125" s="827" t="str">
        <f t="shared" si="219"/>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C125" s="831">
        <v>0</v>
      </c>
      <c r="BD125" s="625">
        <f>1/1*0.25</f>
        <v>0.25</v>
      </c>
      <c r="BE125" s="831">
        <v>0</v>
      </c>
      <c r="BF125" s="828">
        <f t="shared" si="220"/>
        <v>1</v>
      </c>
      <c r="BG125" s="828" t="e">
        <f t="shared" si="221"/>
        <v>#DIV/0!</v>
      </c>
      <c r="BH125" s="828">
        <f t="shared" si="222"/>
        <v>0.5</v>
      </c>
      <c r="BI125" s="828" t="e">
        <f t="shared" si="223"/>
        <v>#DIV/0!</v>
      </c>
      <c r="BJ125" s="829" t="s">
        <v>1743</v>
      </c>
      <c r="BK125" s="826">
        <v>0.25</v>
      </c>
      <c r="BL125" s="827" t="str">
        <f t="shared" si="224"/>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M125" s="831">
        <v>0</v>
      </c>
      <c r="BN125" s="625">
        <f>2/2*0.25</f>
        <v>0.25</v>
      </c>
      <c r="BO125" s="995">
        <v>0</v>
      </c>
      <c r="BP125" s="828">
        <f t="shared" si="225"/>
        <v>1</v>
      </c>
      <c r="BQ125" s="828" t="e">
        <f t="shared" si="226"/>
        <v>#DIV/0!</v>
      </c>
      <c r="BR125" s="828">
        <f t="shared" si="227"/>
        <v>0.75</v>
      </c>
      <c r="BS125" s="828" t="e">
        <f t="shared" si="228"/>
        <v>#DIV/0!</v>
      </c>
      <c r="BT125" s="466" t="s">
        <v>1920</v>
      </c>
      <c r="BU125" s="826">
        <v>0.25</v>
      </c>
      <c r="BV125" s="827" t="str">
        <f t="shared" si="229"/>
        <v>Participar en las mesas de trabajo para la construcción y posterior Implementación del CENTRO ESPECIALIZADO DE SERVICIO AL CIUDADANO  CESC en donde se vincula a la ADRES y entidades del sector administrativo en salud a la plataforma, que contribuya al reconocimiento de los alcances, fortalezas y  necesidades de alistamiento de información prevista en: documentos, datos, cifras, normas y todo lo relacionado con el esquema presentado del CESC.</v>
      </c>
      <c r="BW125" s="831">
        <v>0</v>
      </c>
      <c r="BX125" s="835"/>
      <c r="BY125" s="835"/>
      <c r="BZ125" s="826">
        <f t="shared" si="230"/>
        <v>0</v>
      </c>
      <c r="CA125" s="826" t="e">
        <f t="shared" si="231"/>
        <v>#DIV/0!</v>
      </c>
      <c r="CB125" s="826">
        <f t="shared" si="232"/>
        <v>0.75</v>
      </c>
      <c r="CC125" s="826" t="e">
        <f t="shared" si="233"/>
        <v>#DIV/0!</v>
      </c>
      <c r="CD125" s="826"/>
      <c r="CE125" s="640">
        <f t="shared" si="234"/>
        <v>1</v>
      </c>
      <c r="CF125" s="640" t="str">
        <f t="shared" si="235"/>
        <v>No Prog ni Ejec</v>
      </c>
      <c r="CG125" s="640">
        <f t="shared" si="236"/>
        <v>1</v>
      </c>
      <c r="CH125" s="640" t="str">
        <f t="shared" si="237"/>
        <v>No Prog ni Ejec</v>
      </c>
      <c r="CI125" s="640">
        <f t="shared" si="238"/>
        <v>1</v>
      </c>
      <c r="CJ125" s="640" t="str">
        <f t="shared" si="239"/>
        <v>No Prog ni Ejec</v>
      </c>
      <c r="CK125" s="640">
        <f t="shared" si="240"/>
        <v>0</v>
      </c>
      <c r="CL125" s="698" t="str">
        <f t="shared" si="241"/>
        <v>No Prog ni Ejec</v>
      </c>
      <c r="CM125" s="128">
        <f t="shared" si="134"/>
        <v>0</v>
      </c>
      <c r="CR125" s="122">
        <v>1</v>
      </c>
      <c r="CS125" s="122"/>
      <c r="CT125" s="122"/>
      <c r="CU125" s="122"/>
      <c r="CV125" s="122"/>
      <c r="CW125" s="122"/>
      <c r="CX125" s="122"/>
      <c r="CY125" s="122"/>
      <c r="CZ125" s="122"/>
      <c r="DA125" s="122"/>
      <c r="DB125" s="122"/>
      <c r="DC125" s="122"/>
    </row>
    <row r="126" spans="1:107" s="70" customFormat="1" ht="111" customHeight="1" x14ac:dyDescent="0.2">
      <c r="A126" s="697">
        <v>11700</v>
      </c>
      <c r="B126" s="636" t="s">
        <v>14</v>
      </c>
      <c r="C126" s="636" t="s">
        <v>336</v>
      </c>
      <c r="D126" s="124" t="s">
        <v>1020</v>
      </c>
      <c r="E126" s="124"/>
      <c r="F126" s="124"/>
      <c r="G126" s="124"/>
      <c r="H126" s="124"/>
      <c r="I126" s="124"/>
      <c r="J126" s="124"/>
      <c r="K126" s="124"/>
      <c r="L126" s="124"/>
      <c r="M126" s="124"/>
      <c r="N126" s="124"/>
      <c r="O126" s="124"/>
      <c r="P126" s="124"/>
      <c r="Q126" s="827" t="s">
        <v>1766</v>
      </c>
      <c r="R126" s="827" t="s">
        <v>1768</v>
      </c>
      <c r="S126" s="638" t="s">
        <v>238</v>
      </c>
      <c r="T126" s="636" t="s">
        <v>94</v>
      </c>
      <c r="U126" s="636" t="s">
        <v>204</v>
      </c>
      <c r="V126" s="636" t="s">
        <v>204</v>
      </c>
      <c r="W126" s="638" t="s">
        <v>858</v>
      </c>
      <c r="X126" s="636" t="s">
        <v>614</v>
      </c>
      <c r="Y126" s="650" t="s">
        <v>408</v>
      </c>
      <c r="Z126" s="826">
        <v>1</v>
      </c>
      <c r="AA126" s="835" t="s">
        <v>846</v>
      </c>
      <c r="AB126" s="827" t="s">
        <v>370</v>
      </c>
      <c r="AC126" s="831">
        <v>0</v>
      </c>
      <c r="AD126" s="832">
        <v>1</v>
      </c>
      <c r="AE126" s="827" t="s">
        <v>17</v>
      </c>
      <c r="AF126" s="827" t="s">
        <v>23</v>
      </c>
      <c r="AG126" s="827" t="s">
        <v>204</v>
      </c>
      <c r="AH126" s="827" t="s">
        <v>635</v>
      </c>
      <c r="AI126" s="827" t="s">
        <v>78</v>
      </c>
      <c r="AJ126" s="827" t="s">
        <v>1278</v>
      </c>
      <c r="AK126" s="79" t="s">
        <v>425</v>
      </c>
      <c r="AL126" s="636" t="s">
        <v>42</v>
      </c>
      <c r="AM126" s="832">
        <v>1</v>
      </c>
      <c r="AN126" s="827" t="str">
        <f t="shared" si="212"/>
        <v>Evaluar bimensualmente un promedio de 30 respuestas a PQRSD y presentar recomendaciones a las dependencias competentes</v>
      </c>
      <c r="AO126" s="833">
        <f t="shared" si="213"/>
        <v>0</v>
      </c>
      <c r="AP126" s="860" t="s">
        <v>48</v>
      </c>
      <c r="AQ126" s="826">
        <v>0.25</v>
      </c>
      <c r="AR126" s="827" t="str">
        <f t="shared" si="214"/>
        <v>Evaluar bimensualmente un promedio de 30 respuestas a PQRSD y presentar recomendaciones a las dependencias competentes</v>
      </c>
      <c r="AS126" s="831">
        <v>0</v>
      </c>
      <c r="AT126" s="468">
        <v>0.25</v>
      </c>
      <c r="AU126" s="864">
        <v>0</v>
      </c>
      <c r="AV126" s="828">
        <f t="shared" si="215"/>
        <v>1</v>
      </c>
      <c r="AW126" s="828" t="e">
        <f t="shared" si="216"/>
        <v>#DIV/0!</v>
      </c>
      <c r="AX126" s="828">
        <f t="shared" si="217"/>
        <v>0.25</v>
      </c>
      <c r="AY126" s="828" t="e">
        <f t="shared" si="218"/>
        <v>#DIV/0!</v>
      </c>
      <c r="AZ126" s="472" t="s">
        <v>1338</v>
      </c>
      <c r="BA126" s="826">
        <v>0.25</v>
      </c>
      <c r="BB126" s="827" t="str">
        <f t="shared" si="219"/>
        <v>Evaluar bimensualmente un promedio de 30 respuestas a PQRSD y presentar recomendaciones a las dependencias competentes</v>
      </c>
      <c r="BC126" s="831">
        <v>0</v>
      </c>
      <c r="BD126" s="625">
        <f>30/30*0.25</f>
        <v>0.25</v>
      </c>
      <c r="BE126" s="831">
        <v>0</v>
      </c>
      <c r="BF126" s="828">
        <f t="shared" si="220"/>
        <v>1</v>
      </c>
      <c r="BG126" s="828" t="e">
        <f t="shared" si="221"/>
        <v>#DIV/0!</v>
      </c>
      <c r="BH126" s="828">
        <f t="shared" si="222"/>
        <v>0.5</v>
      </c>
      <c r="BI126" s="828" t="e">
        <f t="shared" si="223"/>
        <v>#DIV/0!</v>
      </c>
      <c r="BJ126" s="829" t="s">
        <v>1646</v>
      </c>
      <c r="BK126" s="826">
        <v>0.25</v>
      </c>
      <c r="BL126" s="827" t="str">
        <f t="shared" si="224"/>
        <v>Evaluar bimensualmente un promedio de 30 respuestas a PQRSD y presentar recomendaciones a las dependencias competentes</v>
      </c>
      <c r="BM126" s="831">
        <v>0</v>
      </c>
      <c r="BN126" s="1003">
        <f>30/30*0.25</f>
        <v>0.25</v>
      </c>
      <c r="BO126" s="995"/>
      <c r="BP126" s="828">
        <f t="shared" si="225"/>
        <v>1</v>
      </c>
      <c r="BQ126" s="828" t="e">
        <f t="shared" si="226"/>
        <v>#DIV/0!</v>
      </c>
      <c r="BR126" s="828">
        <f t="shared" si="227"/>
        <v>0.75</v>
      </c>
      <c r="BS126" s="828" t="e">
        <f t="shared" si="228"/>
        <v>#DIV/0!</v>
      </c>
      <c r="BT126" s="466" t="s">
        <v>1921</v>
      </c>
      <c r="BU126" s="826">
        <v>0.25</v>
      </c>
      <c r="BV126" s="827" t="str">
        <f t="shared" si="229"/>
        <v>Evaluar bimensualmente un promedio de 30 respuestas a PQRSD y presentar recomendaciones a las dependencias competentes</v>
      </c>
      <c r="BW126" s="831">
        <v>0</v>
      </c>
      <c r="BX126" s="835"/>
      <c r="BY126" s="835"/>
      <c r="BZ126" s="826">
        <f t="shared" si="230"/>
        <v>0</v>
      </c>
      <c r="CA126" s="826" t="e">
        <f t="shared" si="231"/>
        <v>#DIV/0!</v>
      </c>
      <c r="CB126" s="826">
        <f t="shared" si="232"/>
        <v>0.75</v>
      </c>
      <c r="CC126" s="826" t="e">
        <f t="shared" si="233"/>
        <v>#DIV/0!</v>
      </c>
      <c r="CD126" s="826"/>
      <c r="CE126" s="640">
        <f t="shared" si="234"/>
        <v>1</v>
      </c>
      <c r="CF126" s="640" t="str">
        <f t="shared" si="235"/>
        <v>No Prog ni Ejec</v>
      </c>
      <c r="CG126" s="640">
        <f t="shared" si="236"/>
        <v>1</v>
      </c>
      <c r="CH126" s="640" t="str">
        <f t="shared" si="237"/>
        <v>No Prog ni Ejec</v>
      </c>
      <c r="CI126" s="640">
        <f t="shared" si="238"/>
        <v>1</v>
      </c>
      <c r="CJ126" s="640" t="str">
        <f t="shared" si="239"/>
        <v>No Prog ni Ejec</v>
      </c>
      <c r="CK126" s="640">
        <f t="shared" si="240"/>
        <v>0</v>
      </c>
      <c r="CL126" s="698" t="str">
        <f t="shared" si="241"/>
        <v>No Prog ni Ejec</v>
      </c>
      <c r="CM126" s="128">
        <f t="shared" si="134"/>
        <v>0</v>
      </c>
      <c r="CR126" s="122">
        <v>1</v>
      </c>
      <c r="CS126" s="122"/>
      <c r="CT126" s="122"/>
      <c r="CU126" s="122"/>
      <c r="CV126" s="122"/>
      <c r="CW126" s="122"/>
      <c r="CX126" s="122"/>
      <c r="CY126" s="122"/>
      <c r="CZ126" s="122"/>
      <c r="DA126" s="122"/>
      <c r="DB126" s="122"/>
      <c r="DC126" s="122"/>
    </row>
    <row r="127" spans="1:107" s="70" customFormat="1" ht="153" x14ac:dyDescent="0.2">
      <c r="A127" s="697">
        <v>11700</v>
      </c>
      <c r="B127" s="636" t="s">
        <v>14</v>
      </c>
      <c r="C127" s="636" t="s">
        <v>336</v>
      </c>
      <c r="D127" s="124" t="s">
        <v>1020</v>
      </c>
      <c r="E127" s="124"/>
      <c r="F127" s="124"/>
      <c r="G127" s="124"/>
      <c r="H127" s="124"/>
      <c r="I127" s="124"/>
      <c r="J127" s="124"/>
      <c r="K127" s="124"/>
      <c r="L127" s="124"/>
      <c r="M127" s="124"/>
      <c r="N127" s="124"/>
      <c r="O127" s="124"/>
      <c r="P127" s="124"/>
      <c r="Q127" s="827" t="s">
        <v>1766</v>
      </c>
      <c r="R127" s="827" t="s">
        <v>1769</v>
      </c>
      <c r="S127" s="638" t="s">
        <v>238</v>
      </c>
      <c r="T127" s="636" t="s">
        <v>94</v>
      </c>
      <c r="U127" s="636" t="s">
        <v>204</v>
      </c>
      <c r="V127" s="636" t="s">
        <v>204</v>
      </c>
      <c r="W127" s="638" t="s">
        <v>859</v>
      </c>
      <c r="X127" s="636" t="s">
        <v>365</v>
      </c>
      <c r="Y127" s="650" t="s">
        <v>408</v>
      </c>
      <c r="Z127" s="826">
        <v>0.9</v>
      </c>
      <c r="AA127" s="835" t="s">
        <v>847</v>
      </c>
      <c r="AB127" s="827" t="s">
        <v>430</v>
      </c>
      <c r="AC127" s="831">
        <v>0</v>
      </c>
      <c r="AD127" s="832">
        <v>1</v>
      </c>
      <c r="AE127" s="827" t="s">
        <v>17</v>
      </c>
      <c r="AF127" s="827" t="s">
        <v>23</v>
      </c>
      <c r="AG127" s="827" t="s">
        <v>204</v>
      </c>
      <c r="AH127" s="827" t="s">
        <v>635</v>
      </c>
      <c r="AI127" s="827" t="s">
        <v>78</v>
      </c>
      <c r="AJ127" s="827" t="s">
        <v>204</v>
      </c>
      <c r="AK127" s="79" t="s">
        <v>426</v>
      </c>
      <c r="AL127" s="636" t="s">
        <v>42</v>
      </c>
      <c r="AM127" s="832">
        <v>0.9</v>
      </c>
      <c r="AN127" s="827" t="str">
        <f t="shared" si="212"/>
        <v>Realizar los informes trimestrales de satisfacción a los servicios prestados por la entidad por el canal presencial y presentar las recomendaciones a las áreas de la entidad.</v>
      </c>
      <c r="AO127" s="833">
        <f t="shared" si="213"/>
        <v>0</v>
      </c>
      <c r="AP127" s="860" t="s">
        <v>48</v>
      </c>
      <c r="AQ127" s="94">
        <v>0.22500000000000001</v>
      </c>
      <c r="AR127" s="827" t="str">
        <f t="shared" si="214"/>
        <v>Realizar los informes trimestrales de satisfacción a los servicios prestados por la entidad por el canal presencial y presentar las recomendaciones a las áreas de la entidad.</v>
      </c>
      <c r="AS127" s="831">
        <v>0</v>
      </c>
      <c r="AT127" s="473">
        <v>0.22500000000000001</v>
      </c>
      <c r="AU127" s="864">
        <v>0</v>
      </c>
      <c r="AV127" s="828">
        <f t="shared" si="215"/>
        <v>1</v>
      </c>
      <c r="AW127" s="828" t="e">
        <f t="shared" si="216"/>
        <v>#DIV/0!</v>
      </c>
      <c r="AX127" s="828">
        <f t="shared" si="217"/>
        <v>0.25</v>
      </c>
      <c r="AY127" s="828" t="e">
        <f t="shared" si="218"/>
        <v>#DIV/0!</v>
      </c>
      <c r="AZ127" s="472" t="s">
        <v>1339</v>
      </c>
      <c r="BA127" s="94">
        <v>0.22500000000000001</v>
      </c>
      <c r="BB127" s="827" t="str">
        <f t="shared" si="219"/>
        <v>Realizar los informes trimestrales de satisfacción a los servicios prestados por la entidad por el canal presencial y presentar las recomendaciones a las áreas de la entidad.</v>
      </c>
      <c r="BC127" s="831">
        <v>0</v>
      </c>
      <c r="BD127" s="626">
        <f>413/476*0.225</f>
        <v>0.19522058823529412</v>
      </c>
      <c r="BE127" s="831">
        <v>0</v>
      </c>
      <c r="BF127" s="828">
        <f t="shared" si="220"/>
        <v>0.86764705882352944</v>
      </c>
      <c r="BG127" s="828" t="e">
        <f t="shared" si="221"/>
        <v>#DIV/0!</v>
      </c>
      <c r="BH127" s="828">
        <f t="shared" si="222"/>
        <v>0.46691176470588236</v>
      </c>
      <c r="BI127" s="828" t="e">
        <f t="shared" si="223"/>
        <v>#DIV/0!</v>
      </c>
      <c r="BJ127" s="829" t="s">
        <v>1647</v>
      </c>
      <c r="BK127" s="94">
        <v>0.22500000000000001</v>
      </c>
      <c r="BL127" s="827" t="str">
        <f t="shared" si="224"/>
        <v>Realizar los informes trimestrales de satisfacción a los servicios prestados por la entidad por el canal presencial y presentar las recomendaciones a las áreas de la entidad.</v>
      </c>
      <c r="BM127" s="831">
        <v>0</v>
      </c>
      <c r="BN127" s="994">
        <f>(591/1367)*22.5%</f>
        <v>9.7275054864667157E-2</v>
      </c>
      <c r="BO127" s="995">
        <v>0</v>
      </c>
      <c r="BP127" s="828">
        <f t="shared" si="225"/>
        <v>0.43233357717629844</v>
      </c>
      <c r="BQ127" s="828" t="e">
        <f t="shared" si="226"/>
        <v>#DIV/0!</v>
      </c>
      <c r="BR127" s="828">
        <f t="shared" si="227"/>
        <v>0.57499515899995701</v>
      </c>
      <c r="BS127" s="828" t="e">
        <f t="shared" si="228"/>
        <v>#DIV/0!</v>
      </c>
      <c r="BT127" s="466" t="s">
        <v>1922</v>
      </c>
      <c r="BU127" s="94">
        <v>0.22500000000000001</v>
      </c>
      <c r="BV127" s="827" t="str">
        <f t="shared" si="229"/>
        <v>Realizar los informes trimestrales de satisfacción a los servicios prestados por la entidad por el canal presencial y presentar las recomendaciones a las áreas de la entidad.</v>
      </c>
      <c r="BW127" s="831">
        <v>0</v>
      </c>
      <c r="BX127" s="835"/>
      <c r="BY127" s="835"/>
      <c r="BZ127" s="826">
        <f t="shared" si="230"/>
        <v>0</v>
      </c>
      <c r="CA127" s="826" t="e">
        <f t="shared" si="231"/>
        <v>#DIV/0!</v>
      </c>
      <c r="CB127" s="826">
        <f t="shared" si="232"/>
        <v>0.57499515899995701</v>
      </c>
      <c r="CC127" s="826" t="e">
        <f t="shared" si="233"/>
        <v>#DIV/0!</v>
      </c>
      <c r="CD127" s="826"/>
      <c r="CE127" s="640">
        <f t="shared" si="234"/>
        <v>1</v>
      </c>
      <c r="CF127" s="640" t="str">
        <f t="shared" si="235"/>
        <v>No Prog ni Ejec</v>
      </c>
      <c r="CG127" s="640">
        <f t="shared" si="236"/>
        <v>0.86764705882352944</v>
      </c>
      <c r="CH127" s="640" t="str">
        <f t="shared" si="237"/>
        <v>No Prog ni Ejec</v>
      </c>
      <c r="CI127" s="640">
        <f t="shared" si="238"/>
        <v>0.43233357717629844</v>
      </c>
      <c r="CJ127" s="640" t="str">
        <f t="shared" si="239"/>
        <v>No Prog ni Ejec</v>
      </c>
      <c r="CK127" s="640">
        <f t="shared" si="240"/>
        <v>0</v>
      </c>
      <c r="CL127" s="698" t="str">
        <f t="shared" si="241"/>
        <v>No Prog ni Ejec</v>
      </c>
      <c r="CM127" s="128">
        <f t="shared" si="134"/>
        <v>0</v>
      </c>
      <c r="CR127" s="122">
        <v>1</v>
      </c>
      <c r="CS127" s="122"/>
      <c r="CT127" s="122"/>
      <c r="CU127" s="122"/>
      <c r="CV127" s="122"/>
      <c r="CW127" s="122"/>
      <c r="CX127" s="122"/>
      <c r="CY127" s="122"/>
      <c r="CZ127" s="122"/>
      <c r="DA127" s="122"/>
      <c r="DB127" s="122"/>
      <c r="DC127" s="122"/>
    </row>
    <row r="128" spans="1:107" s="70" customFormat="1" ht="280.5" x14ac:dyDescent="0.2">
      <c r="A128" s="697">
        <v>11700</v>
      </c>
      <c r="B128" s="636" t="s">
        <v>14</v>
      </c>
      <c r="C128" s="636" t="s">
        <v>336</v>
      </c>
      <c r="D128" s="124" t="s">
        <v>1020</v>
      </c>
      <c r="E128" s="124"/>
      <c r="F128" s="124"/>
      <c r="G128" s="124"/>
      <c r="H128" s="124"/>
      <c r="I128" s="124"/>
      <c r="J128" s="124"/>
      <c r="K128" s="124"/>
      <c r="L128" s="124"/>
      <c r="M128" s="124"/>
      <c r="N128" s="124"/>
      <c r="O128" s="124"/>
      <c r="P128" s="124"/>
      <c r="Q128" s="827" t="s">
        <v>1766</v>
      </c>
      <c r="R128" s="827" t="s">
        <v>1763</v>
      </c>
      <c r="S128" s="638" t="s">
        <v>238</v>
      </c>
      <c r="T128" s="636" t="s">
        <v>94</v>
      </c>
      <c r="U128" s="636" t="s">
        <v>204</v>
      </c>
      <c r="V128" s="636" t="s">
        <v>204</v>
      </c>
      <c r="W128" s="638" t="s">
        <v>860</v>
      </c>
      <c r="X128" s="636" t="s">
        <v>488</v>
      </c>
      <c r="Y128" s="650" t="s">
        <v>51</v>
      </c>
      <c r="Z128" s="826">
        <v>1</v>
      </c>
      <c r="AA128" s="835" t="s">
        <v>848</v>
      </c>
      <c r="AB128" s="827" t="s">
        <v>366</v>
      </c>
      <c r="AC128" s="831">
        <v>0</v>
      </c>
      <c r="AD128" s="832">
        <v>1</v>
      </c>
      <c r="AE128" s="827" t="s">
        <v>17</v>
      </c>
      <c r="AF128" s="827" t="s">
        <v>23</v>
      </c>
      <c r="AG128" s="827" t="s">
        <v>204</v>
      </c>
      <c r="AH128" s="827" t="s">
        <v>635</v>
      </c>
      <c r="AI128" s="827" t="s">
        <v>78</v>
      </c>
      <c r="AJ128" s="827" t="s">
        <v>1269</v>
      </c>
      <c r="AK128" s="79" t="s">
        <v>489</v>
      </c>
      <c r="AL128" s="636" t="s">
        <v>42</v>
      </c>
      <c r="AM128" s="832">
        <v>1</v>
      </c>
      <c r="AN128" s="827" t="str">
        <f t="shared" si="212"/>
        <v>Implementar las recomendaciones generadas por CIDCCA bajo ajustes razonables al punto de Atención al Ciudadano y Correspondencia</v>
      </c>
      <c r="AO128" s="833">
        <f t="shared" si="213"/>
        <v>0</v>
      </c>
      <c r="AP128" s="860" t="s">
        <v>48</v>
      </c>
      <c r="AQ128" s="826">
        <v>0</v>
      </c>
      <c r="AR128" s="827" t="str">
        <f t="shared" si="214"/>
        <v>Implementar las recomendaciones generadas por CIDCCA bajo ajustes razonables al punto de Atención al Ciudadano y Correspondencia</v>
      </c>
      <c r="AS128" s="831">
        <v>0</v>
      </c>
      <c r="AT128" s="473">
        <v>0</v>
      </c>
      <c r="AU128" s="864">
        <v>0</v>
      </c>
      <c r="AV128" s="828" t="e">
        <f t="shared" si="215"/>
        <v>#DIV/0!</v>
      </c>
      <c r="AW128" s="828" t="e">
        <f t="shared" si="216"/>
        <v>#DIV/0!</v>
      </c>
      <c r="AX128" s="828">
        <f t="shared" si="217"/>
        <v>0</v>
      </c>
      <c r="AY128" s="828" t="e">
        <f t="shared" si="218"/>
        <v>#DIV/0!</v>
      </c>
      <c r="AZ128" s="497" t="s">
        <v>1334</v>
      </c>
      <c r="BA128" s="826">
        <v>0</v>
      </c>
      <c r="BB128" s="827" t="str">
        <f t="shared" si="219"/>
        <v>Implementar las recomendaciones generadas por CIDCCA bajo ajustes razonables al punto de Atención al Ciudadano y Correspondencia</v>
      </c>
      <c r="BC128" s="831">
        <v>0</v>
      </c>
      <c r="BD128" s="742">
        <v>0</v>
      </c>
      <c r="BE128" s="831">
        <v>0</v>
      </c>
      <c r="BF128" s="828" t="e">
        <f t="shared" si="220"/>
        <v>#DIV/0!</v>
      </c>
      <c r="BG128" s="828" t="e">
        <f t="shared" si="221"/>
        <v>#DIV/0!</v>
      </c>
      <c r="BH128" s="828">
        <f t="shared" si="222"/>
        <v>0</v>
      </c>
      <c r="BI128" s="828" t="e">
        <f t="shared" si="223"/>
        <v>#DIV/0!</v>
      </c>
      <c r="BJ128" s="830" t="s">
        <v>1334</v>
      </c>
      <c r="BK128" s="826">
        <v>0.5</v>
      </c>
      <c r="BL128" s="827" t="str">
        <f t="shared" si="224"/>
        <v>Implementar las recomendaciones generadas por CIDCCA bajo ajustes razonables al punto de Atención al Ciudadano y Correspondencia</v>
      </c>
      <c r="BM128" s="831">
        <v>0</v>
      </c>
      <c r="BN128" s="1003">
        <f>29/132</f>
        <v>0.2196969696969697</v>
      </c>
      <c r="BO128" s="995"/>
      <c r="BP128" s="828">
        <f t="shared" si="225"/>
        <v>0.43939393939393939</v>
      </c>
      <c r="BQ128" s="828" t="e">
        <f t="shared" si="226"/>
        <v>#DIV/0!</v>
      </c>
      <c r="BR128" s="828">
        <f t="shared" si="227"/>
        <v>0.2196969696969697</v>
      </c>
      <c r="BS128" s="828" t="e">
        <f t="shared" si="228"/>
        <v>#DIV/0!</v>
      </c>
      <c r="BT128" s="466" t="s">
        <v>1923</v>
      </c>
      <c r="BU128" s="826">
        <v>0.5</v>
      </c>
      <c r="BV128" s="827" t="str">
        <f t="shared" si="229"/>
        <v>Implementar las recomendaciones generadas por CIDCCA bajo ajustes razonables al punto de Atención al Ciudadano y Correspondencia</v>
      </c>
      <c r="BW128" s="831">
        <v>0</v>
      </c>
      <c r="BX128" s="835"/>
      <c r="BY128" s="835"/>
      <c r="BZ128" s="826">
        <f t="shared" si="230"/>
        <v>0</v>
      </c>
      <c r="CA128" s="826" t="e">
        <f t="shared" si="231"/>
        <v>#DIV/0!</v>
      </c>
      <c r="CB128" s="826">
        <f t="shared" si="232"/>
        <v>0.2196969696969697</v>
      </c>
      <c r="CC128" s="826" t="e">
        <f t="shared" si="233"/>
        <v>#DIV/0!</v>
      </c>
      <c r="CD128" s="826"/>
      <c r="CE128" s="640" t="str">
        <f t="shared" si="234"/>
        <v>No Prog ni Ejec</v>
      </c>
      <c r="CF128" s="640" t="str">
        <f t="shared" si="235"/>
        <v>No Prog ni Ejec</v>
      </c>
      <c r="CG128" s="640" t="str">
        <f t="shared" si="236"/>
        <v>No Prog ni Ejec</v>
      </c>
      <c r="CH128" s="640" t="str">
        <f t="shared" si="237"/>
        <v>No Prog ni Ejec</v>
      </c>
      <c r="CI128" s="640">
        <f t="shared" si="238"/>
        <v>0.43939393939393939</v>
      </c>
      <c r="CJ128" s="640" t="str">
        <f t="shared" si="239"/>
        <v>No Prog ni Ejec</v>
      </c>
      <c r="CK128" s="640">
        <f t="shared" si="240"/>
        <v>0</v>
      </c>
      <c r="CL128" s="698" t="str">
        <f t="shared" si="241"/>
        <v>No Prog ni Ejec</v>
      </c>
      <c r="CM128" s="128">
        <f t="shared" si="134"/>
        <v>0</v>
      </c>
      <c r="CR128" s="122">
        <v>1</v>
      </c>
      <c r="CS128" s="122"/>
      <c r="CT128" s="122"/>
      <c r="CU128" s="122"/>
      <c r="CV128" s="122"/>
      <c r="CW128" s="122"/>
      <c r="CX128" s="122"/>
      <c r="CY128" s="122"/>
      <c r="CZ128" s="122"/>
      <c r="DA128" s="122"/>
      <c r="DB128" s="122"/>
      <c r="DC128" s="122"/>
    </row>
    <row r="129" spans="1:107" s="892" customFormat="1" ht="116.25" hidden="1" customHeight="1" x14ac:dyDescent="0.2">
      <c r="A129" s="763">
        <v>11700</v>
      </c>
      <c r="B129" s="855" t="s">
        <v>14</v>
      </c>
      <c r="C129" s="855" t="s">
        <v>336</v>
      </c>
      <c r="D129" s="885" t="s">
        <v>1020</v>
      </c>
      <c r="E129" s="885"/>
      <c r="F129" s="885"/>
      <c r="G129" s="885"/>
      <c r="H129" s="885"/>
      <c r="I129" s="885"/>
      <c r="J129" s="885"/>
      <c r="K129" s="885"/>
      <c r="L129" s="885"/>
      <c r="M129" s="885"/>
      <c r="N129" s="885"/>
      <c r="O129" s="885"/>
      <c r="P129" s="885"/>
      <c r="Q129" s="855" t="s">
        <v>1129</v>
      </c>
      <c r="R129" s="855" t="s">
        <v>1135</v>
      </c>
      <c r="S129" s="854" t="s">
        <v>238</v>
      </c>
      <c r="T129" s="855" t="s">
        <v>94</v>
      </c>
      <c r="U129" s="855" t="s">
        <v>204</v>
      </c>
      <c r="V129" s="855" t="s">
        <v>204</v>
      </c>
      <c r="W129" s="854" t="s">
        <v>870</v>
      </c>
      <c r="X129" s="855" t="s">
        <v>486</v>
      </c>
      <c r="Y129" s="621" t="s">
        <v>51</v>
      </c>
      <c r="Z129" s="866">
        <v>1</v>
      </c>
      <c r="AA129" s="854" t="s">
        <v>861</v>
      </c>
      <c r="AB129" s="855" t="s">
        <v>371</v>
      </c>
      <c r="AC129" s="868">
        <v>0</v>
      </c>
      <c r="AD129" s="886">
        <v>1</v>
      </c>
      <c r="AE129" s="855" t="s">
        <v>17</v>
      </c>
      <c r="AF129" s="855" t="s">
        <v>23</v>
      </c>
      <c r="AG129" s="855" t="s">
        <v>204</v>
      </c>
      <c r="AH129" s="855" t="s">
        <v>635</v>
      </c>
      <c r="AI129" s="855" t="s">
        <v>78</v>
      </c>
      <c r="AJ129" s="855" t="s">
        <v>1269</v>
      </c>
      <c r="AK129" s="887" t="s">
        <v>487</v>
      </c>
      <c r="AL129" s="855" t="s">
        <v>42</v>
      </c>
      <c r="AM129" s="886">
        <v>1</v>
      </c>
      <c r="AN129" s="855" t="str">
        <f t="shared" si="212"/>
        <v>Participar en la Ferias del Servicio al Ciudadano del PNSC en las que la entidad decida asistir</v>
      </c>
      <c r="AO129" s="874">
        <f t="shared" si="213"/>
        <v>0</v>
      </c>
      <c r="AP129" s="888" t="s">
        <v>48</v>
      </c>
      <c r="AQ129" s="866">
        <v>0</v>
      </c>
      <c r="AR129" s="855" t="str">
        <f t="shared" si="214"/>
        <v>Participar en la Ferias del Servicio al Ciudadano del PNSC en las que la entidad decida asistir</v>
      </c>
      <c r="AS129" s="868">
        <v>0</v>
      </c>
      <c r="AT129" s="854">
        <v>0</v>
      </c>
      <c r="AU129" s="868">
        <v>0</v>
      </c>
      <c r="AV129" s="869" t="e">
        <f t="shared" si="215"/>
        <v>#DIV/0!</v>
      </c>
      <c r="AW129" s="869" t="e">
        <f t="shared" si="216"/>
        <v>#DIV/0!</v>
      </c>
      <c r="AX129" s="869">
        <f t="shared" si="217"/>
        <v>0</v>
      </c>
      <c r="AY129" s="869" t="e">
        <f t="shared" si="218"/>
        <v>#DIV/0!</v>
      </c>
      <c r="AZ129" s="889" t="s">
        <v>1334</v>
      </c>
      <c r="BA129" s="866">
        <v>0.33</v>
      </c>
      <c r="BB129" s="855" t="str">
        <f t="shared" si="219"/>
        <v>Participar en la Ferias del Servicio al Ciudadano del PNSC en las que la entidad decida asistir</v>
      </c>
      <c r="BC129" s="868">
        <v>0</v>
      </c>
      <c r="BD129" s="890">
        <v>0</v>
      </c>
      <c r="BE129" s="868">
        <v>0</v>
      </c>
      <c r="BF129" s="869">
        <f t="shared" si="220"/>
        <v>0</v>
      </c>
      <c r="BG129" s="869" t="e">
        <f t="shared" si="221"/>
        <v>#DIV/0!</v>
      </c>
      <c r="BH129" s="869">
        <f t="shared" si="222"/>
        <v>0</v>
      </c>
      <c r="BI129" s="869" t="e">
        <f t="shared" si="223"/>
        <v>#DIV/0!</v>
      </c>
      <c r="BJ129" s="891" t="s">
        <v>1648</v>
      </c>
      <c r="BK129" s="866">
        <v>0.33</v>
      </c>
      <c r="BL129" s="855" t="str">
        <f t="shared" si="224"/>
        <v>Participar en la Ferias del Servicio al Ciudadano del PNSC en las que la entidad decida asistir</v>
      </c>
      <c r="BM129" s="868">
        <v>0</v>
      </c>
      <c r="BN129" s="1008"/>
      <c r="BO129" s="1010"/>
      <c r="BP129" s="869">
        <f t="shared" si="225"/>
        <v>0</v>
      </c>
      <c r="BQ129" s="869" t="e">
        <f t="shared" si="226"/>
        <v>#DIV/0!</v>
      </c>
      <c r="BR129" s="869">
        <f t="shared" si="227"/>
        <v>0</v>
      </c>
      <c r="BS129" s="869" t="e">
        <f t="shared" si="228"/>
        <v>#DIV/0!</v>
      </c>
      <c r="BT129" s="466" t="s">
        <v>1648</v>
      </c>
      <c r="BU129" s="866">
        <v>0.33</v>
      </c>
      <c r="BV129" s="855" t="str">
        <f t="shared" si="229"/>
        <v>Participar en la Ferias del Servicio al Ciudadano del PNSC en las que la entidad decida asistir</v>
      </c>
      <c r="BW129" s="868">
        <v>0</v>
      </c>
      <c r="BX129" s="854"/>
      <c r="BY129" s="854"/>
      <c r="BZ129" s="866">
        <f t="shared" si="230"/>
        <v>0</v>
      </c>
      <c r="CA129" s="866" t="e">
        <f t="shared" si="231"/>
        <v>#DIV/0!</v>
      </c>
      <c r="CB129" s="866">
        <f t="shared" si="232"/>
        <v>0</v>
      </c>
      <c r="CC129" s="866" t="e">
        <f t="shared" si="233"/>
        <v>#DIV/0!</v>
      </c>
      <c r="CD129" s="866"/>
      <c r="CE129" s="867" t="str">
        <f t="shared" si="234"/>
        <v>No Prog ni Ejec</v>
      </c>
      <c r="CF129" s="867" t="str">
        <f t="shared" si="235"/>
        <v>No Prog ni Ejec</v>
      </c>
      <c r="CG129" s="867">
        <f t="shared" si="236"/>
        <v>0</v>
      </c>
      <c r="CH129" s="867" t="str">
        <f t="shared" si="237"/>
        <v>No Prog ni Ejec</v>
      </c>
      <c r="CI129" s="867">
        <f t="shared" si="238"/>
        <v>0</v>
      </c>
      <c r="CJ129" s="867" t="str">
        <f t="shared" si="239"/>
        <v>No Prog ni Ejec</v>
      </c>
      <c r="CK129" s="867">
        <f t="shared" si="240"/>
        <v>0</v>
      </c>
      <c r="CL129" s="875" t="str">
        <f t="shared" si="241"/>
        <v>No Prog ni Ejec</v>
      </c>
      <c r="CM129" s="622">
        <f t="shared" si="134"/>
        <v>0</v>
      </c>
      <c r="CR129" s="122">
        <v>1</v>
      </c>
      <c r="CS129" s="122"/>
      <c r="CT129" s="122"/>
      <c r="CU129" s="122"/>
      <c r="CV129" s="122"/>
      <c r="CW129" s="122"/>
      <c r="CX129" s="122"/>
      <c r="CY129" s="122"/>
      <c r="CZ129" s="122"/>
      <c r="DA129" s="122"/>
      <c r="DB129" s="122"/>
      <c r="DC129" s="122"/>
    </row>
    <row r="130" spans="1:107" s="70" customFormat="1" ht="154.5" customHeight="1" x14ac:dyDescent="0.2">
      <c r="A130" s="697">
        <v>11700</v>
      </c>
      <c r="B130" s="636" t="s">
        <v>14</v>
      </c>
      <c r="C130" s="636" t="s">
        <v>336</v>
      </c>
      <c r="D130" s="124" t="s">
        <v>1020</v>
      </c>
      <c r="E130" s="124"/>
      <c r="F130" s="124"/>
      <c r="G130" s="124"/>
      <c r="H130" s="124"/>
      <c r="I130" s="124"/>
      <c r="J130" s="124"/>
      <c r="K130" s="124"/>
      <c r="L130" s="124"/>
      <c r="M130" s="124"/>
      <c r="N130" s="124"/>
      <c r="O130" s="124"/>
      <c r="P130" s="124"/>
      <c r="Q130" s="827" t="s">
        <v>1766</v>
      </c>
      <c r="R130" s="827" t="s">
        <v>1764</v>
      </c>
      <c r="S130" s="638" t="s">
        <v>238</v>
      </c>
      <c r="T130" s="636" t="s">
        <v>94</v>
      </c>
      <c r="U130" s="636" t="s">
        <v>204</v>
      </c>
      <c r="V130" s="636" t="s">
        <v>204</v>
      </c>
      <c r="W130" s="638" t="s">
        <v>871</v>
      </c>
      <c r="X130" s="636" t="s">
        <v>367</v>
      </c>
      <c r="Y130" s="650" t="s">
        <v>408</v>
      </c>
      <c r="Z130" s="835">
        <v>2</v>
      </c>
      <c r="AA130" s="835" t="s">
        <v>862</v>
      </c>
      <c r="AB130" s="827" t="s">
        <v>372</v>
      </c>
      <c r="AC130" s="831">
        <v>0</v>
      </c>
      <c r="AD130" s="832">
        <v>1</v>
      </c>
      <c r="AE130" s="827" t="s">
        <v>17</v>
      </c>
      <c r="AF130" s="827" t="s">
        <v>23</v>
      </c>
      <c r="AG130" s="827" t="s">
        <v>204</v>
      </c>
      <c r="AH130" s="827" t="s">
        <v>635</v>
      </c>
      <c r="AI130" s="827" t="s">
        <v>78</v>
      </c>
      <c r="AJ130" s="827" t="s">
        <v>1278</v>
      </c>
      <c r="AK130" s="79" t="s">
        <v>374</v>
      </c>
      <c r="AL130" s="636" t="s">
        <v>42</v>
      </c>
      <c r="AM130" s="835">
        <v>2</v>
      </c>
      <c r="AN130" s="827" t="str">
        <f t="shared" si="212"/>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O130" s="833">
        <f t="shared" si="213"/>
        <v>0</v>
      </c>
      <c r="AP130" s="860" t="s">
        <v>48</v>
      </c>
      <c r="AQ130" s="835">
        <v>1</v>
      </c>
      <c r="AR130" s="827" t="str">
        <f t="shared" si="21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AS130" s="831">
        <v>0</v>
      </c>
      <c r="AT130" s="473">
        <v>1</v>
      </c>
      <c r="AU130" s="864">
        <v>0</v>
      </c>
      <c r="AV130" s="828">
        <f t="shared" si="215"/>
        <v>1</v>
      </c>
      <c r="AW130" s="828" t="e">
        <f t="shared" si="216"/>
        <v>#DIV/0!</v>
      </c>
      <c r="AX130" s="828">
        <f t="shared" si="217"/>
        <v>0.5</v>
      </c>
      <c r="AY130" s="828" t="e">
        <f t="shared" si="218"/>
        <v>#DIV/0!</v>
      </c>
      <c r="AZ130" s="472" t="s">
        <v>1340</v>
      </c>
      <c r="BA130" s="835">
        <v>0</v>
      </c>
      <c r="BB130" s="827" t="str">
        <f t="shared" si="219"/>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C130" s="831">
        <v>0</v>
      </c>
      <c r="BD130" s="845">
        <v>0</v>
      </c>
      <c r="BE130" s="831">
        <v>0</v>
      </c>
      <c r="BF130" s="828" t="e">
        <f t="shared" si="220"/>
        <v>#DIV/0!</v>
      </c>
      <c r="BG130" s="828" t="e">
        <f t="shared" si="221"/>
        <v>#DIV/0!</v>
      </c>
      <c r="BH130" s="828">
        <f t="shared" si="222"/>
        <v>0.5</v>
      </c>
      <c r="BI130" s="828" t="e">
        <f t="shared" si="223"/>
        <v>#DIV/0!</v>
      </c>
      <c r="BJ130" s="829" t="s">
        <v>1649</v>
      </c>
      <c r="BK130" s="835">
        <v>1</v>
      </c>
      <c r="BL130" s="827" t="str">
        <f t="shared" si="224"/>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M130" s="831">
        <v>0</v>
      </c>
      <c r="BN130" s="900">
        <v>1</v>
      </c>
      <c r="BO130" s="995">
        <v>0</v>
      </c>
      <c r="BP130" s="828">
        <f t="shared" si="225"/>
        <v>1</v>
      </c>
      <c r="BQ130" s="828" t="e">
        <f t="shared" si="226"/>
        <v>#DIV/0!</v>
      </c>
      <c r="BR130" s="828">
        <f t="shared" si="227"/>
        <v>1</v>
      </c>
      <c r="BS130" s="828" t="e">
        <f t="shared" si="228"/>
        <v>#DIV/0!</v>
      </c>
      <c r="BT130" s="994" t="s">
        <v>1924</v>
      </c>
      <c r="BU130" s="835">
        <v>0</v>
      </c>
      <c r="BV130" s="827" t="str">
        <f t="shared" si="229"/>
        <v>Elaborar un reporte semestral de seguimiento al acceso de la información pública (informe PQRS) en el que se especifique: (i) Número de solicitudes recibidas. (ii) Número de solicitudes que fueron trasladadas a otra entidad. (iii) Tiempo de respuesta a cada solicitud. (iv) Número de solicitudes en las que se negó el acceso a la información pública.</v>
      </c>
      <c r="BW130" s="831">
        <v>0</v>
      </c>
      <c r="BX130" s="835"/>
      <c r="BY130" s="835"/>
      <c r="BZ130" s="826" t="e">
        <f t="shared" si="230"/>
        <v>#DIV/0!</v>
      </c>
      <c r="CA130" s="826" t="e">
        <f t="shared" si="231"/>
        <v>#DIV/0!</v>
      </c>
      <c r="CB130" s="826">
        <f t="shared" si="232"/>
        <v>1</v>
      </c>
      <c r="CC130" s="826" t="e">
        <f t="shared" si="233"/>
        <v>#DIV/0!</v>
      </c>
      <c r="CD130" s="826"/>
      <c r="CE130" s="640">
        <f t="shared" si="234"/>
        <v>1</v>
      </c>
      <c r="CF130" s="640" t="str">
        <f t="shared" si="235"/>
        <v>No Prog ni Ejec</v>
      </c>
      <c r="CG130" s="640" t="str">
        <f t="shared" si="236"/>
        <v>No Prog ni Ejec</v>
      </c>
      <c r="CH130" s="640" t="str">
        <f t="shared" si="237"/>
        <v>No Prog ni Ejec</v>
      </c>
      <c r="CI130" s="640">
        <f t="shared" si="238"/>
        <v>1</v>
      </c>
      <c r="CJ130" s="640" t="str">
        <f t="shared" si="239"/>
        <v>No Prog ni Ejec</v>
      </c>
      <c r="CK130" s="640" t="str">
        <f t="shared" si="240"/>
        <v>No Prog ni Ejec</v>
      </c>
      <c r="CL130" s="698" t="str">
        <f t="shared" si="241"/>
        <v>No Prog ni Ejec</v>
      </c>
      <c r="CM130" s="128">
        <f t="shared" si="134"/>
        <v>0</v>
      </c>
      <c r="CR130" s="122">
        <v>1</v>
      </c>
      <c r="CS130" s="122"/>
      <c r="CT130" s="122"/>
      <c r="CU130" s="122"/>
      <c r="CV130" s="122"/>
      <c r="CW130" s="122"/>
      <c r="CX130" s="122"/>
      <c r="CY130" s="122"/>
      <c r="CZ130" s="122"/>
      <c r="DA130" s="122"/>
      <c r="DB130" s="122"/>
      <c r="DC130" s="122"/>
    </row>
    <row r="131" spans="1:107" s="70" customFormat="1" ht="111.75" customHeight="1" x14ac:dyDescent="0.2">
      <c r="A131" s="697">
        <v>11700</v>
      </c>
      <c r="B131" s="636" t="s">
        <v>14</v>
      </c>
      <c r="C131" s="636" t="s">
        <v>336</v>
      </c>
      <c r="D131" s="124" t="s">
        <v>1020</v>
      </c>
      <c r="E131" s="124"/>
      <c r="F131" s="124"/>
      <c r="G131" s="124"/>
      <c r="H131" s="124"/>
      <c r="I131" s="124"/>
      <c r="J131" s="124"/>
      <c r="K131" s="124"/>
      <c r="L131" s="124"/>
      <c r="M131" s="124"/>
      <c r="N131" s="124"/>
      <c r="O131" s="124"/>
      <c r="P131" s="124"/>
      <c r="Q131" s="827" t="s">
        <v>1766</v>
      </c>
      <c r="R131" s="827" t="s">
        <v>1765</v>
      </c>
      <c r="S131" s="638" t="s">
        <v>238</v>
      </c>
      <c r="T131" s="636" t="s">
        <v>94</v>
      </c>
      <c r="U131" s="636" t="s">
        <v>204</v>
      </c>
      <c r="V131" s="636" t="s">
        <v>204</v>
      </c>
      <c r="W131" s="638" t="s">
        <v>872</v>
      </c>
      <c r="X131" s="636" t="s">
        <v>368</v>
      </c>
      <c r="Y131" s="650" t="s">
        <v>408</v>
      </c>
      <c r="Z131" s="835">
        <v>4</v>
      </c>
      <c r="AA131" s="835" t="s">
        <v>863</v>
      </c>
      <c r="AB131" s="827" t="s">
        <v>373</v>
      </c>
      <c r="AC131" s="831">
        <v>0</v>
      </c>
      <c r="AD131" s="832">
        <v>1</v>
      </c>
      <c r="AE131" s="827" t="s">
        <v>17</v>
      </c>
      <c r="AF131" s="827" t="s">
        <v>23</v>
      </c>
      <c r="AG131" s="827" t="s">
        <v>204</v>
      </c>
      <c r="AH131" s="827" t="s">
        <v>635</v>
      </c>
      <c r="AI131" s="827" t="s">
        <v>78</v>
      </c>
      <c r="AJ131" s="827" t="s">
        <v>1278</v>
      </c>
      <c r="AK131" s="79" t="s">
        <v>427</v>
      </c>
      <c r="AL131" s="636" t="s">
        <v>42</v>
      </c>
      <c r="AM131" s="835">
        <v>4</v>
      </c>
      <c r="AN131" s="827" t="str">
        <f t="shared" si="212"/>
        <v>Informes trimestrales de PQRS presentado a la OCI de la Entidad</v>
      </c>
      <c r="AO131" s="833">
        <f t="shared" si="213"/>
        <v>0</v>
      </c>
      <c r="AP131" s="860" t="s">
        <v>48</v>
      </c>
      <c r="AQ131" s="835">
        <v>1</v>
      </c>
      <c r="AR131" s="827" t="str">
        <f t="shared" si="214"/>
        <v>Informes trimestrales de PQRS presentado a la OCI de la Entidad</v>
      </c>
      <c r="AS131" s="831">
        <v>0</v>
      </c>
      <c r="AT131" s="473">
        <v>1</v>
      </c>
      <c r="AU131" s="864">
        <v>0</v>
      </c>
      <c r="AV131" s="828">
        <f t="shared" si="215"/>
        <v>1</v>
      </c>
      <c r="AW131" s="828" t="e">
        <f t="shared" si="216"/>
        <v>#DIV/0!</v>
      </c>
      <c r="AX131" s="828">
        <f t="shared" si="217"/>
        <v>0.25</v>
      </c>
      <c r="AY131" s="828" t="e">
        <f t="shared" si="218"/>
        <v>#DIV/0!</v>
      </c>
      <c r="AZ131" s="472" t="s">
        <v>1341</v>
      </c>
      <c r="BA131" s="835">
        <v>1</v>
      </c>
      <c r="BB131" s="827" t="str">
        <f t="shared" si="219"/>
        <v>Informes trimestrales de PQRS presentado a la OCI de la Entidad</v>
      </c>
      <c r="BC131" s="831">
        <v>0</v>
      </c>
      <c r="BD131" s="845">
        <v>1</v>
      </c>
      <c r="BE131" s="831">
        <v>0</v>
      </c>
      <c r="BF131" s="828">
        <f t="shared" si="220"/>
        <v>1</v>
      </c>
      <c r="BG131" s="828" t="e">
        <f t="shared" si="221"/>
        <v>#DIV/0!</v>
      </c>
      <c r="BH131" s="828">
        <f t="shared" si="222"/>
        <v>0.5</v>
      </c>
      <c r="BI131" s="828" t="e">
        <f t="shared" si="223"/>
        <v>#DIV/0!</v>
      </c>
      <c r="BJ131" s="829" t="s">
        <v>1650</v>
      </c>
      <c r="BK131" s="835">
        <v>1</v>
      </c>
      <c r="BL131" s="827" t="str">
        <f t="shared" si="224"/>
        <v>Informes trimestrales de PQRS presentado a la OCI de la Entidad</v>
      </c>
      <c r="BM131" s="831">
        <v>0</v>
      </c>
      <c r="BN131" s="998">
        <v>1</v>
      </c>
      <c r="BO131" s="995">
        <v>0</v>
      </c>
      <c r="BP131" s="828">
        <f t="shared" si="225"/>
        <v>1</v>
      </c>
      <c r="BQ131" s="828" t="e">
        <f t="shared" si="226"/>
        <v>#DIV/0!</v>
      </c>
      <c r="BR131" s="828">
        <f t="shared" si="227"/>
        <v>0.75</v>
      </c>
      <c r="BS131" s="828" t="e">
        <f t="shared" si="228"/>
        <v>#DIV/0!</v>
      </c>
      <c r="BT131" s="994" t="s">
        <v>1925</v>
      </c>
      <c r="BU131" s="835">
        <v>1</v>
      </c>
      <c r="BV131" s="827" t="str">
        <f t="shared" si="229"/>
        <v>Informes trimestrales de PQRS presentado a la OCI de la Entidad</v>
      </c>
      <c r="BW131" s="831">
        <v>0</v>
      </c>
      <c r="BX131" s="835"/>
      <c r="BY131" s="835"/>
      <c r="BZ131" s="826">
        <f t="shared" si="230"/>
        <v>0</v>
      </c>
      <c r="CA131" s="826" t="e">
        <f t="shared" si="231"/>
        <v>#DIV/0!</v>
      </c>
      <c r="CB131" s="826">
        <f t="shared" si="232"/>
        <v>0.75</v>
      </c>
      <c r="CC131" s="826" t="e">
        <f t="shared" si="233"/>
        <v>#DIV/0!</v>
      </c>
      <c r="CD131" s="826"/>
      <c r="CE131" s="640">
        <f t="shared" si="234"/>
        <v>1</v>
      </c>
      <c r="CF131" s="640" t="str">
        <f t="shared" si="235"/>
        <v>No Prog ni Ejec</v>
      </c>
      <c r="CG131" s="640">
        <f t="shared" si="236"/>
        <v>1</v>
      </c>
      <c r="CH131" s="640" t="str">
        <f t="shared" si="237"/>
        <v>No Prog ni Ejec</v>
      </c>
      <c r="CI131" s="640">
        <f t="shared" si="238"/>
        <v>1</v>
      </c>
      <c r="CJ131" s="640" t="str">
        <f t="shared" si="239"/>
        <v>No Prog ni Ejec</v>
      </c>
      <c r="CK131" s="640">
        <f t="shared" si="240"/>
        <v>0</v>
      </c>
      <c r="CL131" s="698" t="str">
        <f t="shared" si="241"/>
        <v>No Prog ni Ejec</v>
      </c>
      <c r="CM131" s="128">
        <f t="shared" si="134"/>
        <v>0</v>
      </c>
      <c r="CR131" s="122">
        <v>1</v>
      </c>
      <c r="CS131" s="122"/>
      <c r="CT131" s="122"/>
      <c r="CU131" s="122"/>
      <c r="CV131" s="122"/>
      <c r="CW131" s="122"/>
      <c r="CX131" s="122"/>
      <c r="CY131" s="122"/>
      <c r="CZ131" s="122"/>
      <c r="DA131" s="122"/>
      <c r="DB131" s="122"/>
      <c r="DC131" s="122"/>
    </row>
    <row r="132" spans="1:107" s="70" customFormat="1" ht="112.5" customHeight="1" x14ac:dyDescent="0.2">
      <c r="A132" s="697">
        <v>11700</v>
      </c>
      <c r="B132" s="636" t="s">
        <v>14</v>
      </c>
      <c r="C132" s="636" t="s">
        <v>336</v>
      </c>
      <c r="D132" s="124" t="s">
        <v>1020</v>
      </c>
      <c r="E132" s="124"/>
      <c r="F132" s="124"/>
      <c r="G132" s="124"/>
      <c r="H132" s="124"/>
      <c r="I132" s="124"/>
      <c r="J132" s="124"/>
      <c r="K132" s="124"/>
      <c r="L132" s="124"/>
      <c r="M132" s="124"/>
      <c r="N132" s="124"/>
      <c r="O132" s="124"/>
      <c r="P132" s="124"/>
      <c r="Q132" s="827" t="s">
        <v>1605</v>
      </c>
      <c r="R132" s="636" t="s">
        <v>1136</v>
      </c>
      <c r="S132" s="638" t="s">
        <v>238</v>
      </c>
      <c r="T132" s="636" t="s">
        <v>94</v>
      </c>
      <c r="U132" s="636" t="s">
        <v>204</v>
      </c>
      <c r="V132" s="636" t="s">
        <v>204</v>
      </c>
      <c r="W132" s="638" t="s">
        <v>873</v>
      </c>
      <c r="X132" s="636" t="s">
        <v>903</v>
      </c>
      <c r="Y132" s="650" t="s">
        <v>51</v>
      </c>
      <c r="Z132" s="826">
        <v>1</v>
      </c>
      <c r="AA132" s="835" t="s">
        <v>864</v>
      </c>
      <c r="AB132" s="827" t="s">
        <v>904</v>
      </c>
      <c r="AC132" s="850">
        <v>0</v>
      </c>
      <c r="AD132" s="832">
        <v>1</v>
      </c>
      <c r="AE132" s="827" t="s">
        <v>18</v>
      </c>
      <c r="AF132" s="827" t="s">
        <v>24</v>
      </c>
      <c r="AG132" s="827" t="s">
        <v>204</v>
      </c>
      <c r="AH132" s="827" t="s">
        <v>635</v>
      </c>
      <c r="AI132" s="827" t="s">
        <v>76</v>
      </c>
      <c r="AJ132" s="827" t="s">
        <v>1269</v>
      </c>
      <c r="AK132" s="827" t="s">
        <v>905</v>
      </c>
      <c r="AL132" s="636" t="s">
        <v>40</v>
      </c>
      <c r="AM132" s="84">
        <v>1</v>
      </c>
      <c r="AN132" s="827" t="str">
        <f t="shared" ref="AN132:AO136" si="242">+AB132</f>
        <v xml:space="preserve">Convocar a las veedurías ciudadanas para que participen el proceso de licitación pública </v>
      </c>
      <c r="AO132" s="833">
        <f t="shared" si="242"/>
        <v>0</v>
      </c>
      <c r="AP132" s="860" t="s">
        <v>48</v>
      </c>
      <c r="AQ132" s="832">
        <v>0</v>
      </c>
      <c r="AR132" s="827" t="str">
        <f>+AN132</f>
        <v xml:space="preserve">Convocar a las veedurías ciudadanas para que participen el proceso de licitación pública </v>
      </c>
      <c r="AS132" s="831">
        <v>0</v>
      </c>
      <c r="AT132" s="473">
        <v>0</v>
      </c>
      <c r="AU132" s="864">
        <v>0</v>
      </c>
      <c r="AV132" s="828" t="e">
        <f t="shared" ref="AV132:AV145" si="243">+(AT132/AQ132)</f>
        <v>#DIV/0!</v>
      </c>
      <c r="AW132" s="828" t="e">
        <f t="shared" ref="AW132:AW151" si="244">+(AU132/AS132)</f>
        <v>#DIV/0!</v>
      </c>
      <c r="AX132" s="828">
        <f t="shared" ref="AX132:AX145" si="245">+(AT132/AM132)</f>
        <v>0</v>
      </c>
      <c r="AY132" s="828" t="e">
        <f t="shared" ref="AY132:AY145" si="246">+(AU132/AO132)</f>
        <v>#DIV/0!</v>
      </c>
      <c r="AZ132" s="472" t="s">
        <v>1342</v>
      </c>
      <c r="BA132" s="832">
        <v>0</v>
      </c>
      <c r="BB132" s="827" t="str">
        <f>+AN132</f>
        <v xml:space="preserve">Convocar a las veedurías ciudadanas para que participen el proceso de licitación pública </v>
      </c>
      <c r="BC132" s="831">
        <v>0</v>
      </c>
      <c r="BD132" s="686">
        <f>(1/3)*BA132</f>
        <v>0</v>
      </c>
      <c r="BE132" s="831">
        <v>0</v>
      </c>
      <c r="BF132" s="828" t="e">
        <f t="shared" ref="BF132:BF151" si="247">+(BD132/BA132)</f>
        <v>#DIV/0!</v>
      </c>
      <c r="BG132" s="828" t="e">
        <f t="shared" ref="BG132:BG151" si="248">+(BE132/BC132)</f>
        <v>#DIV/0!</v>
      </c>
      <c r="BH132" s="828">
        <f t="shared" ref="BH132:BH151" si="249">+(BD132+AT132)/AM132</f>
        <v>0</v>
      </c>
      <c r="BI132" s="828" t="e">
        <f t="shared" ref="BI132:BI151" si="250">+(BE132+AU132)/AO132</f>
        <v>#DIV/0!</v>
      </c>
      <c r="BJ132" s="827" t="s">
        <v>1651</v>
      </c>
      <c r="BK132" s="832">
        <v>0</v>
      </c>
      <c r="BL132" s="827" t="str">
        <f>+AN132</f>
        <v xml:space="preserve">Convocar a las veedurías ciudadanas para que participen el proceso de licitación pública </v>
      </c>
      <c r="BM132" s="831">
        <v>0</v>
      </c>
      <c r="BN132" s="1003">
        <v>0</v>
      </c>
      <c r="BO132" s="995">
        <v>0</v>
      </c>
      <c r="BP132" s="828" t="e">
        <f t="shared" ref="BP132:BP141" si="251">+(BN132/BK132)</f>
        <v>#DIV/0!</v>
      </c>
      <c r="BQ132" s="828" t="e">
        <f t="shared" ref="BQ132:BQ141" si="252">+(BO132/BM132)</f>
        <v>#DIV/0!</v>
      </c>
      <c r="BR132" s="828">
        <f t="shared" ref="BR132:BR141" si="253">+(BD132+AT132+BN132)/AM132</f>
        <v>0</v>
      </c>
      <c r="BS132" s="828" t="e">
        <f t="shared" ref="BS132:BS141" si="254">+(BE132+AU132+BO132)/AO132</f>
        <v>#DIV/0!</v>
      </c>
      <c r="BT132" s="466" t="s">
        <v>1926</v>
      </c>
      <c r="BU132" s="832">
        <v>1</v>
      </c>
      <c r="BV132" s="827" t="str">
        <f>+AN132</f>
        <v xml:space="preserve">Convocar a las veedurías ciudadanas para que participen el proceso de licitación pública </v>
      </c>
      <c r="BW132" s="831">
        <v>0</v>
      </c>
      <c r="BX132" s="835"/>
      <c r="BY132" s="835"/>
      <c r="BZ132" s="826">
        <f t="shared" ref="BZ132:BZ141" si="255">+(BX132/BU132)</f>
        <v>0</v>
      </c>
      <c r="CA132" s="826" t="e">
        <f t="shared" ref="CA132:CA141" si="256">+(BY132/BW132)</f>
        <v>#DIV/0!</v>
      </c>
      <c r="CB132" s="826">
        <f t="shared" ref="CB132:CB141" si="257">+(BD132+AT132+BN132+BX132)/AM132</f>
        <v>0</v>
      </c>
      <c r="CC132" s="826" t="e">
        <f t="shared" ref="CC132:CC141" si="258">+(BE132+AU132+BO132+BY132)/AO132</f>
        <v>#DIV/0!</v>
      </c>
      <c r="CD132" s="826"/>
      <c r="CE132" s="640" t="str">
        <f t="shared" ref="CE132:CE141" si="259">IF(AND(AQ132=0,AT132=0),"No Prog ni Ejec",IF(AQ132=0,CONCATENATE("No Prog, Ejec=  ",AT132),AT132/AQ132))</f>
        <v>No Prog ni Ejec</v>
      </c>
      <c r="CF132" s="640" t="str">
        <f t="shared" ref="CF132:CF141" si="260">IF(AND(AS132=0,AU132=0),"No Prog ni Ejec",IF(AS132=0,CONCATENATE("No Prog, Ejec=  ",AU132),AU132/AS132))</f>
        <v>No Prog ni Ejec</v>
      </c>
      <c r="CG132" s="640" t="str">
        <f t="shared" ref="CG132:CG141" si="261">IF(AND(BA132=0,BD132=0),"No Prog ni Ejec",IF(BA132=0,CONCATENATE("No Prog, Ejec=  ",BD132),BD132/BA132))</f>
        <v>No Prog ni Ejec</v>
      </c>
      <c r="CH132" s="640" t="str">
        <f t="shared" ref="CH132:CH141" si="262">IF(AND(BC132=0,BE132=0),"No Prog ni Ejec",IF(BC132=0,CONCATENATE("No Prog, Ejec=  ",BE132),BE132/BC132))</f>
        <v>No Prog ni Ejec</v>
      </c>
      <c r="CI132" s="640" t="str">
        <f t="shared" ref="CI132:CI141" si="263">IF(AND(BK132=0,BN132=0),"No Prog ni Ejec",IF(BK132=0,CONCATENATE("No Prog, Ejec=  ",BN132),BN132/BK132))</f>
        <v>No Prog ni Ejec</v>
      </c>
      <c r="CJ132" s="640" t="str">
        <f t="shared" ref="CJ132:CJ141" si="264">IF(AND(BM132=0,BO132=0),"No Prog ni Ejec",IF(BM132=0,CONCATENATE("No Prog, Ejec=  ",BO132),BO132/BM132))</f>
        <v>No Prog ni Ejec</v>
      </c>
      <c r="CK132" s="640">
        <f t="shared" ref="CK132:CK141" si="265">IF(AND(BU132=0,BX132=0),"No Prog ni Ejec",IF(BU132=0,CONCATENATE("No Prog, Ejec=  ",BX132),BX132/BU132))</f>
        <v>0</v>
      </c>
      <c r="CL132" s="698" t="str">
        <f t="shared" ref="CL132:CL141" si="266">IF(AND(BW132=0,BY132=0),"No Prog ni Ejec",IF(BW132=0,CONCATENATE("No Prog, Ejec=  ",BY132),BY132/BW132))</f>
        <v>No Prog ni Ejec</v>
      </c>
      <c r="CM132" s="128">
        <f t="shared" si="134"/>
        <v>0</v>
      </c>
      <c r="CR132" s="122">
        <v>1</v>
      </c>
      <c r="CS132" s="122"/>
      <c r="CT132" s="122"/>
      <c r="CU132" s="122"/>
      <c r="CV132" s="122"/>
      <c r="CW132" s="122"/>
      <c r="CX132" s="122"/>
      <c r="CY132" s="122"/>
      <c r="CZ132" s="122"/>
      <c r="DA132" s="122"/>
      <c r="DB132" s="122"/>
      <c r="DC132" s="122"/>
    </row>
    <row r="133" spans="1:107" s="70" customFormat="1" ht="112.5" customHeight="1" x14ac:dyDescent="0.2">
      <c r="A133" s="697">
        <v>11700</v>
      </c>
      <c r="B133" s="636" t="s">
        <v>14</v>
      </c>
      <c r="C133" s="636" t="s">
        <v>336</v>
      </c>
      <c r="D133" s="124" t="s">
        <v>1020</v>
      </c>
      <c r="E133" s="124"/>
      <c r="F133" s="124"/>
      <c r="G133" s="124"/>
      <c r="H133" s="124"/>
      <c r="I133" s="124"/>
      <c r="J133" s="124"/>
      <c r="K133" s="124"/>
      <c r="L133" s="124"/>
      <c r="M133" s="124"/>
      <c r="N133" s="124"/>
      <c r="O133" s="124"/>
      <c r="P133" s="124"/>
      <c r="Q133" s="827" t="s">
        <v>1126</v>
      </c>
      <c r="R133" s="636" t="s">
        <v>1132</v>
      </c>
      <c r="S133" s="638" t="s">
        <v>238</v>
      </c>
      <c r="T133" s="636" t="s">
        <v>94</v>
      </c>
      <c r="U133" s="636" t="s">
        <v>204</v>
      </c>
      <c r="V133" s="636" t="s">
        <v>204</v>
      </c>
      <c r="W133" s="638" t="s">
        <v>874</v>
      </c>
      <c r="X133" s="636" t="s">
        <v>1058</v>
      </c>
      <c r="Y133" s="650" t="s">
        <v>391</v>
      </c>
      <c r="Z133" s="66">
        <v>3</v>
      </c>
      <c r="AA133" s="835" t="s">
        <v>865</v>
      </c>
      <c r="AB133" s="827" t="s">
        <v>1057</v>
      </c>
      <c r="AC133" s="831">
        <v>0</v>
      </c>
      <c r="AD133" s="832">
        <v>1</v>
      </c>
      <c r="AE133" s="827" t="s">
        <v>17</v>
      </c>
      <c r="AF133" s="827" t="s">
        <v>295</v>
      </c>
      <c r="AG133" s="827" t="s">
        <v>204</v>
      </c>
      <c r="AH133" s="827" t="s">
        <v>635</v>
      </c>
      <c r="AI133" s="827" t="s">
        <v>1048</v>
      </c>
      <c r="AJ133" s="827" t="s">
        <v>1277</v>
      </c>
      <c r="AK133" s="827" t="s">
        <v>1059</v>
      </c>
      <c r="AL133" s="636" t="s">
        <v>204</v>
      </c>
      <c r="AM133" s="67">
        <v>3</v>
      </c>
      <c r="AN133" s="827" t="str">
        <f t="shared" si="242"/>
        <v>Realizar reuniones de autocontrol y seguimiento a los procesos que evidencien el monitoreo a los riesgos, indicadores, planes de mejoramiento, manuales y documentos asociados</v>
      </c>
      <c r="AO133" s="833">
        <f t="shared" si="242"/>
        <v>0</v>
      </c>
      <c r="AP133" s="860" t="s">
        <v>48</v>
      </c>
      <c r="AQ133" s="67">
        <v>0</v>
      </c>
      <c r="AR133" s="827" t="str">
        <f>+AN133</f>
        <v>Realizar reuniones de autocontrol y seguimiento a los procesos que evidencien el monitoreo a los riesgos, indicadores, planes de mejoramiento, manuales y documentos asociados</v>
      </c>
      <c r="AS133" s="831">
        <f>+AO133/4</f>
        <v>0</v>
      </c>
      <c r="AT133" s="473">
        <v>0</v>
      </c>
      <c r="AU133" s="473">
        <v>0</v>
      </c>
      <c r="AV133" s="828" t="e">
        <f t="shared" si="243"/>
        <v>#DIV/0!</v>
      </c>
      <c r="AW133" s="828" t="e">
        <f t="shared" si="244"/>
        <v>#DIV/0!</v>
      </c>
      <c r="AX133" s="828">
        <f t="shared" si="245"/>
        <v>0</v>
      </c>
      <c r="AY133" s="828" t="e">
        <f t="shared" si="246"/>
        <v>#DIV/0!</v>
      </c>
      <c r="AZ133" s="497" t="s">
        <v>1343</v>
      </c>
      <c r="BA133" s="67">
        <v>1</v>
      </c>
      <c r="BB133" s="827" t="str">
        <f>+AN133</f>
        <v>Realizar reuniones de autocontrol y seguimiento a los procesos que evidencien el monitoreo a los riesgos, indicadores, planes de mejoramiento, manuales y documentos asociados</v>
      </c>
      <c r="BC133" s="831">
        <f>+AO133/4</f>
        <v>0</v>
      </c>
      <c r="BD133" s="838">
        <v>1</v>
      </c>
      <c r="BE133" s="831">
        <v>0</v>
      </c>
      <c r="BF133" s="828">
        <f t="shared" si="247"/>
        <v>1</v>
      </c>
      <c r="BG133" s="828" t="e">
        <f t="shared" si="248"/>
        <v>#DIV/0!</v>
      </c>
      <c r="BH133" s="828">
        <f t="shared" si="249"/>
        <v>0.33333333333333331</v>
      </c>
      <c r="BI133" s="828" t="e">
        <f t="shared" si="250"/>
        <v>#DIV/0!</v>
      </c>
      <c r="BJ133" s="829" t="s">
        <v>1652</v>
      </c>
      <c r="BK133" s="67">
        <v>1</v>
      </c>
      <c r="BL133" s="827" t="str">
        <f>+AN133</f>
        <v>Realizar reuniones de autocontrol y seguimiento a los procesos que evidencien el monitoreo a los riesgos, indicadores, planes de mejoramiento, manuales y documentos asociados</v>
      </c>
      <c r="BM133" s="831">
        <f>+AO133/4</f>
        <v>0</v>
      </c>
      <c r="BN133" s="998">
        <v>1</v>
      </c>
      <c r="BO133" s="995">
        <v>0</v>
      </c>
      <c r="BP133" s="828">
        <f t="shared" si="251"/>
        <v>1</v>
      </c>
      <c r="BQ133" s="828" t="e">
        <f t="shared" si="252"/>
        <v>#DIV/0!</v>
      </c>
      <c r="BR133" s="828">
        <f t="shared" si="253"/>
        <v>0.66666666666666663</v>
      </c>
      <c r="BS133" s="828" t="e">
        <f t="shared" si="254"/>
        <v>#DIV/0!</v>
      </c>
      <c r="BT133" s="997" t="s">
        <v>1927</v>
      </c>
      <c r="BU133" s="67">
        <v>1</v>
      </c>
      <c r="BV133" s="827" t="str">
        <f>+AN133</f>
        <v>Realizar reuniones de autocontrol y seguimiento a los procesos que evidencien el monitoreo a los riesgos, indicadores, planes de mejoramiento, manuales y documentos asociados</v>
      </c>
      <c r="BW133" s="831">
        <f>+AO133/4</f>
        <v>0</v>
      </c>
      <c r="BX133" s="835"/>
      <c r="BY133" s="835"/>
      <c r="BZ133" s="826">
        <f t="shared" si="255"/>
        <v>0</v>
      </c>
      <c r="CA133" s="826" t="e">
        <f t="shared" si="256"/>
        <v>#DIV/0!</v>
      </c>
      <c r="CB133" s="826">
        <f t="shared" si="257"/>
        <v>0.66666666666666663</v>
      </c>
      <c r="CC133" s="826" t="e">
        <f t="shared" si="258"/>
        <v>#DIV/0!</v>
      </c>
      <c r="CD133" s="826"/>
      <c r="CE133" s="640" t="str">
        <f t="shared" si="259"/>
        <v>No Prog ni Ejec</v>
      </c>
      <c r="CF133" s="640" t="str">
        <f t="shared" si="260"/>
        <v>No Prog ni Ejec</v>
      </c>
      <c r="CG133" s="640">
        <f t="shared" si="261"/>
        <v>1</v>
      </c>
      <c r="CH133" s="640" t="str">
        <f t="shared" si="262"/>
        <v>No Prog ni Ejec</v>
      </c>
      <c r="CI133" s="640">
        <f t="shared" si="263"/>
        <v>1</v>
      </c>
      <c r="CJ133" s="640" t="str">
        <f t="shared" si="264"/>
        <v>No Prog ni Ejec</v>
      </c>
      <c r="CK133" s="640">
        <f t="shared" si="265"/>
        <v>0</v>
      </c>
      <c r="CL133" s="698" t="str">
        <f t="shared" si="266"/>
        <v>No Prog ni Ejec</v>
      </c>
      <c r="CM133" s="128">
        <f t="shared" si="134"/>
        <v>0</v>
      </c>
      <c r="CR133" s="122"/>
      <c r="CS133" s="122"/>
      <c r="CT133" s="122"/>
      <c r="CU133" s="122"/>
      <c r="CV133" s="122"/>
      <c r="CW133" s="122"/>
      <c r="CX133" s="122"/>
      <c r="CY133" s="122"/>
      <c r="CZ133" s="122"/>
      <c r="DA133" s="122"/>
      <c r="DB133" s="122"/>
      <c r="DC133" s="122"/>
    </row>
    <row r="134" spans="1:107" s="578" customFormat="1" ht="409.5" hidden="1" x14ac:dyDescent="0.2">
      <c r="A134" s="857">
        <v>11600</v>
      </c>
      <c r="B134" s="853" t="s">
        <v>4</v>
      </c>
      <c r="C134" s="853" t="s">
        <v>330</v>
      </c>
      <c r="D134" s="845"/>
      <c r="E134" s="845" t="s">
        <v>1020</v>
      </c>
      <c r="F134" s="845" t="s">
        <v>1020</v>
      </c>
      <c r="G134" s="845"/>
      <c r="H134" s="845"/>
      <c r="I134" s="845"/>
      <c r="J134" s="845"/>
      <c r="K134" s="845"/>
      <c r="L134" s="845"/>
      <c r="M134" s="845"/>
      <c r="N134" s="845"/>
      <c r="O134" s="845"/>
      <c r="P134" s="845"/>
      <c r="Q134" s="827" t="s">
        <v>204</v>
      </c>
      <c r="R134" s="827" t="s">
        <v>204</v>
      </c>
      <c r="S134" s="835" t="s">
        <v>100</v>
      </c>
      <c r="T134" s="827" t="s">
        <v>94</v>
      </c>
      <c r="U134" s="827" t="s">
        <v>204</v>
      </c>
      <c r="V134" s="827" t="s">
        <v>204</v>
      </c>
      <c r="W134" s="858" t="s">
        <v>105</v>
      </c>
      <c r="X134" s="853" t="s">
        <v>387</v>
      </c>
      <c r="Y134" s="572" t="s">
        <v>51</v>
      </c>
      <c r="Z134" s="574">
        <v>0.9</v>
      </c>
      <c r="AA134" s="858" t="s">
        <v>102</v>
      </c>
      <c r="AB134" s="853" t="s">
        <v>350</v>
      </c>
      <c r="AC134" s="862">
        <f>178704377.103774+48960000</f>
        <v>227664377.10377401</v>
      </c>
      <c r="AD134" s="832">
        <v>1</v>
      </c>
      <c r="AE134" s="827" t="s">
        <v>17</v>
      </c>
      <c r="AF134" s="827" t="s">
        <v>27</v>
      </c>
      <c r="AG134" s="827" t="s">
        <v>204</v>
      </c>
      <c r="AH134" s="827" t="s">
        <v>635</v>
      </c>
      <c r="AI134" s="827" t="s">
        <v>82</v>
      </c>
      <c r="AJ134" s="827" t="s">
        <v>1276</v>
      </c>
      <c r="AK134" s="853" t="s">
        <v>1301</v>
      </c>
      <c r="AL134" s="827" t="s">
        <v>44</v>
      </c>
      <c r="AM134" s="574">
        <v>0.9</v>
      </c>
      <c r="AN134" s="853" t="str">
        <f t="shared" si="242"/>
        <v>Servicio BPO-Mesa de ayuda</v>
      </c>
      <c r="AO134" s="861">
        <f t="shared" si="242"/>
        <v>227664377.10377401</v>
      </c>
      <c r="AP134" s="860" t="s">
        <v>46</v>
      </c>
      <c r="AQ134" s="573">
        <v>0.22500000000000001</v>
      </c>
      <c r="AR134" s="853" t="str">
        <f>+AN134</f>
        <v>Servicio BPO-Mesa de ayuda</v>
      </c>
      <c r="AS134" s="862">
        <f>+AC134*0.1</f>
        <v>22766437.710377403</v>
      </c>
      <c r="AT134" s="586">
        <f>(189/189)*AQ134</f>
        <v>0.22500000000000001</v>
      </c>
      <c r="AU134" s="862">
        <f>952000+4080000+4080000</f>
        <v>9112000</v>
      </c>
      <c r="AV134" s="856">
        <f t="shared" si="243"/>
        <v>1</v>
      </c>
      <c r="AW134" s="856">
        <f t="shared" si="244"/>
        <v>0.40023828566937225</v>
      </c>
      <c r="AX134" s="856">
        <f t="shared" si="245"/>
        <v>0.25</v>
      </c>
      <c r="AY134" s="856">
        <f t="shared" si="246"/>
        <v>4.0023828566937231E-2</v>
      </c>
      <c r="AZ134" s="575" t="s">
        <v>1744</v>
      </c>
      <c r="BA134" s="573">
        <v>0.22500000000000001</v>
      </c>
      <c r="BB134" s="853" t="str">
        <f>+AN134</f>
        <v>Servicio BPO-Mesa de ayuda</v>
      </c>
      <c r="BC134" s="862">
        <f>+AO134*0.3</f>
        <v>68299313.1311322</v>
      </c>
      <c r="BD134" s="572"/>
      <c r="BE134" s="859"/>
      <c r="BF134" s="856">
        <f t="shared" si="247"/>
        <v>0</v>
      </c>
      <c r="BG134" s="856">
        <f t="shared" si="248"/>
        <v>0</v>
      </c>
      <c r="BH134" s="856">
        <f t="shared" si="249"/>
        <v>0.25</v>
      </c>
      <c r="BI134" s="856">
        <f t="shared" si="250"/>
        <v>4.0023828566937231E-2</v>
      </c>
      <c r="BJ134" s="684"/>
      <c r="BK134" s="573">
        <v>0.22500000000000001</v>
      </c>
      <c r="BL134" s="853" t="str">
        <f>+AN134</f>
        <v>Servicio BPO-Mesa de ayuda</v>
      </c>
      <c r="BM134" s="862">
        <f>+AO134*0.3</f>
        <v>68299313.1311322</v>
      </c>
      <c r="BN134" s="858"/>
      <c r="BO134" s="858"/>
      <c r="BP134" s="856">
        <f t="shared" si="251"/>
        <v>0</v>
      </c>
      <c r="BQ134" s="856">
        <f t="shared" si="252"/>
        <v>0</v>
      </c>
      <c r="BR134" s="856">
        <f t="shared" si="253"/>
        <v>0.25</v>
      </c>
      <c r="BS134" s="856">
        <f t="shared" si="254"/>
        <v>4.0023828566937231E-2</v>
      </c>
      <c r="BT134" s="856"/>
      <c r="BU134" s="573">
        <v>0.22500000000000001</v>
      </c>
      <c r="BV134" s="853" t="str">
        <f>+AN134</f>
        <v>Servicio BPO-Mesa de ayuda</v>
      </c>
      <c r="BW134" s="859">
        <f>+AO134*0.3</f>
        <v>68299313.1311322</v>
      </c>
      <c r="BX134" s="858"/>
      <c r="BY134" s="858"/>
      <c r="BZ134" s="863">
        <f t="shared" si="255"/>
        <v>0</v>
      </c>
      <c r="CA134" s="863">
        <f t="shared" si="256"/>
        <v>0</v>
      </c>
      <c r="CB134" s="863">
        <f t="shared" si="257"/>
        <v>0.25</v>
      </c>
      <c r="CC134" s="863">
        <f t="shared" si="258"/>
        <v>4.0023828566937231E-2</v>
      </c>
      <c r="CD134" s="863"/>
      <c r="CE134" s="642">
        <f t="shared" si="259"/>
        <v>1</v>
      </c>
      <c r="CF134" s="642">
        <f t="shared" si="260"/>
        <v>0.40023828566937225</v>
      </c>
      <c r="CG134" s="642">
        <f t="shared" si="261"/>
        <v>0</v>
      </c>
      <c r="CH134" s="642">
        <f t="shared" si="262"/>
        <v>0</v>
      </c>
      <c r="CI134" s="642">
        <f t="shared" si="263"/>
        <v>0</v>
      </c>
      <c r="CJ134" s="642">
        <f t="shared" si="264"/>
        <v>0</v>
      </c>
      <c r="CK134" s="642">
        <f t="shared" si="265"/>
        <v>0</v>
      </c>
      <c r="CL134" s="762">
        <f t="shared" si="266"/>
        <v>0</v>
      </c>
      <c r="CM134" s="577">
        <f t="shared" si="134"/>
        <v>0</v>
      </c>
      <c r="CR134" s="70"/>
      <c r="CS134" s="70"/>
      <c r="CT134" s="70"/>
      <c r="CU134" s="70"/>
      <c r="CV134" s="70"/>
      <c r="CW134" s="122">
        <v>6</v>
      </c>
      <c r="CX134" s="70"/>
      <c r="CY134" s="70"/>
      <c r="CZ134" s="70"/>
      <c r="DA134" s="70"/>
      <c r="DB134" s="70"/>
      <c r="DC134" s="70"/>
    </row>
    <row r="135" spans="1:107" s="70" customFormat="1" ht="336" customHeight="1" x14ac:dyDescent="0.2">
      <c r="A135" s="834">
        <v>11600</v>
      </c>
      <c r="B135" s="827" t="s">
        <v>4</v>
      </c>
      <c r="C135" s="827" t="s">
        <v>529</v>
      </c>
      <c r="D135" s="845"/>
      <c r="E135" s="845" t="s">
        <v>1020</v>
      </c>
      <c r="F135" s="845" t="s">
        <v>1020</v>
      </c>
      <c r="G135" s="845"/>
      <c r="H135" s="845"/>
      <c r="I135" s="845"/>
      <c r="J135" s="845"/>
      <c r="K135" s="845"/>
      <c r="L135" s="845"/>
      <c r="M135" s="845"/>
      <c r="N135" s="845"/>
      <c r="O135" s="845" t="s">
        <v>1020</v>
      </c>
      <c r="P135" s="845"/>
      <c r="Q135" s="827" t="s">
        <v>204</v>
      </c>
      <c r="R135" s="827" t="s">
        <v>204</v>
      </c>
      <c r="S135" s="835" t="s">
        <v>100</v>
      </c>
      <c r="T135" s="827" t="s">
        <v>94</v>
      </c>
      <c r="U135" s="827" t="s">
        <v>204</v>
      </c>
      <c r="V135" s="827" t="s">
        <v>204</v>
      </c>
      <c r="W135" s="835" t="s">
        <v>106</v>
      </c>
      <c r="X135" s="827" t="s">
        <v>431</v>
      </c>
      <c r="Y135" s="838" t="s">
        <v>51</v>
      </c>
      <c r="Z135" s="157">
        <v>1</v>
      </c>
      <c r="AA135" s="835" t="s">
        <v>103</v>
      </c>
      <c r="AB135" s="827" t="s">
        <v>351</v>
      </c>
      <c r="AC135" s="850">
        <v>203562225</v>
      </c>
      <c r="AD135" s="832">
        <v>1</v>
      </c>
      <c r="AE135" s="827" t="s">
        <v>17</v>
      </c>
      <c r="AF135" s="827" t="s">
        <v>297</v>
      </c>
      <c r="AG135" s="827" t="s">
        <v>204</v>
      </c>
      <c r="AH135" s="827" t="s">
        <v>635</v>
      </c>
      <c r="AI135" s="827" t="s">
        <v>81</v>
      </c>
      <c r="AJ135" s="827" t="s">
        <v>1266</v>
      </c>
      <c r="AK135" s="827" t="s">
        <v>432</v>
      </c>
      <c r="AL135" s="827" t="s">
        <v>44</v>
      </c>
      <c r="AM135" s="159">
        <v>1</v>
      </c>
      <c r="AN135" s="827" t="str">
        <f t="shared" si="242"/>
        <v>Contratar una consultoría para la planeación, diagnóstico, alistamiento, implementación y monitoreo para la adopción del protocolo IPV6.</v>
      </c>
      <c r="AO135" s="833">
        <f t="shared" si="242"/>
        <v>203562225</v>
      </c>
      <c r="AP135" s="860" t="s">
        <v>46</v>
      </c>
      <c r="AQ135" s="157">
        <v>0</v>
      </c>
      <c r="AR135" s="827" t="str">
        <f>+AN135</f>
        <v>Contratar una consultoría para la planeación, diagnóstico, alistamiento, implementación y monitoreo para la adopción del protocolo IPV6.</v>
      </c>
      <c r="AS135" s="850">
        <f>+AO135*0</f>
        <v>0</v>
      </c>
      <c r="AT135" s="157">
        <v>0</v>
      </c>
      <c r="AU135" s="850">
        <v>0</v>
      </c>
      <c r="AV135" s="828" t="e">
        <f t="shared" si="243"/>
        <v>#DIV/0!</v>
      </c>
      <c r="AW135" s="828" t="e">
        <f t="shared" si="244"/>
        <v>#DIV/0!</v>
      </c>
      <c r="AX135" s="828">
        <f t="shared" si="245"/>
        <v>0</v>
      </c>
      <c r="AY135" s="828">
        <f t="shared" si="246"/>
        <v>0</v>
      </c>
      <c r="AZ135" s="466" t="s">
        <v>1314</v>
      </c>
      <c r="BA135" s="157">
        <v>0</v>
      </c>
      <c r="BB135" s="827" t="str">
        <f>+AN135</f>
        <v>Contratar una consultoría para la planeación, diagnóstico, alistamiento, implementación y monitoreo para la adopción del protocolo IPV6.</v>
      </c>
      <c r="BC135" s="850">
        <f>+AO135*0</f>
        <v>0</v>
      </c>
      <c r="BD135" s="686">
        <v>0</v>
      </c>
      <c r="BE135" s="850">
        <v>0</v>
      </c>
      <c r="BF135" s="828" t="e">
        <f t="shared" si="247"/>
        <v>#DIV/0!</v>
      </c>
      <c r="BG135" s="828" t="e">
        <f t="shared" si="248"/>
        <v>#DIV/0!</v>
      </c>
      <c r="BH135" s="828">
        <f t="shared" si="249"/>
        <v>0</v>
      </c>
      <c r="BI135" s="828">
        <f t="shared" si="250"/>
        <v>0</v>
      </c>
      <c r="BJ135" s="829" t="s">
        <v>1661</v>
      </c>
      <c r="BK135" s="157">
        <v>0</v>
      </c>
      <c r="BL135" s="827" t="str">
        <f>+AN135</f>
        <v>Contratar una consultoría para la planeación, diagnóstico, alistamiento, implementación y monitoreo para la adopción del protocolo IPV6.</v>
      </c>
      <c r="BM135" s="850">
        <f>+AO135*0.1</f>
        <v>20356222.5</v>
      </c>
      <c r="BN135" s="957">
        <v>0</v>
      </c>
      <c r="BO135" s="955">
        <v>19616181</v>
      </c>
      <c r="BP135" s="828" t="e">
        <f t="shared" si="251"/>
        <v>#DIV/0!</v>
      </c>
      <c r="BQ135" s="828">
        <f t="shared" si="252"/>
        <v>0.96364544060176194</v>
      </c>
      <c r="BR135" s="828">
        <f t="shared" si="253"/>
        <v>0</v>
      </c>
      <c r="BS135" s="828">
        <f t="shared" si="254"/>
        <v>9.6364544060176194E-2</v>
      </c>
      <c r="BT135" s="466" t="s">
        <v>1823</v>
      </c>
      <c r="BU135" s="157">
        <v>1</v>
      </c>
      <c r="BV135" s="827" t="str">
        <f>+AN135</f>
        <v>Contratar una consultoría para la planeación, diagnóstico, alistamiento, implementación y monitoreo para la adopción del protocolo IPV6.</v>
      </c>
      <c r="BW135" s="850">
        <f>+AO135*0.9</f>
        <v>183206002.5</v>
      </c>
      <c r="BX135" s="835"/>
      <c r="BY135" s="835"/>
      <c r="BZ135" s="826">
        <f t="shared" si="255"/>
        <v>0</v>
      </c>
      <c r="CA135" s="826">
        <f t="shared" si="256"/>
        <v>0</v>
      </c>
      <c r="CB135" s="826">
        <f t="shared" si="257"/>
        <v>0</v>
      </c>
      <c r="CC135" s="826">
        <f t="shared" si="258"/>
        <v>9.6364544060176194E-2</v>
      </c>
      <c r="CD135" s="826"/>
      <c r="CE135" s="640" t="str">
        <f t="shared" si="259"/>
        <v>No Prog ni Ejec</v>
      </c>
      <c r="CF135" s="640" t="str">
        <f t="shared" si="260"/>
        <v>No Prog ni Ejec</v>
      </c>
      <c r="CG135" s="640" t="str">
        <f t="shared" si="261"/>
        <v>No Prog ni Ejec</v>
      </c>
      <c r="CH135" s="640" t="str">
        <f t="shared" si="262"/>
        <v>No Prog ni Ejec</v>
      </c>
      <c r="CI135" s="640" t="str">
        <f t="shared" si="263"/>
        <v>No Prog ni Ejec</v>
      </c>
      <c r="CJ135" s="640">
        <f t="shared" si="264"/>
        <v>0.96364544060176194</v>
      </c>
      <c r="CK135" s="640">
        <f t="shared" si="265"/>
        <v>0</v>
      </c>
      <c r="CL135" s="698">
        <f t="shared" si="266"/>
        <v>0</v>
      </c>
      <c r="CM135" s="128">
        <f t="shared" si="134"/>
        <v>0</v>
      </c>
      <c r="CT135" s="122">
        <v>3</v>
      </c>
    </row>
    <row r="136" spans="1:107" s="578" customFormat="1" ht="111" hidden="1" customHeight="1" x14ac:dyDescent="0.2">
      <c r="A136" s="857">
        <v>11600</v>
      </c>
      <c r="B136" s="853" t="s">
        <v>4</v>
      </c>
      <c r="C136" s="853" t="s">
        <v>529</v>
      </c>
      <c r="D136" s="845"/>
      <c r="E136" s="845" t="s">
        <v>1020</v>
      </c>
      <c r="F136" s="845" t="s">
        <v>1020</v>
      </c>
      <c r="G136" s="845"/>
      <c r="H136" s="845"/>
      <c r="I136" s="845"/>
      <c r="J136" s="845"/>
      <c r="K136" s="845"/>
      <c r="L136" s="845"/>
      <c r="M136" s="845"/>
      <c r="N136" s="845"/>
      <c r="O136" s="845" t="s">
        <v>1020</v>
      </c>
      <c r="P136" s="845"/>
      <c r="Q136" s="827" t="s">
        <v>204</v>
      </c>
      <c r="R136" s="827" t="s">
        <v>204</v>
      </c>
      <c r="S136" s="835" t="s">
        <v>100</v>
      </c>
      <c r="T136" s="827" t="s">
        <v>94</v>
      </c>
      <c r="U136" s="827" t="s">
        <v>204</v>
      </c>
      <c r="V136" s="827" t="s">
        <v>204</v>
      </c>
      <c r="W136" s="858" t="s">
        <v>1110</v>
      </c>
      <c r="X136" s="853" t="s">
        <v>433</v>
      </c>
      <c r="Y136" s="871" t="s">
        <v>391</v>
      </c>
      <c r="Z136" s="571">
        <v>1</v>
      </c>
      <c r="AA136" s="1205" t="s">
        <v>1099</v>
      </c>
      <c r="AB136" s="1221" t="s">
        <v>352</v>
      </c>
      <c r="AC136" s="862">
        <v>84770477.298000008</v>
      </c>
      <c r="AD136" s="832">
        <v>1</v>
      </c>
      <c r="AE136" s="827" t="s">
        <v>17</v>
      </c>
      <c r="AF136" s="827" t="s">
        <v>297</v>
      </c>
      <c r="AG136" s="827" t="s">
        <v>204</v>
      </c>
      <c r="AH136" s="827" t="s">
        <v>635</v>
      </c>
      <c r="AI136" s="827" t="s">
        <v>81</v>
      </c>
      <c r="AJ136" s="1072" t="s">
        <v>1266</v>
      </c>
      <c r="AK136" s="853" t="s">
        <v>428</v>
      </c>
      <c r="AL136" s="827" t="s">
        <v>44</v>
      </c>
      <c r="AM136" s="571">
        <v>1</v>
      </c>
      <c r="AN136" s="1198" t="str">
        <f t="shared" si="242"/>
        <v>Contratar la prestación de servicios técnicos para realizar análisis de vulnerabilidades, Ethical Hacking y pruebas de Ingeniería Social</v>
      </c>
      <c r="AO136" s="861">
        <f t="shared" si="242"/>
        <v>84770477.298000008</v>
      </c>
      <c r="AP136" s="860" t="s">
        <v>46</v>
      </c>
      <c r="AQ136" s="571">
        <v>0</v>
      </c>
      <c r="AR136" s="1198" t="str">
        <f>+AN136</f>
        <v>Contratar la prestación de servicios técnicos para realizar análisis de vulnerabilidades, Ethical Hacking y pruebas de Ingeniería Social</v>
      </c>
      <c r="AS136" s="862">
        <f>+AO136*0</f>
        <v>0</v>
      </c>
      <c r="AT136" s="858">
        <v>0</v>
      </c>
      <c r="AU136" s="862">
        <v>0</v>
      </c>
      <c r="AV136" s="856" t="e">
        <f t="shared" si="243"/>
        <v>#DIV/0!</v>
      </c>
      <c r="AW136" s="856" t="e">
        <f t="shared" si="244"/>
        <v>#DIV/0!</v>
      </c>
      <c r="AX136" s="856">
        <f t="shared" si="245"/>
        <v>0</v>
      </c>
      <c r="AY136" s="856">
        <f t="shared" si="246"/>
        <v>0</v>
      </c>
      <c r="AZ136" s="575" t="s">
        <v>1314</v>
      </c>
      <c r="BA136" s="571">
        <v>0</v>
      </c>
      <c r="BB136" s="1198" t="str">
        <f>+AN136</f>
        <v>Contratar la prestación de servicios técnicos para realizar análisis de vulnerabilidades, Ethical Hacking y pruebas de Ingeniería Social</v>
      </c>
      <c r="BC136" s="862">
        <f>+AO136*0.25</f>
        <v>21192619.324500002</v>
      </c>
      <c r="BD136" s="572"/>
      <c r="BE136" s="859"/>
      <c r="BF136" s="856" t="e">
        <f t="shared" si="247"/>
        <v>#DIV/0!</v>
      </c>
      <c r="BG136" s="856">
        <f t="shared" si="248"/>
        <v>0</v>
      </c>
      <c r="BH136" s="856">
        <f t="shared" si="249"/>
        <v>0</v>
      </c>
      <c r="BI136" s="856">
        <f t="shared" si="250"/>
        <v>0</v>
      </c>
      <c r="BJ136" s="684"/>
      <c r="BK136" s="571">
        <v>0</v>
      </c>
      <c r="BL136" s="1198" t="str">
        <f>+AN136</f>
        <v>Contratar la prestación de servicios técnicos para realizar análisis de vulnerabilidades, Ethical Hacking y pruebas de Ingeniería Social</v>
      </c>
      <c r="BM136" s="862">
        <f>+AO136*0.75</f>
        <v>63577857.973500006</v>
      </c>
      <c r="BN136" s="858"/>
      <c r="BO136" s="858"/>
      <c r="BP136" s="856" t="e">
        <f t="shared" si="251"/>
        <v>#DIV/0!</v>
      </c>
      <c r="BQ136" s="856">
        <f t="shared" si="252"/>
        <v>0</v>
      </c>
      <c r="BR136" s="856">
        <f t="shared" si="253"/>
        <v>0</v>
      </c>
      <c r="BS136" s="856">
        <f t="shared" si="254"/>
        <v>0</v>
      </c>
      <c r="BT136" s="856"/>
      <c r="BU136" s="571">
        <v>1</v>
      </c>
      <c r="BV136" s="1198" t="str">
        <f>+AN136</f>
        <v>Contratar la prestación de servicios técnicos para realizar análisis de vulnerabilidades, Ethical Hacking y pruebas de Ingeniería Social</v>
      </c>
      <c r="BW136" s="862">
        <f>+AO136*0</f>
        <v>0</v>
      </c>
      <c r="BX136" s="858"/>
      <c r="BY136" s="858"/>
      <c r="BZ136" s="863">
        <f t="shared" si="255"/>
        <v>0</v>
      </c>
      <c r="CA136" s="863" t="e">
        <f t="shared" si="256"/>
        <v>#DIV/0!</v>
      </c>
      <c r="CB136" s="863">
        <f t="shared" si="257"/>
        <v>0</v>
      </c>
      <c r="CC136" s="863">
        <f t="shared" si="258"/>
        <v>0</v>
      </c>
      <c r="CD136" s="863"/>
      <c r="CE136" s="642" t="str">
        <f t="shared" si="259"/>
        <v>No Prog ni Ejec</v>
      </c>
      <c r="CF136" s="642" t="str">
        <f t="shared" si="260"/>
        <v>No Prog ni Ejec</v>
      </c>
      <c r="CG136" s="642" t="str">
        <f t="shared" si="261"/>
        <v>No Prog ni Ejec</v>
      </c>
      <c r="CH136" s="642">
        <f t="shared" si="262"/>
        <v>0</v>
      </c>
      <c r="CI136" s="642" t="str">
        <f t="shared" si="263"/>
        <v>No Prog ni Ejec</v>
      </c>
      <c r="CJ136" s="642">
        <f t="shared" si="264"/>
        <v>0</v>
      </c>
      <c r="CK136" s="642">
        <f t="shared" si="265"/>
        <v>0</v>
      </c>
      <c r="CL136" s="762" t="str">
        <f t="shared" si="266"/>
        <v>No Prog ni Ejec</v>
      </c>
      <c r="CM136" s="577">
        <f t="shared" si="134"/>
        <v>0</v>
      </c>
      <c r="CR136" s="70"/>
      <c r="CS136" s="70"/>
      <c r="CT136" s="122">
        <v>3</v>
      </c>
      <c r="CU136" s="70"/>
      <c r="CV136" s="70"/>
      <c r="CW136" s="70"/>
      <c r="CX136" s="70"/>
      <c r="CY136" s="70"/>
      <c r="CZ136" s="70"/>
      <c r="DA136" s="70"/>
      <c r="DB136" s="70"/>
      <c r="DC136" s="70"/>
    </row>
    <row r="137" spans="1:107" s="578" customFormat="1" ht="111" hidden="1" customHeight="1" x14ac:dyDescent="0.2">
      <c r="A137" s="857">
        <v>11600</v>
      </c>
      <c r="B137" s="853" t="s">
        <v>4</v>
      </c>
      <c r="C137" s="853" t="s">
        <v>529</v>
      </c>
      <c r="D137" s="845"/>
      <c r="E137" s="845" t="s">
        <v>1020</v>
      </c>
      <c r="F137" s="845" t="s">
        <v>1020</v>
      </c>
      <c r="G137" s="845"/>
      <c r="H137" s="845"/>
      <c r="I137" s="845"/>
      <c r="J137" s="845"/>
      <c r="K137" s="845"/>
      <c r="L137" s="845"/>
      <c r="M137" s="845"/>
      <c r="N137" s="845"/>
      <c r="O137" s="845" t="s">
        <v>1020</v>
      </c>
      <c r="P137" s="845"/>
      <c r="Q137" s="827" t="s">
        <v>204</v>
      </c>
      <c r="R137" s="827" t="s">
        <v>204</v>
      </c>
      <c r="S137" s="835" t="s">
        <v>100</v>
      </c>
      <c r="T137" s="827" t="s">
        <v>94</v>
      </c>
      <c r="U137" s="827" t="s">
        <v>204</v>
      </c>
      <c r="V137" s="827" t="s">
        <v>204</v>
      </c>
      <c r="W137" s="858" t="s">
        <v>1141</v>
      </c>
      <c r="X137" s="853" t="s">
        <v>1143</v>
      </c>
      <c r="Y137" s="572" t="s">
        <v>51</v>
      </c>
      <c r="Z137" s="573">
        <v>0.8</v>
      </c>
      <c r="AA137" s="1205"/>
      <c r="AB137" s="1198"/>
      <c r="AC137" s="862">
        <v>0</v>
      </c>
      <c r="AD137" s="832">
        <v>1</v>
      </c>
      <c r="AE137" s="827" t="s">
        <v>17</v>
      </c>
      <c r="AF137" s="827" t="s">
        <v>297</v>
      </c>
      <c r="AG137" s="827" t="s">
        <v>204</v>
      </c>
      <c r="AH137" s="827" t="s">
        <v>635</v>
      </c>
      <c r="AI137" s="827" t="s">
        <v>81</v>
      </c>
      <c r="AJ137" s="1072"/>
      <c r="AK137" s="853" t="s">
        <v>1142</v>
      </c>
      <c r="AL137" s="827" t="s">
        <v>44</v>
      </c>
      <c r="AM137" s="574">
        <v>0.8</v>
      </c>
      <c r="AN137" s="1198"/>
      <c r="AO137" s="861">
        <f t="shared" ref="AO137:AO145" si="267">+AC137</f>
        <v>0</v>
      </c>
      <c r="AP137" s="860" t="s">
        <v>46</v>
      </c>
      <c r="AQ137" s="574">
        <v>0.2</v>
      </c>
      <c r="AR137" s="1198"/>
      <c r="AS137" s="862">
        <v>0</v>
      </c>
      <c r="AT137" s="574">
        <f>6/30</f>
        <v>0.2</v>
      </c>
      <c r="AU137" s="862">
        <v>0</v>
      </c>
      <c r="AV137" s="856">
        <f t="shared" si="243"/>
        <v>1</v>
      </c>
      <c r="AW137" s="856" t="e">
        <f t="shared" si="244"/>
        <v>#DIV/0!</v>
      </c>
      <c r="AX137" s="856">
        <f t="shared" si="245"/>
        <v>0.25</v>
      </c>
      <c r="AY137" s="856" t="e">
        <f t="shared" si="246"/>
        <v>#DIV/0!</v>
      </c>
      <c r="AZ137" s="575" t="s">
        <v>1381</v>
      </c>
      <c r="BA137" s="574">
        <v>0.2</v>
      </c>
      <c r="BB137" s="1198"/>
      <c r="BC137" s="862">
        <v>0</v>
      </c>
      <c r="BD137" s="572"/>
      <c r="BE137" s="859"/>
      <c r="BF137" s="856">
        <f t="shared" si="247"/>
        <v>0</v>
      </c>
      <c r="BG137" s="856" t="e">
        <f t="shared" si="248"/>
        <v>#DIV/0!</v>
      </c>
      <c r="BH137" s="856">
        <f t="shared" si="249"/>
        <v>0.25</v>
      </c>
      <c r="BI137" s="856" t="e">
        <f t="shared" si="250"/>
        <v>#DIV/0!</v>
      </c>
      <c r="BJ137" s="684"/>
      <c r="BK137" s="574">
        <v>0.2</v>
      </c>
      <c r="BL137" s="1198"/>
      <c r="BM137" s="862">
        <v>0</v>
      </c>
      <c r="BN137" s="858"/>
      <c r="BO137" s="858"/>
      <c r="BP137" s="856">
        <f t="shared" si="251"/>
        <v>0</v>
      </c>
      <c r="BQ137" s="856" t="e">
        <f t="shared" si="252"/>
        <v>#DIV/0!</v>
      </c>
      <c r="BR137" s="856">
        <f t="shared" si="253"/>
        <v>0.25</v>
      </c>
      <c r="BS137" s="856" t="e">
        <f t="shared" si="254"/>
        <v>#DIV/0!</v>
      </c>
      <c r="BT137" s="856"/>
      <c r="BU137" s="574">
        <v>0.2</v>
      </c>
      <c r="BV137" s="1198"/>
      <c r="BW137" s="862">
        <v>0</v>
      </c>
      <c r="BX137" s="858"/>
      <c r="BY137" s="858"/>
      <c r="BZ137" s="863">
        <f t="shared" si="255"/>
        <v>0</v>
      </c>
      <c r="CA137" s="863" t="e">
        <f t="shared" si="256"/>
        <v>#DIV/0!</v>
      </c>
      <c r="CB137" s="863">
        <f t="shared" si="257"/>
        <v>0.25</v>
      </c>
      <c r="CC137" s="863" t="e">
        <f t="shared" si="258"/>
        <v>#DIV/0!</v>
      </c>
      <c r="CD137" s="863"/>
      <c r="CE137" s="642">
        <f t="shared" si="259"/>
        <v>1</v>
      </c>
      <c r="CF137" s="642" t="str">
        <f t="shared" si="260"/>
        <v>No Prog ni Ejec</v>
      </c>
      <c r="CG137" s="642">
        <f t="shared" si="261"/>
        <v>0</v>
      </c>
      <c r="CH137" s="642" t="str">
        <f t="shared" si="262"/>
        <v>No Prog ni Ejec</v>
      </c>
      <c r="CI137" s="642">
        <f t="shared" si="263"/>
        <v>0</v>
      </c>
      <c r="CJ137" s="642" t="str">
        <f t="shared" si="264"/>
        <v>No Prog ni Ejec</v>
      </c>
      <c r="CK137" s="642">
        <f t="shared" si="265"/>
        <v>0</v>
      </c>
      <c r="CL137" s="762" t="str">
        <f t="shared" si="266"/>
        <v>No Prog ni Ejec</v>
      </c>
      <c r="CM137" s="577"/>
      <c r="CR137" s="70"/>
      <c r="CS137" s="70"/>
      <c r="CT137" s="122"/>
      <c r="CU137" s="70"/>
      <c r="CV137" s="70"/>
      <c r="CW137" s="70"/>
      <c r="CX137" s="70"/>
      <c r="CY137" s="70"/>
      <c r="CZ137" s="70"/>
      <c r="DA137" s="70"/>
      <c r="DB137" s="70"/>
      <c r="DC137" s="70"/>
    </row>
    <row r="138" spans="1:107" s="70" customFormat="1" ht="114.75" customHeight="1" x14ac:dyDescent="0.2">
      <c r="A138" s="834">
        <v>11600</v>
      </c>
      <c r="B138" s="827" t="s">
        <v>4</v>
      </c>
      <c r="C138" s="827" t="s">
        <v>330</v>
      </c>
      <c r="D138" s="845"/>
      <c r="E138" s="845" t="s">
        <v>1020</v>
      </c>
      <c r="F138" s="845" t="s">
        <v>1020</v>
      </c>
      <c r="G138" s="845"/>
      <c r="H138" s="845"/>
      <c r="I138" s="845"/>
      <c r="J138" s="845"/>
      <c r="K138" s="845"/>
      <c r="L138" s="845"/>
      <c r="M138" s="845"/>
      <c r="N138" s="845"/>
      <c r="O138" s="845"/>
      <c r="P138" s="845"/>
      <c r="Q138" s="827" t="s">
        <v>204</v>
      </c>
      <c r="R138" s="827" t="s">
        <v>204</v>
      </c>
      <c r="S138" s="835" t="s">
        <v>100</v>
      </c>
      <c r="T138" s="827" t="s">
        <v>94</v>
      </c>
      <c r="U138" s="827" t="s">
        <v>204</v>
      </c>
      <c r="V138" s="827" t="s">
        <v>204</v>
      </c>
      <c r="W138" s="835" t="s">
        <v>1111</v>
      </c>
      <c r="X138" s="827" t="s">
        <v>405</v>
      </c>
      <c r="Y138" s="838" t="s">
        <v>51</v>
      </c>
      <c r="Z138" s="157">
        <v>1</v>
      </c>
      <c r="AA138" s="835" t="s">
        <v>1100</v>
      </c>
      <c r="AB138" s="827" t="s">
        <v>353</v>
      </c>
      <c r="AC138" s="850">
        <v>400000000</v>
      </c>
      <c r="AD138" s="832">
        <v>1</v>
      </c>
      <c r="AE138" s="827" t="s">
        <v>17</v>
      </c>
      <c r="AF138" s="827" t="s">
        <v>27</v>
      </c>
      <c r="AG138" s="827" t="s">
        <v>204</v>
      </c>
      <c r="AH138" s="827" t="s">
        <v>635</v>
      </c>
      <c r="AI138" s="827" t="s">
        <v>82</v>
      </c>
      <c r="AJ138" s="827" t="s">
        <v>1266</v>
      </c>
      <c r="AK138" s="827" t="s">
        <v>407</v>
      </c>
      <c r="AL138" s="827" t="s">
        <v>44</v>
      </c>
      <c r="AM138" s="159">
        <v>1</v>
      </c>
      <c r="AN138" s="827" t="str">
        <f>+AB138</f>
        <v>Implementación de los diferentes flujos de correspondencia, que incluya impresión de stickers, firma digital de documentos, estampado cronológico, reconocimiento OCR e integración con los flujos de PQRSD y Tutelas</v>
      </c>
      <c r="AO138" s="833">
        <f t="shared" si="267"/>
        <v>400000000</v>
      </c>
      <c r="AP138" s="860" t="s">
        <v>46</v>
      </c>
      <c r="AQ138" s="157">
        <v>0</v>
      </c>
      <c r="AR138" s="827" t="str">
        <f t="shared" ref="AR138:AR151" si="268">+AN138</f>
        <v>Implementación de los diferentes flujos de correspondencia, que incluya impresión de stickers, firma digital de documentos, estampado cronológico, reconocimiento OCR e integración con los flujos de PQRSD y Tutelas</v>
      </c>
      <c r="AS138" s="850">
        <v>0</v>
      </c>
      <c r="AT138" s="157">
        <v>0</v>
      </c>
      <c r="AU138" s="850">
        <v>0</v>
      </c>
      <c r="AV138" s="828" t="e">
        <f t="shared" si="243"/>
        <v>#DIV/0!</v>
      </c>
      <c r="AW138" s="828" t="e">
        <f t="shared" si="244"/>
        <v>#DIV/0!</v>
      </c>
      <c r="AX138" s="828">
        <f t="shared" si="245"/>
        <v>0</v>
      </c>
      <c r="AY138" s="828">
        <f t="shared" si="246"/>
        <v>0</v>
      </c>
      <c r="AZ138" s="466" t="s">
        <v>1314</v>
      </c>
      <c r="BA138" s="157">
        <v>0</v>
      </c>
      <c r="BB138" s="827" t="str">
        <f t="shared" ref="BB138:BB145" si="269">+AN138</f>
        <v>Implementación de los diferentes flujos de correspondencia, que incluya impresión de stickers, firma digital de documentos, estampado cronológico, reconocimiento OCR e integración con los flujos de PQRSD y Tutelas</v>
      </c>
      <c r="BC138" s="850">
        <v>0</v>
      </c>
      <c r="BD138" s="686">
        <v>0</v>
      </c>
      <c r="BE138" s="850">
        <v>0</v>
      </c>
      <c r="BF138" s="828" t="e">
        <f t="shared" si="247"/>
        <v>#DIV/0!</v>
      </c>
      <c r="BG138" s="828" t="e">
        <f t="shared" si="248"/>
        <v>#DIV/0!</v>
      </c>
      <c r="BH138" s="828">
        <f t="shared" si="249"/>
        <v>0</v>
      </c>
      <c r="BI138" s="828">
        <f t="shared" si="250"/>
        <v>0</v>
      </c>
      <c r="BJ138" s="829" t="s">
        <v>1661</v>
      </c>
      <c r="BK138" s="157">
        <f>0/5</f>
        <v>0</v>
      </c>
      <c r="BL138" s="827" t="str">
        <f t="shared" ref="BL138:BL151" si="270">+AN138</f>
        <v>Implementación de los diferentes flujos de correspondencia, que incluya impresión de stickers, firma digital de documentos, estampado cronológico, reconocimiento OCR e integración con los flujos de PQRSD y Tutelas</v>
      </c>
      <c r="BM138" s="850">
        <v>160000000</v>
      </c>
      <c r="BN138" s="959">
        <v>0</v>
      </c>
      <c r="BO138" s="955">
        <v>0</v>
      </c>
      <c r="BP138" s="828" t="e">
        <f t="shared" si="251"/>
        <v>#DIV/0!</v>
      </c>
      <c r="BQ138" s="828">
        <f t="shared" si="252"/>
        <v>0</v>
      </c>
      <c r="BR138" s="828">
        <f t="shared" si="253"/>
        <v>0</v>
      </c>
      <c r="BS138" s="828">
        <f t="shared" si="254"/>
        <v>0</v>
      </c>
      <c r="BT138" s="466" t="s">
        <v>1824</v>
      </c>
      <c r="BU138" s="159">
        <v>1</v>
      </c>
      <c r="BV138" s="827" t="str">
        <f t="shared" ref="BV138:BV151" si="271">+AN138</f>
        <v>Implementación de los diferentes flujos de correspondencia, que incluya impresión de stickers, firma digital de documentos, estampado cronológico, reconocimiento OCR e integración con los flujos de PQRSD y Tutelas</v>
      </c>
      <c r="BW138" s="850">
        <v>240000000</v>
      </c>
      <c r="BX138" s="835"/>
      <c r="BY138" s="835"/>
      <c r="BZ138" s="826">
        <f t="shared" si="255"/>
        <v>0</v>
      </c>
      <c r="CA138" s="826">
        <f t="shared" si="256"/>
        <v>0</v>
      </c>
      <c r="CB138" s="826">
        <f t="shared" si="257"/>
        <v>0</v>
      </c>
      <c r="CC138" s="826">
        <f t="shared" si="258"/>
        <v>0</v>
      </c>
      <c r="CD138" s="826"/>
      <c r="CE138" s="640" t="str">
        <f t="shared" si="259"/>
        <v>No Prog ni Ejec</v>
      </c>
      <c r="CF138" s="640" t="str">
        <f t="shared" si="260"/>
        <v>No Prog ni Ejec</v>
      </c>
      <c r="CG138" s="640" t="str">
        <f t="shared" si="261"/>
        <v>No Prog ni Ejec</v>
      </c>
      <c r="CH138" s="640" t="str">
        <f t="shared" si="262"/>
        <v>No Prog ni Ejec</v>
      </c>
      <c r="CI138" s="640" t="str">
        <f t="shared" si="263"/>
        <v>No Prog ni Ejec</v>
      </c>
      <c r="CJ138" s="640">
        <f t="shared" si="264"/>
        <v>0</v>
      </c>
      <c r="CK138" s="640">
        <f t="shared" si="265"/>
        <v>0</v>
      </c>
      <c r="CL138" s="698">
        <f t="shared" si="266"/>
        <v>0</v>
      </c>
      <c r="CM138" s="128">
        <f t="shared" ref="CM138:CM179" si="272">+AC138-AS138-BC138-BM138-BW138</f>
        <v>0</v>
      </c>
      <c r="CW138" s="122">
        <v>6</v>
      </c>
    </row>
    <row r="139" spans="1:107" s="70" customFormat="1" ht="342" customHeight="1" x14ac:dyDescent="0.2">
      <c r="A139" s="834">
        <v>11600</v>
      </c>
      <c r="B139" s="827" t="s">
        <v>4</v>
      </c>
      <c r="C139" s="827" t="s">
        <v>331</v>
      </c>
      <c r="D139" s="845"/>
      <c r="E139" s="845"/>
      <c r="F139" s="845" t="s">
        <v>1020</v>
      </c>
      <c r="G139" s="845"/>
      <c r="H139" s="845"/>
      <c r="I139" s="845"/>
      <c r="J139" s="845"/>
      <c r="K139" s="845"/>
      <c r="L139" s="845"/>
      <c r="M139" s="845"/>
      <c r="N139" s="845" t="s">
        <v>1020</v>
      </c>
      <c r="O139" s="845"/>
      <c r="P139" s="845"/>
      <c r="Q139" s="827" t="s">
        <v>204</v>
      </c>
      <c r="R139" s="827" t="s">
        <v>204</v>
      </c>
      <c r="S139" s="835" t="s">
        <v>100</v>
      </c>
      <c r="T139" s="827" t="s">
        <v>94</v>
      </c>
      <c r="U139" s="827" t="s">
        <v>204</v>
      </c>
      <c r="V139" s="827" t="s">
        <v>204</v>
      </c>
      <c r="W139" s="835" t="s">
        <v>1112</v>
      </c>
      <c r="X139" s="827" t="s">
        <v>1102</v>
      </c>
      <c r="Y139" s="845" t="s">
        <v>391</v>
      </c>
      <c r="Z139" s="96">
        <v>1</v>
      </c>
      <c r="AA139" s="835" t="s">
        <v>1101</v>
      </c>
      <c r="AB139" s="827" t="s">
        <v>355</v>
      </c>
      <c r="AC139" s="850">
        <v>305665660.84805673</v>
      </c>
      <c r="AD139" s="832">
        <v>1</v>
      </c>
      <c r="AE139" s="827" t="s">
        <v>20</v>
      </c>
      <c r="AF139" s="827" t="s">
        <v>22</v>
      </c>
      <c r="AG139" s="827" t="s">
        <v>204</v>
      </c>
      <c r="AH139" s="827" t="s">
        <v>635</v>
      </c>
      <c r="AI139" s="827" t="s">
        <v>81</v>
      </c>
      <c r="AJ139" s="827" t="s">
        <v>204</v>
      </c>
      <c r="AK139" s="827" t="s">
        <v>1144</v>
      </c>
      <c r="AL139" s="827" t="s">
        <v>44</v>
      </c>
      <c r="AM139" s="96">
        <v>1</v>
      </c>
      <c r="AN139" s="827" t="str">
        <f>+AB139</f>
        <v>Estructuración y elaboración del Plan Estratégico de TI</v>
      </c>
      <c r="AO139" s="833">
        <f t="shared" si="267"/>
        <v>305665660.84805673</v>
      </c>
      <c r="AP139" s="860" t="s">
        <v>46</v>
      </c>
      <c r="AQ139" s="160">
        <f>0/3</f>
        <v>0</v>
      </c>
      <c r="AR139" s="827" t="str">
        <f t="shared" si="268"/>
        <v>Estructuración y elaboración del Plan Estratégico de TI</v>
      </c>
      <c r="AS139" s="850">
        <f>+AO139*0</f>
        <v>0</v>
      </c>
      <c r="AT139" s="835">
        <v>0</v>
      </c>
      <c r="AU139" s="850">
        <v>0</v>
      </c>
      <c r="AV139" s="828" t="e">
        <f t="shared" si="243"/>
        <v>#DIV/0!</v>
      </c>
      <c r="AW139" s="828" t="e">
        <f t="shared" si="244"/>
        <v>#DIV/0!</v>
      </c>
      <c r="AX139" s="828">
        <f t="shared" si="245"/>
        <v>0</v>
      </c>
      <c r="AY139" s="828">
        <f t="shared" si="246"/>
        <v>0</v>
      </c>
      <c r="AZ139" s="466" t="s">
        <v>1314</v>
      </c>
      <c r="BA139" s="160">
        <f>0/3</f>
        <v>0</v>
      </c>
      <c r="BB139" s="827" t="str">
        <f t="shared" si="269"/>
        <v>Estructuración y elaboración del Plan Estratégico de TI</v>
      </c>
      <c r="BC139" s="850">
        <v>0</v>
      </c>
      <c r="BD139" s="743">
        <v>0</v>
      </c>
      <c r="BE139" s="850">
        <v>0</v>
      </c>
      <c r="BF139" s="828" t="e">
        <f t="shared" si="247"/>
        <v>#DIV/0!</v>
      </c>
      <c r="BG139" s="828" t="e">
        <f t="shared" si="248"/>
        <v>#DIV/0!</v>
      </c>
      <c r="BH139" s="828">
        <f t="shared" si="249"/>
        <v>0</v>
      </c>
      <c r="BI139" s="828">
        <f t="shared" si="250"/>
        <v>0</v>
      </c>
      <c r="BJ139" s="829" t="s">
        <v>1661</v>
      </c>
      <c r="BK139" s="160">
        <v>0</v>
      </c>
      <c r="BL139" s="827" t="str">
        <f t="shared" si="270"/>
        <v>Estructuración y elaboración del Plan Estratégico de TI</v>
      </c>
      <c r="BM139" s="850">
        <f>+AC139*0.67</f>
        <v>204795992.76819801</v>
      </c>
      <c r="BN139" s="835">
        <v>0</v>
      </c>
      <c r="BO139" s="955">
        <v>7647000</v>
      </c>
      <c r="BP139" s="828" t="e">
        <f t="shared" si="251"/>
        <v>#DIV/0!</v>
      </c>
      <c r="BQ139" s="828">
        <f t="shared" si="252"/>
        <v>3.7339597795037878E-2</v>
      </c>
      <c r="BR139" s="828">
        <f t="shared" si="253"/>
        <v>0</v>
      </c>
      <c r="BS139" s="828">
        <f t="shared" si="254"/>
        <v>2.5017530522675378E-2</v>
      </c>
      <c r="BT139" s="466" t="s">
        <v>1825</v>
      </c>
      <c r="BU139" s="160">
        <v>1</v>
      </c>
      <c r="BV139" s="827" t="str">
        <f t="shared" si="271"/>
        <v>Estructuración y elaboración del Plan Estratégico de TI</v>
      </c>
      <c r="BW139" s="850">
        <f>+AC139*0.33</f>
        <v>100869668.07985872</v>
      </c>
      <c r="BX139" s="835"/>
      <c r="BY139" s="835"/>
      <c r="BZ139" s="826">
        <f t="shared" si="255"/>
        <v>0</v>
      </c>
      <c r="CA139" s="826">
        <f t="shared" si="256"/>
        <v>0</v>
      </c>
      <c r="CB139" s="826">
        <f t="shared" si="257"/>
        <v>0</v>
      </c>
      <c r="CC139" s="826">
        <f t="shared" si="258"/>
        <v>2.5017530522675378E-2</v>
      </c>
      <c r="CD139" s="826"/>
      <c r="CE139" s="640" t="str">
        <f t="shared" si="259"/>
        <v>No Prog ni Ejec</v>
      </c>
      <c r="CF139" s="640" t="str">
        <f t="shared" si="260"/>
        <v>No Prog ni Ejec</v>
      </c>
      <c r="CG139" s="640" t="str">
        <f t="shared" si="261"/>
        <v>No Prog ni Ejec</v>
      </c>
      <c r="CH139" s="640" t="str">
        <f t="shared" si="262"/>
        <v>No Prog ni Ejec</v>
      </c>
      <c r="CI139" s="640" t="str">
        <f t="shared" si="263"/>
        <v>No Prog ni Ejec</v>
      </c>
      <c r="CJ139" s="640">
        <f t="shared" si="264"/>
        <v>3.7339597795037878E-2</v>
      </c>
      <c r="CK139" s="640">
        <f t="shared" si="265"/>
        <v>0</v>
      </c>
      <c r="CL139" s="698">
        <f t="shared" si="266"/>
        <v>0</v>
      </c>
      <c r="CM139" s="128">
        <f t="shared" si="272"/>
        <v>0</v>
      </c>
      <c r="CZ139" s="70">
        <v>9</v>
      </c>
    </row>
    <row r="140" spans="1:107" s="70" customFormat="1" ht="409.6" customHeight="1" x14ac:dyDescent="0.2">
      <c r="A140" s="834">
        <v>11600</v>
      </c>
      <c r="B140" s="827" t="s">
        <v>4</v>
      </c>
      <c r="C140" s="827" t="s">
        <v>330</v>
      </c>
      <c r="D140" s="845"/>
      <c r="E140" s="845" t="s">
        <v>1020</v>
      </c>
      <c r="F140" s="845" t="s">
        <v>1020</v>
      </c>
      <c r="G140" s="845"/>
      <c r="H140" s="845"/>
      <c r="I140" s="845"/>
      <c r="J140" s="845"/>
      <c r="K140" s="845"/>
      <c r="L140" s="845"/>
      <c r="M140" s="845"/>
      <c r="N140" s="845"/>
      <c r="O140" s="845"/>
      <c r="P140" s="845"/>
      <c r="Q140" s="827" t="s">
        <v>204</v>
      </c>
      <c r="R140" s="827" t="s">
        <v>204</v>
      </c>
      <c r="S140" s="835" t="s">
        <v>100</v>
      </c>
      <c r="T140" s="827" t="s">
        <v>94</v>
      </c>
      <c r="U140" s="827" t="s">
        <v>204</v>
      </c>
      <c r="V140" s="827" t="s">
        <v>204</v>
      </c>
      <c r="W140" s="835" t="s">
        <v>575</v>
      </c>
      <c r="X140" s="827" t="s">
        <v>406</v>
      </c>
      <c r="Y140" s="838" t="s">
        <v>51</v>
      </c>
      <c r="Z140" s="157">
        <v>1</v>
      </c>
      <c r="AA140" s="835" t="s">
        <v>574</v>
      </c>
      <c r="AB140" s="827" t="s">
        <v>349</v>
      </c>
      <c r="AC140" s="850">
        <v>125768769.569883</v>
      </c>
      <c r="AD140" s="832">
        <v>1</v>
      </c>
      <c r="AE140" s="827" t="s">
        <v>17</v>
      </c>
      <c r="AF140" s="827" t="s">
        <v>27</v>
      </c>
      <c r="AG140" s="827" t="s">
        <v>204</v>
      </c>
      <c r="AH140" s="827" t="s">
        <v>635</v>
      </c>
      <c r="AI140" s="827" t="s">
        <v>82</v>
      </c>
      <c r="AJ140" s="827" t="s">
        <v>1266</v>
      </c>
      <c r="AK140" s="827" t="s">
        <v>429</v>
      </c>
      <c r="AL140" s="827" t="s">
        <v>44</v>
      </c>
      <c r="AM140" s="159">
        <v>1</v>
      </c>
      <c r="AN140" s="827" t="str">
        <f t="shared" ref="AN140:AN151" si="273">+AB140</f>
        <v>Contratar el servicio de documentación de los servicios TI y Sistemas de Información</v>
      </c>
      <c r="AO140" s="833">
        <f t="shared" si="267"/>
        <v>125768769.569883</v>
      </c>
      <c r="AP140" s="860" t="s">
        <v>46</v>
      </c>
      <c r="AQ140" s="157">
        <v>0</v>
      </c>
      <c r="AR140" s="827" t="str">
        <f t="shared" si="268"/>
        <v>Contratar el servicio de documentación de los servicios TI y Sistemas de Información</v>
      </c>
      <c r="AS140" s="850">
        <f>+AO140*0</f>
        <v>0</v>
      </c>
      <c r="AT140" s="157">
        <v>0</v>
      </c>
      <c r="AU140" s="850">
        <v>0</v>
      </c>
      <c r="AV140" s="828" t="e">
        <f t="shared" si="243"/>
        <v>#DIV/0!</v>
      </c>
      <c r="AW140" s="828" t="e">
        <f t="shared" si="244"/>
        <v>#DIV/0!</v>
      </c>
      <c r="AX140" s="828">
        <f t="shared" si="245"/>
        <v>0</v>
      </c>
      <c r="AY140" s="828">
        <f t="shared" si="246"/>
        <v>0</v>
      </c>
      <c r="AZ140" s="466" t="s">
        <v>1314</v>
      </c>
      <c r="BA140" s="157">
        <v>0</v>
      </c>
      <c r="BB140" s="827" t="str">
        <f t="shared" si="269"/>
        <v>Contratar el servicio de documentación de los servicios TI y Sistemas de Información</v>
      </c>
      <c r="BC140" s="850">
        <v>0</v>
      </c>
      <c r="BD140" s="686">
        <v>0</v>
      </c>
      <c r="BE140" s="850">
        <v>0</v>
      </c>
      <c r="BF140" s="828" t="e">
        <f t="shared" si="247"/>
        <v>#DIV/0!</v>
      </c>
      <c r="BG140" s="828" t="e">
        <f t="shared" si="248"/>
        <v>#DIV/0!</v>
      </c>
      <c r="BH140" s="828">
        <f t="shared" si="249"/>
        <v>0</v>
      </c>
      <c r="BI140" s="828">
        <f t="shared" si="250"/>
        <v>0</v>
      </c>
      <c r="BJ140" s="829" t="s">
        <v>1661</v>
      </c>
      <c r="BK140" s="157">
        <v>0.2</v>
      </c>
      <c r="BL140" s="827" t="str">
        <f t="shared" si="270"/>
        <v>Contratar el servicio de documentación de los servicios TI y Sistemas de Información</v>
      </c>
      <c r="BM140" s="850">
        <f>+AC140*0.6</f>
        <v>75461261.741929799</v>
      </c>
      <c r="BN140" s="157">
        <f>4/4</f>
        <v>1</v>
      </c>
      <c r="BO140" s="955">
        <v>0</v>
      </c>
      <c r="BP140" s="828">
        <f t="shared" si="251"/>
        <v>5</v>
      </c>
      <c r="BQ140" s="828">
        <f t="shared" si="252"/>
        <v>0</v>
      </c>
      <c r="BR140" s="828">
        <f t="shared" si="253"/>
        <v>1</v>
      </c>
      <c r="BS140" s="828">
        <f t="shared" si="254"/>
        <v>0</v>
      </c>
      <c r="BT140" s="466" t="s">
        <v>1859</v>
      </c>
      <c r="BU140" s="159">
        <v>0.8</v>
      </c>
      <c r="BV140" s="827" t="str">
        <f t="shared" si="271"/>
        <v>Contratar el servicio de documentación de los servicios TI y Sistemas de Información</v>
      </c>
      <c r="BW140" s="850">
        <f>+AC140*0.4</f>
        <v>50307507.827953205</v>
      </c>
      <c r="BX140" s="835"/>
      <c r="BY140" s="835"/>
      <c r="BZ140" s="826">
        <f t="shared" si="255"/>
        <v>0</v>
      </c>
      <c r="CA140" s="826">
        <f t="shared" si="256"/>
        <v>0</v>
      </c>
      <c r="CB140" s="826">
        <f t="shared" si="257"/>
        <v>1</v>
      </c>
      <c r="CC140" s="826">
        <f t="shared" si="258"/>
        <v>0</v>
      </c>
      <c r="CD140" s="826"/>
      <c r="CE140" s="640" t="str">
        <f t="shared" si="259"/>
        <v>No Prog ni Ejec</v>
      </c>
      <c r="CF140" s="640" t="str">
        <f t="shared" si="260"/>
        <v>No Prog ni Ejec</v>
      </c>
      <c r="CG140" s="640" t="str">
        <f t="shared" si="261"/>
        <v>No Prog ni Ejec</v>
      </c>
      <c r="CH140" s="640" t="str">
        <f t="shared" si="262"/>
        <v>No Prog ni Ejec</v>
      </c>
      <c r="CI140" s="640">
        <f t="shared" si="263"/>
        <v>5</v>
      </c>
      <c r="CJ140" s="640">
        <f t="shared" si="264"/>
        <v>0</v>
      </c>
      <c r="CK140" s="640">
        <f t="shared" si="265"/>
        <v>0</v>
      </c>
      <c r="CL140" s="698">
        <f t="shared" si="266"/>
        <v>0</v>
      </c>
      <c r="CM140" s="128">
        <f t="shared" si="272"/>
        <v>0</v>
      </c>
      <c r="CW140" s="122">
        <v>6</v>
      </c>
    </row>
    <row r="141" spans="1:107" s="70" customFormat="1" ht="170.25" customHeight="1" x14ac:dyDescent="0.2">
      <c r="A141" s="834">
        <v>11600</v>
      </c>
      <c r="B141" s="827" t="s">
        <v>4</v>
      </c>
      <c r="C141" s="827" t="s">
        <v>336</v>
      </c>
      <c r="D141" s="845" t="s">
        <v>1020</v>
      </c>
      <c r="E141" s="845"/>
      <c r="F141" s="845"/>
      <c r="G141" s="845"/>
      <c r="H141" s="845"/>
      <c r="I141" s="845"/>
      <c r="J141" s="845"/>
      <c r="K141" s="845"/>
      <c r="L141" s="845"/>
      <c r="M141" s="845"/>
      <c r="N141" s="845"/>
      <c r="O141" s="845"/>
      <c r="P141" s="845"/>
      <c r="Q141" s="827" t="s">
        <v>1126</v>
      </c>
      <c r="R141" s="827" t="s">
        <v>1132</v>
      </c>
      <c r="S141" s="835" t="s">
        <v>100</v>
      </c>
      <c r="T141" s="827" t="s">
        <v>94</v>
      </c>
      <c r="U141" s="827" t="s">
        <v>204</v>
      </c>
      <c r="V141" s="827" t="s">
        <v>204</v>
      </c>
      <c r="W141" s="835" t="s">
        <v>1113</v>
      </c>
      <c r="X141" s="827" t="s">
        <v>1058</v>
      </c>
      <c r="Y141" s="838" t="s">
        <v>391</v>
      </c>
      <c r="Z141" s="66">
        <v>3</v>
      </c>
      <c r="AA141" s="835" t="s">
        <v>1103</v>
      </c>
      <c r="AB141" s="827" t="s">
        <v>1057</v>
      </c>
      <c r="AC141" s="831">
        <v>0</v>
      </c>
      <c r="AD141" s="832">
        <v>1</v>
      </c>
      <c r="AE141" s="827" t="s">
        <v>17</v>
      </c>
      <c r="AF141" s="827" t="s">
        <v>295</v>
      </c>
      <c r="AG141" s="827" t="s">
        <v>204</v>
      </c>
      <c r="AH141" s="827" t="s">
        <v>635</v>
      </c>
      <c r="AI141" s="827" t="s">
        <v>1048</v>
      </c>
      <c r="AJ141" s="827" t="s">
        <v>1277</v>
      </c>
      <c r="AK141" s="827" t="s">
        <v>1059</v>
      </c>
      <c r="AL141" s="827" t="s">
        <v>204</v>
      </c>
      <c r="AM141" s="67">
        <v>3</v>
      </c>
      <c r="AN141" s="827" t="str">
        <f>+AB141</f>
        <v>Realizar reuniones de autocontrol y seguimiento a los procesos que evidencien el monitoreo a los riesgos, indicadores, planes de mejoramiento, manuales y documentos asociados</v>
      </c>
      <c r="AO141" s="833">
        <f t="shared" si="267"/>
        <v>0</v>
      </c>
      <c r="AP141" s="860" t="s">
        <v>48</v>
      </c>
      <c r="AQ141" s="67">
        <v>0</v>
      </c>
      <c r="AR141" s="827" t="str">
        <f t="shared" si="268"/>
        <v>Realizar reuniones de autocontrol y seguimiento a los procesos que evidencien el monitoreo a los riesgos, indicadores, planes de mejoramiento, manuales y documentos asociados</v>
      </c>
      <c r="AS141" s="831">
        <f>+AO141/4</f>
        <v>0</v>
      </c>
      <c r="AT141" s="835">
        <v>0</v>
      </c>
      <c r="AU141" s="850">
        <v>0</v>
      </c>
      <c r="AV141" s="828" t="e">
        <f t="shared" si="243"/>
        <v>#DIV/0!</v>
      </c>
      <c r="AW141" s="828" t="e">
        <f t="shared" si="244"/>
        <v>#DIV/0!</v>
      </c>
      <c r="AX141" s="828">
        <f t="shared" si="245"/>
        <v>0</v>
      </c>
      <c r="AY141" s="828" t="e">
        <f t="shared" si="246"/>
        <v>#DIV/0!</v>
      </c>
      <c r="AZ141" s="466" t="s">
        <v>1314</v>
      </c>
      <c r="BA141" s="67">
        <v>1</v>
      </c>
      <c r="BB141" s="827" t="str">
        <f t="shared" si="269"/>
        <v>Realizar reuniones de autocontrol y seguimiento a los procesos que evidencien el monitoreo a los riesgos, indicadores, planes de mejoramiento, manuales y documentos asociados</v>
      </c>
      <c r="BC141" s="831">
        <f>+AO141/4</f>
        <v>0</v>
      </c>
      <c r="BD141" s="740">
        <v>1</v>
      </c>
      <c r="BE141" s="850">
        <v>0</v>
      </c>
      <c r="BF141" s="828">
        <f t="shared" si="247"/>
        <v>1</v>
      </c>
      <c r="BG141" s="828" t="e">
        <f t="shared" si="248"/>
        <v>#DIV/0!</v>
      </c>
      <c r="BH141" s="828">
        <f t="shared" si="249"/>
        <v>0.33333333333333331</v>
      </c>
      <c r="BI141" s="828" t="e">
        <f t="shared" si="250"/>
        <v>#DIV/0!</v>
      </c>
      <c r="BJ141" s="899" t="s">
        <v>1783</v>
      </c>
      <c r="BK141" s="67">
        <v>1</v>
      </c>
      <c r="BL141" s="827" t="str">
        <f t="shared" si="270"/>
        <v>Realizar reuniones de autocontrol y seguimiento a los procesos que evidencien el monitoreo a los riesgos, indicadores, planes de mejoramiento, manuales y documentos asociados</v>
      </c>
      <c r="BM141" s="831">
        <f>+AO141/4</f>
        <v>0</v>
      </c>
      <c r="BN141" s="835">
        <v>1</v>
      </c>
      <c r="BO141" s="955">
        <v>0</v>
      </c>
      <c r="BP141" s="828">
        <f t="shared" si="251"/>
        <v>1</v>
      </c>
      <c r="BQ141" s="828" t="e">
        <f t="shared" si="252"/>
        <v>#DIV/0!</v>
      </c>
      <c r="BR141" s="828">
        <f t="shared" si="253"/>
        <v>0.66666666666666663</v>
      </c>
      <c r="BS141" s="828" t="e">
        <f t="shared" si="254"/>
        <v>#DIV/0!</v>
      </c>
      <c r="BT141" s="466" t="s">
        <v>1826</v>
      </c>
      <c r="BU141" s="67">
        <v>1</v>
      </c>
      <c r="BV141" s="827" t="str">
        <f t="shared" si="271"/>
        <v>Realizar reuniones de autocontrol y seguimiento a los procesos que evidencien el monitoreo a los riesgos, indicadores, planes de mejoramiento, manuales y documentos asociados</v>
      </c>
      <c r="BW141" s="831">
        <f>+AO141/4</f>
        <v>0</v>
      </c>
      <c r="BX141" s="835"/>
      <c r="BY141" s="835"/>
      <c r="BZ141" s="826">
        <f t="shared" si="255"/>
        <v>0</v>
      </c>
      <c r="CA141" s="826" t="e">
        <f t="shared" si="256"/>
        <v>#DIV/0!</v>
      </c>
      <c r="CB141" s="826">
        <f t="shared" si="257"/>
        <v>0.66666666666666663</v>
      </c>
      <c r="CC141" s="826" t="e">
        <f t="shared" si="258"/>
        <v>#DIV/0!</v>
      </c>
      <c r="CD141" s="826"/>
      <c r="CE141" s="640" t="str">
        <f t="shared" si="259"/>
        <v>No Prog ni Ejec</v>
      </c>
      <c r="CF141" s="640" t="str">
        <f t="shared" si="260"/>
        <v>No Prog ni Ejec</v>
      </c>
      <c r="CG141" s="640">
        <f t="shared" si="261"/>
        <v>1</v>
      </c>
      <c r="CH141" s="640" t="str">
        <f t="shared" si="262"/>
        <v>No Prog ni Ejec</v>
      </c>
      <c r="CI141" s="640">
        <f t="shared" si="263"/>
        <v>1</v>
      </c>
      <c r="CJ141" s="640" t="str">
        <f t="shared" si="264"/>
        <v>No Prog ni Ejec</v>
      </c>
      <c r="CK141" s="640">
        <f t="shared" si="265"/>
        <v>0</v>
      </c>
      <c r="CL141" s="698" t="str">
        <f t="shared" si="266"/>
        <v>No Prog ni Ejec</v>
      </c>
      <c r="CM141" s="128">
        <f t="shared" si="272"/>
        <v>0</v>
      </c>
      <c r="CR141" s="122">
        <v>1</v>
      </c>
      <c r="CS141" s="122"/>
      <c r="CT141" s="122"/>
      <c r="CU141" s="122"/>
      <c r="CV141" s="122"/>
      <c r="CW141" s="122"/>
      <c r="CX141" s="122"/>
      <c r="CY141" s="122"/>
      <c r="CZ141" s="122"/>
      <c r="DA141" s="122"/>
      <c r="DB141" s="122"/>
      <c r="DC141" s="122"/>
    </row>
    <row r="142" spans="1:107" s="70" customFormat="1" ht="127.5" x14ac:dyDescent="0.2">
      <c r="A142" s="834">
        <v>11600</v>
      </c>
      <c r="B142" s="827" t="s">
        <v>4</v>
      </c>
      <c r="C142" s="827" t="s">
        <v>336</v>
      </c>
      <c r="D142" s="845" t="s">
        <v>1020</v>
      </c>
      <c r="E142" s="845"/>
      <c r="F142" s="845"/>
      <c r="G142" s="845"/>
      <c r="H142" s="845"/>
      <c r="I142" s="845"/>
      <c r="J142" s="845"/>
      <c r="K142" s="845"/>
      <c r="L142" s="845"/>
      <c r="M142" s="845"/>
      <c r="N142" s="845"/>
      <c r="O142" s="845"/>
      <c r="P142" s="845"/>
      <c r="Q142" s="827" t="s">
        <v>1129</v>
      </c>
      <c r="R142" s="827" t="s">
        <v>1134</v>
      </c>
      <c r="S142" s="835" t="s">
        <v>100</v>
      </c>
      <c r="T142" s="827" t="s">
        <v>94</v>
      </c>
      <c r="U142" s="827" t="s">
        <v>204</v>
      </c>
      <c r="V142" s="827" t="s">
        <v>204</v>
      </c>
      <c r="W142" s="835" t="s">
        <v>1114</v>
      </c>
      <c r="X142" s="827" t="s">
        <v>510</v>
      </c>
      <c r="Y142" s="340" t="s">
        <v>391</v>
      </c>
      <c r="Z142" s="491">
        <v>1</v>
      </c>
      <c r="AA142" s="835" t="s">
        <v>1104</v>
      </c>
      <c r="AB142" s="827" t="s">
        <v>628</v>
      </c>
      <c r="AC142" s="831">
        <v>0</v>
      </c>
      <c r="AD142" s="832">
        <v>1</v>
      </c>
      <c r="AE142" s="827" t="s">
        <v>17</v>
      </c>
      <c r="AF142" s="827" t="s">
        <v>23</v>
      </c>
      <c r="AG142" s="827" t="s">
        <v>204</v>
      </c>
      <c r="AH142" s="827" t="s">
        <v>635</v>
      </c>
      <c r="AI142" s="827" t="s">
        <v>82</v>
      </c>
      <c r="AJ142" s="827" t="s">
        <v>1278</v>
      </c>
      <c r="AK142" s="827" t="s">
        <v>513</v>
      </c>
      <c r="AL142" s="827" t="s">
        <v>42</v>
      </c>
      <c r="AM142" s="491">
        <v>1</v>
      </c>
      <c r="AN142" s="827" t="str">
        <f t="shared" si="273"/>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O142" s="72">
        <f t="shared" si="267"/>
        <v>0</v>
      </c>
      <c r="AP142" s="860" t="s">
        <v>48</v>
      </c>
      <c r="AQ142" s="491">
        <v>1</v>
      </c>
      <c r="AR142" s="827" t="str">
        <f t="shared" si="268"/>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AS142" s="831">
        <v>0</v>
      </c>
      <c r="AT142" s="835">
        <v>1</v>
      </c>
      <c r="AU142" s="850">
        <v>0</v>
      </c>
      <c r="AV142" s="828">
        <f t="shared" si="243"/>
        <v>1</v>
      </c>
      <c r="AW142" s="828" t="e">
        <f t="shared" si="244"/>
        <v>#DIV/0!</v>
      </c>
      <c r="AX142" s="828">
        <f t="shared" si="245"/>
        <v>1</v>
      </c>
      <c r="AY142" s="828" t="e">
        <f t="shared" si="246"/>
        <v>#DIV/0!</v>
      </c>
      <c r="AZ142" s="466" t="s">
        <v>1745</v>
      </c>
      <c r="BA142" s="900">
        <v>0</v>
      </c>
      <c r="BB142" s="827" t="str">
        <f t="shared" si="269"/>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C142" s="831">
        <v>0</v>
      </c>
      <c r="BD142" s="901">
        <v>0</v>
      </c>
      <c r="BE142" s="850">
        <v>0</v>
      </c>
      <c r="BF142" s="828" t="e">
        <f t="shared" si="247"/>
        <v>#DIV/0!</v>
      </c>
      <c r="BG142" s="828" t="e">
        <f t="shared" si="248"/>
        <v>#DIV/0!</v>
      </c>
      <c r="BH142" s="828">
        <f t="shared" si="249"/>
        <v>1</v>
      </c>
      <c r="BI142" s="828" t="e">
        <f t="shared" si="250"/>
        <v>#DIV/0!</v>
      </c>
      <c r="BJ142" s="899" t="s">
        <v>1784</v>
      </c>
      <c r="BK142" s="900">
        <v>0</v>
      </c>
      <c r="BL142" s="827" t="str">
        <f t="shared" si="270"/>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M142" s="831">
        <v>0</v>
      </c>
      <c r="BN142" s="835">
        <v>0</v>
      </c>
      <c r="BO142" s="955">
        <v>0</v>
      </c>
      <c r="BP142" s="828" t="e">
        <f t="shared" ref="BP142:BP147" si="274">+(BN142/BK142)</f>
        <v>#DIV/0!</v>
      </c>
      <c r="BQ142" s="828" t="e">
        <f t="shared" ref="BQ142:BQ147" si="275">+(BO142/BM142)</f>
        <v>#DIV/0!</v>
      </c>
      <c r="BR142" s="828">
        <f t="shared" ref="BR142:BR147" si="276">+(BD142+AT142+BN142)/AM142</f>
        <v>1</v>
      </c>
      <c r="BS142" s="828" t="e">
        <f t="shared" ref="BS142:BS147" si="277">+(BE142+AU142+BO142)/AO142</f>
        <v>#DIV/0!</v>
      </c>
      <c r="BT142" s="466" t="s">
        <v>1827</v>
      </c>
      <c r="BU142" s="900">
        <v>0</v>
      </c>
      <c r="BV142" s="827" t="str">
        <f t="shared" si="271"/>
        <v>Poner en producción una herramienta tecnológica para la medición de la oportunidad de respuesta a las PQRSD, para así dar cumplimiento a lo establecido en la Resolución 668 de 2018 de la ADRES en su artículo 35 numeral 3 y con base en los requerimientos de la Dirección Administrativa y Financiera</v>
      </c>
      <c r="BW142" s="831">
        <v>0</v>
      </c>
      <c r="BX142" s="835"/>
      <c r="BY142" s="835"/>
      <c r="BZ142" s="826" t="e">
        <f t="shared" ref="BZ142:BZ148" si="278">+(BX142/BU142)</f>
        <v>#DIV/0!</v>
      </c>
      <c r="CA142" s="826" t="e">
        <f t="shared" ref="CA142:CA148" si="279">+(BY142/BW142)</f>
        <v>#DIV/0!</v>
      </c>
      <c r="CB142" s="826">
        <f t="shared" ref="CB142:CB148" si="280">+(BD142+AT142+BN142+BX142)/AM142</f>
        <v>1</v>
      </c>
      <c r="CC142" s="826" t="e">
        <f t="shared" ref="CC142:CC148" si="281">+(BE142+AU142+BO142+BY142)/AO142</f>
        <v>#DIV/0!</v>
      </c>
      <c r="CD142" s="826"/>
      <c r="CE142" s="640">
        <f t="shared" ref="CE142:CE148" si="282">IF(AND(AQ142=0,AT142=0),"No Prog ni Ejec",IF(AQ142=0,CONCATENATE("No Prog, Ejec=  ",AT142),AT142/AQ142))</f>
        <v>1</v>
      </c>
      <c r="CF142" s="640" t="str">
        <f t="shared" ref="CF142:CF148" si="283">IF(AND(AS142=0,AU142=0),"No Prog ni Ejec",IF(AS142=0,CONCATENATE("No Prog, Ejec=  ",AU142),AU142/AS142))</f>
        <v>No Prog ni Ejec</v>
      </c>
      <c r="CG142" s="640" t="str">
        <f t="shared" ref="CG142:CG148" si="284">IF(AND(BA142=0,BD142=0),"No Prog ni Ejec",IF(BA142=0,CONCATENATE("No Prog, Ejec=  ",BD142),BD142/BA142))</f>
        <v>No Prog ni Ejec</v>
      </c>
      <c r="CH142" s="640" t="str">
        <f t="shared" ref="CH142:CH148" si="285">IF(AND(BC142=0,BE142=0),"No Prog ni Ejec",IF(BC142=0,CONCATENATE("No Prog, Ejec=  ",BE142),BE142/BC142))</f>
        <v>No Prog ni Ejec</v>
      </c>
      <c r="CI142" s="640" t="str">
        <f t="shared" ref="CI142:CI148" si="286">IF(AND(BK142=0,BN142=0),"No Prog ni Ejec",IF(BK142=0,CONCATENATE("No Prog, Ejec=  ",BN142),BN142/BK142))</f>
        <v>No Prog ni Ejec</v>
      </c>
      <c r="CJ142" s="640" t="str">
        <f t="shared" ref="CJ142:CJ148" si="287">IF(AND(BM142=0,BO142=0),"No Prog ni Ejec",IF(BM142=0,CONCATENATE("No Prog, Ejec=  ",BO142),BO142/BM142))</f>
        <v>No Prog ni Ejec</v>
      </c>
      <c r="CK142" s="640" t="str">
        <f t="shared" ref="CK142:CK148" si="288">IF(AND(BU142=0,BX142=0),"No Prog ni Ejec",IF(BU142=0,CONCATENATE("No Prog, Ejec=  ",BX142),BX142/BU142))</f>
        <v>No Prog ni Ejec</v>
      </c>
      <c r="CL142" s="698" t="str">
        <f t="shared" ref="CL142:CL148" si="289">IF(AND(BW142=0,BY142=0),"No Prog ni Ejec",IF(BW142=0,CONCATENATE("No Prog, Ejec=  ",BY142),BY142/BW142))</f>
        <v>No Prog ni Ejec</v>
      </c>
      <c r="CM142" s="128">
        <f t="shared" si="272"/>
        <v>0</v>
      </c>
      <c r="CR142" s="122">
        <v>1</v>
      </c>
      <c r="CS142" s="122"/>
      <c r="CT142" s="122"/>
      <c r="CU142" s="122"/>
      <c r="CV142" s="122"/>
      <c r="CW142" s="122"/>
      <c r="CX142" s="122"/>
      <c r="CY142" s="122"/>
      <c r="CZ142" s="122"/>
      <c r="DA142" s="122"/>
      <c r="DB142" s="122"/>
      <c r="DC142" s="122"/>
    </row>
    <row r="143" spans="1:107" s="70" customFormat="1" ht="210.75" customHeight="1" x14ac:dyDescent="0.2">
      <c r="A143" s="834">
        <v>11600</v>
      </c>
      <c r="B143" s="827" t="s">
        <v>4</v>
      </c>
      <c r="C143" s="827" t="s">
        <v>509</v>
      </c>
      <c r="D143" s="845" t="s">
        <v>1020</v>
      </c>
      <c r="E143" s="845"/>
      <c r="F143" s="845"/>
      <c r="G143" s="845"/>
      <c r="H143" s="845"/>
      <c r="I143" s="845"/>
      <c r="J143" s="845"/>
      <c r="K143" s="845"/>
      <c r="L143" s="845"/>
      <c r="M143" s="845"/>
      <c r="N143" s="845"/>
      <c r="O143" s="845" t="s">
        <v>1020</v>
      </c>
      <c r="P143" s="845" t="s">
        <v>1020</v>
      </c>
      <c r="Q143" s="827" t="s">
        <v>1126</v>
      </c>
      <c r="R143" s="827" t="s">
        <v>1625</v>
      </c>
      <c r="S143" s="835" t="s">
        <v>100</v>
      </c>
      <c r="T143" s="827" t="s">
        <v>94</v>
      </c>
      <c r="U143" s="827" t="s">
        <v>204</v>
      </c>
      <c r="V143" s="827" t="s">
        <v>204</v>
      </c>
      <c r="W143" s="835" t="s">
        <v>1115</v>
      </c>
      <c r="X143" s="827" t="s">
        <v>511</v>
      </c>
      <c r="Y143" s="340" t="s">
        <v>391</v>
      </c>
      <c r="Z143" s="491">
        <v>1</v>
      </c>
      <c r="AA143" s="835" t="s">
        <v>1105</v>
      </c>
      <c r="AB143" s="827" t="s">
        <v>512</v>
      </c>
      <c r="AC143" s="831">
        <v>0</v>
      </c>
      <c r="AD143" s="832">
        <v>1</v>
      </c>
      <c r="AE143" s="827" t="s">
        <v>17</v>
      </c>
      <c r="AF143" s="827" t="s">
        <v>295</v>
      </c>
      <c r="AG143" s="827" t="s">
        <v>204</v>
      </c>
      <c r="AH143" s="827" t="s">
        <v>635</v>
      </c>
      <c r="AI143" s="827" t="s">
        <v>1042</v>
      </c>
      <c r="AJ143" s="827" t="s">
        <v>204</v>
      </c>
      <c r="AK143" s="827" t="s">
        <v>514</v>
      </c>
      <c r="AL143" s="827" t="s">
        <v>204</v>
      </c>
      <c r="AM143" s="491">
        <v>1</v>
      </c>
      <c r="AN143" s="827" t="str">
        <f t="shared" si="273"/>
        <v>Actualizar de manera colaborativa la Política del Sistema Integrado de Administración de Riesgos de la ADRES.</v>
      </c>
      <c r="AO143" s="72">
        <f t="shared" si="267"/>
        <v>0</v>
      </c>
      <c r="AP143" s="860" t="s">
        <v>48</v>
      </c>
      <c r="AQ143" s="900">
        <v>0</v>
      </c>
      <c r="AR143" s="827" t="str">
        <f t="shared" si="268"/>
        <v>Actualizar de manera colaborativa la Política del Sistema Integrado de Administración de Riesgos de la ADRES.</v>
      </c>
      <c r="AS143" s="831">
        <f>+AO143*0</f>
        <v>0</v>
      </c>
      <c r="AT143" s="835">
        <v>0</v>
      </c>
      <c r="AU143" s="850">
        <v>0</v>
      </c>
      <c r="AV143" s="828" t="e">
        <f t="shared" si="243"/>
        <v>#DIV/0!</v>
      </c>
      <c r="AW143" s="828" t="e">
        <f t="shared" si="244"/>
        <v>#DIV/0!</v>
      </c>
      <c r="AX143" s="828">
        <f t="shared" si="245"/>
        <v>0</v>
      </c>
      <c r="AY143" s="828" t="e">
        <f t="shared" si="246"/>
        <v>#DIV/0!</v>
      </c>
      <c r="AZ143" s="466" t="s">
        <v>1314</v>
      </c>
      <c r="BA143" s="491">
        <v>1</v>
      </c>
      <c r="BB143" s="827" t="str">
        <f t="shared" si="269"/>
        <v>Actualizar de manera colaborativa la Política del Sistema Integrado de Administración de Riesgos de la ADRES.</v>
      </c>
      <c r="BC143" s="831">
        <v>0</v>
      </c>
      <c r="BD143" s="901">
        <v>0</v>
      </c>
      <c r="BE143" s="850">
        <v>0</v>
      </c>
      <c r="BF143" s="828">
        <f t="shared" si="247"/>
        <v>0</v>
      </c>
      <c r="BG143" s="828" t="e">
        <f t="shared" si="248"/>
        <v>#DIV/0!</v>
      </c>
      <c r="BH143" s="828">
        <f t="shared" si="249"/>
        <v>0</v>
      </c>
      <c r="BI143" s="828" t="e">
        <f t="shared" si="250"/>
        <v>#DIV/0!</v>
      </c>
      <c r="BJ143" s="829" t="s">
        <v>1662</v>
      </c>
      <c r="BK143" s="900">
        <v>0</v>
      </c>
      <c r="BL143" s="827" t="str">
        <f t="shared" si="270"/>
        <v>Actualizar de manera colaborativa la Política del Sistema Integrado de Administración de Riesgos de la ADRES.</v>
      </c>
      <c r="BM143" s="831">
        <v>0</v>
      </c>
      <c r="BN143" s="835">
        <v>1</v>
      </c>
      <c r="BO143" s="955">
        <v>0</v>
      </c>
      <c r="BP143" s="828">
        <v>1</v>
      </c>
      <c r="BQ143" s="828" t="e">
        <f t="shared" si="275"/>
        <v>#DIV/0!</v>
      </c>
      <c r="BR143" s="828">
        <f t="shared" si="276"/>
        <v>1</v>
      </c>
      <c r="BS143" s="828" t="e">
        <f t="shared" si="277"/>
        <v>#DIV/0!</v>
      </c>
      <c r="BT143" s="466" t="s">
        <v>1860</v>
      </c>
      <c r="BU143" s="900">
        <v>0</v>
      </c>
      <c r="BV143" s="827" t="str">
        <f t="shared" si="271"/>
        <v>Actualizar de manera colaborativa la Política del Sistema Integrado de Administración de Riesgos de la ADRES.</v>
      </c>
      <c r="BW143" s="850">
        <v>0</v>
      </c>
      <c r="BX143" s="835"/>
      <c r="BY143" s="835"/>
      <c r="BZ143" s="826" t="e">
        <f t="shared" si="278"/>
        <v>#DIV/0!</v>
      </c>
      <c r="CA143" s="826" t="e">
        <f t="shared" si="279"/>
        <v>#DIV/0!</v>
      </c>
      <c r="CB143" s="826">
        <f t="shared" si="280"/>
        <v>1</v>
      </c>
      <c r="CC143" s="826" t="e">
        <f t="shared" si="281"/>
        <v>#DIV/0!</v>
      </c>
      <c r="CD143" s="826"/>
      <c r="CE143" s="640" t="str">
        <f t="shared" si="282"/>
        <v>No Prog ni Ejec</v>
      </c>
      <c r="CF143" s="640" t="str">
        <f t="shared" si="283"/>
        <v>No Prog ni Ejec</v>
      </c>
      <c r="CG143" s="640">
        <f t="shared" si="284"/>
        <v>0</v>
      </c>
      <c r="CH143" s="640" t="str">
        <f t="shared" si="285"/>
        <v>No Prog ni Ejec</v>
      </c>
      <c r="CI143" s="640">
        <v>1</v>
      </c>
      <c r="CJ143" s="640" t="str">
        <f t="shared" si="287"/>
        <v>No Prog ni Ejec</v>
      </c>
      <c r="CK143" s="640" t="str">
        <f t="shared" si="288"/>
        <v>No Prog ni Ejec</v>
      </c>
      <c r="CL143" s="698" t="str">
        <f t="shared" si="289"/>
        <v>No Prog ni Ejec</v>
      </c>
      <c r="CM143" s="128">
        <f t="shared" si="272"/>
        <v>0</v>
      </c>
      <c r="CR143" s="122" t="s">
        <v>1020</v>
      </c>
      <c r="CS143" s="122" t="s">
        <v>1020</v>
      </c>
      <c r="CT143" s="122" t="s">
        <v>1020</v>
      </c>
      <c r="CU143" s="122"/>
      <c r="CV143" s="122"/>
      <c r="CW143" s="122"/>
      <c r="CX143" s="122"/>
      <c r="CY143" s="122"/>
      <c r="CZ143" s="122"/>
      <c r="DA143" s="122"/>
      <c r="DB143" s="122"/>
      <c r="DC143" s="122"/>
    </row>
    <row r="144" spans="1:107" s="70" customFormat="1" ht="99" customHeight="1" x14ac:dyDescent="0.2">
      <c r="A144" s="834">
        <v>11600</v>
      </c>
      <c r="B144" s="827" t="s">
        <v>4</v>
      </c>
      <c r="C144" s="827" t="s">
        <v>509</v>
      </c>
      <c r="D144" s="845" t="s">
        <v>1020</v>
      </c>
      <c r="E144" s="845"/>
      <c r="F144" s="845"/>
      <c r="G144" s="845"/>
      <c r="H144" s="845"/>
      <c r="I144" s="845"/>
      <c r="J144" s="845"/>
      <c r="K144" s="845"/>
      <c r="L144" s="845"/>
      <c r="M144" s="845"/>
      <c r="N144" s="845"/>
      <c r="O144" s="845" t="s">
        <v>1020</v>
      </c>
      <c r="P144" s="845" t="s">
        <v>1020</v>
      </c>
      <c r="Q144" s="827" t="s">
        <v>1126</v>
      </c>
      <c r="R144" s="827" t="s">
        <v>1138</v>
      </c>
      <c r="S144" s="835" t="s">
        <v>100</v>
      </c>
      <c r="T144" s="827" t="s">
        <v>94</v>
      </c>
      <c r="U144" s="827" t="s">
        <v>204</v>
      </c>
      <c r="V144" s="827" t="s">
        <v>204</v>
      </c>
      <c r="W144" s="835" t="s">
        <v>1116</v>
      </c>
      <c r="X144" s="827" t="s">
        <v>1491</v>
      </c>
      <c r="Y144" s="340" t="s">
        <v>391</v>
      </c>
      <c r="Z144" s="84">
        <v>1</v>
      </c>
      <c r="AA144" s="835" t="s">
        <v>1106</v>
      </c>
      <c r="AB144" s="827" t="s">
        <v>1490</v>
      </c>
      <c r="AC144" s="831">
        <v>0</v>
      </c>
      <c r="AD144" s="832">
        <v>1</v>
      </c>
      <c r="AE144" s="827" t="s">
        <v>17</v>
      </c>
      <c r="AF144" s="827" t="s">
        <v>295</v>
      </c>
      <c r="AG144" s="827" t="s">
        <v>204</v>
      </c>
      <c r="AH144" s="827" t="s">
        <v>635</v>
      </c>
      <c r="AI144" s="827" t="s">
        <v>1042</v>
      </c>
      <c r="AJ144" s="827" t="s">
        <v>1269</v>
      </c>
      <c r="AK144" s="827" t="s">
        <v>1492</v>
      </c>
      <c r="AL144" s="827" t="s">
        <v>204</v>
      </c>
      <c r="AM144" s="84">
        <v>1</v>
      </c>
      <c r="AN144" s="827" t="str">
        <f t="shared" si="273"/>
        <v>Identificar los riesgos de Seguridad de la Información asociados a los “Activos de Información” de los diferentes procesos de la Entidad</v>
      </c>
      <c r="AO144" s="72">
        <f t="shared" si="267"/>
        <v>0</v>
      </c>
      <c r="AP144" s="860" t="s">
        <v>48</v>
      </c>
      <c r="AQ144" s="900">
        <v>0</v>
      </c>
      <c r="AR144" s="827" t="str">
        <f t="shared" si="268"/>
        <v>Identificar los riesgos de Seguridad de la Información asociados a los “Activos de Información” de los diferentes procesos de la Entidad</v>
      </c>
      <c r="AS144" s="831">
        <f>+AO144*0</f>
        <v>0</v>
      </c>
      <c r="AT144" s="835">
        <v>0</v>
      </c>
      <c r="AU144" s="850">
        <v>0</v>
      </c>
      <c r="AV144" s="828" t="e">
        <f t="shared" si="243"/>
        <v>#DIV/0!</v>
      </c>
      <c r="AW144" s="828" t="e">
        <f t="shared" si="244"/>
        <v>#DIV/0!</v>
      </c>
      <c r="AX144" s="828">
        <f t="shared" si="245"/>
        <v>0</v>
      </c>
      <c r="AY144" s="828" t="e">
        <f t="shared" si="246"/>
        <v>#DIV/0!</v>
      </c>
      <c r="AZ144" s="466" t="s">
        <v>1314</v>
      </c>
      <c r="BA144" s="900">
        <v>0</v>
      </c>
      <c r="BB144" s="827" t="str">
        <f t="shared" si="269"/>
        <v>Identificar los riesgos de Seguridad de la Información asociados a los “Activos de Información” de los diferentes procesos de la Entidad</v>
      </c>
      <c r="BC144" s="831">
        <v>0</v>
      </c>
      <c r="BD144" s="901">
        <v>0</v>
      </c>
      <c r="BE144" s="850">
        <v>0</v>
      </c>
      <c r="BF144" s="828" t="e">
        <f t="shared" si="247"/>
        <v>#DIV/0!</v>
      </c>
      <c r="BG144" s="828" t="e">
        <f t="shared" si="248"/>
        <v>#DIV/0!</v>
      </c>
      <c r="BH144" s="828">
        <f t="shared" si="249"/>
        <v>0</v>
      </c>
      <c r="BI144" s="828" t="e">
        <f t="shared" si="250"/>
        <v>#DIV/0!</v>
      </c>
      <c r="BJ144" s="829" t="s">
        <v>1663</v>
      </c>
      <c r="BK144" s="900">
        <v>0</v>
      </c>
      <c r="BL144" s="827" t="str">
        <f t="shared" si="270"/>
        <v>Identificar los riesgos de Seguridad de la Información asociados a los “Activos de Información” de los diferentes procesos de la Entidad</v>
      </c>
      <c r="BM144" s="831">
        <v>0</v>
      </c>
      <c r="BN144" s="835">
        <v>0</v>
      </c>
      <c r="BO144" s="955">
        <v>0</v>
      </c>
      <c r="BP144" s="828" t="e">
        <f t="shared" si="274"/>
        <v>#DIV/0!</v>
      </c>
      <c r="BQ144" s="828" t="e">
        <f t="shared" si="275"/>
        <v>#DIV/0!</v>
      </c>
      <c r="BR144" s="828">
        <f t="shared" si="276"/>
        <v>0</v>
      </c>
      <c r="BS144" s="828" t="e">
        <f t="shared" si="277"/>
        <v>#DIV/0!</v>
      </c>
      <c r="BT144" s="466" t="s">
        <v>1827</v>
      </c>
      <c r="BU144" s="84">
        <v>1</v>
      </c>
      <c r="BV144" s="827" t="str">
        <f t="shared" si="271"/>
        <v>Identificar los riesgos de Seguridad de la Información asociados a los “Activos de Información” de los diferentes procesos de la Entidad</v>
      </c>
      <c r="BW144" s="850">
        <f t="shared" ref="BW144:BW151" si="290">+AO144*BU144</f>
        <v>0</v>
      </c>
      <c r="BX144" s="835"/>
      <c r="BY144" s="835"/>
      <c r="BZ144" s="826">
        <f t="shared" si="278"/>
        <v>0</v>
      </c>
      <c r="CA144" s="826" t="e">
        <f t="shared" si="279"/>
        <v>#DIV/0!</v>
      </c>
      <c r="CB144" s="826">
        <f t="shared" si="280"/>
        <v>0</v>
      </c>
      <c r="CC144" s="826" t="e">
        <f t="shared" si="281"/>
        <v>#DIV/0!</v>
      </c>
      <c r="CD144" s="826"/>
      <c r="CE144" s="640" t="str">
        <f t="shared" si="282"/>
        <v>No Prog ni Ejec</v>
      </c>
      <c r="CF144" s="640" t="str">
        <f t="shared" si="283"/>
        <v>No Prog ni Ejec</v>
      </c>
      <c r="CG144" s="640" t="str">
        <f t="shared" si="284"/>
        <v>No Prog ni Ejec</v>
      </c>
      <c r="CH144" s="640" t="str">
        <f t="shared" si="285"/>
        <v>No Prog ni Ejec</v>
      </c>
      <c r="CI144" s="640" t="str">
        <f t="shared" si="286"/>
        <v>No Prog ni Ejec</v>
      </c>
      <c r="CJ144" s="640" t="str">
        <f t="shared" si="287"/>
        <v>No Prog ni Ejec</v>
      </c>
      <c r="CK144" s="640">
        <f t="shared" si="288"/>
        <v>0</v>
      </c>
      <c r="CL144" s="698" t="str">
        <f t="shared" si="289"/>
        <v>No Prog ni Ejec</v>
      </c>
      <c r="CM144" s="128">
        <f t="shared" si="272"/>
        <v>0</v>
      </c>
      <c r="CR144" s="122"/>
      <c r="CS144" s="122"/>
      <c r="CT144" s="122">
        <v>3</v>
      </c>
      <c r="CU144" s="122"/>
      <c r="CV144" s="122"/>
      <c r="CW144" s="122"/>
      <c r="CX144" s="122"/>
      <c r="CY144" s="122"/>
      <c r="CZ144" s="122"/>
      <c r="DA144" s="122"/>
      <c r="DB144" s="122"/>
      <c r="DC144" s="122"/>
    </row>
    <row r="145" spans="1:107" s="70" customFormat="1" ht="102" x14ac:dyDescent="0.2">
      <c r="A145" s="834">
        <v>11600</v>
      </c>
      <c r="B145" s="827" t="s">
        <v>4</v>
      </c>
      <c r="C145" s="827" t="s">
        <v>612</v>
      </c>
      <c r="D145" s="845" t="s">
        <v>1020</v>
      </c>
      <c r="E145" s="845"/>
      <c r="F145" s="845"/>
      <c r="G145" s="845" t="s">
        <v>1020</v>
      </c>
      <c r="H145" s="845"/>
      <c r="I145" s="845"/>
      <c r="J145" s="845"/>
      <c r="K145" s="845"/>
      <c r="L145" s="845" t="s">
        <v>1020</v>
      </c>
      <c r="M145" s="845"/>
      <c r="N145" s="845"/>
      <c r="O145" s="845"/>
      <c r="P145" s="845"/>
      <c r="Q145" s="827" t="s">
        <v>1605</v>
      </c>
      <c r="R145" s="827" t="s">
        <v>1136</v>
      </c>
      <c r="S145" s="835" t="s">
        <v>100</v>
      </c>
      <c r="T145" s="827" t="s">
        <v>94</v>
      </c>
      <c r="U145" s="827" t="s">
        <v>204</v>
      </c>
      <c r="V145" s="827" t="s">
        <v>204</v>
      </c>
      <c r="W145" s="835" t="s">
        <v>577</v>
      </c>
      <c r="X145" s="827" t="s">
        <v>1483</v>
      </c>
      <c r="Y145" s="340" t="s">
        <v>391</v>
      </c>
      <c r="Z145" s="491">
        <v>1</v>
      </c>
      <c r="AA145" s="835" t="s">
        <v>576</v>
      </c>
      <c r="AB145" s="827" t="s">
        <v>1484</v>
      </c>
      <c r="AC145" s="831">
        <v>0</v>
      </c>
      <c r="AD145" s="832">
        <v>1</v>
      </c>
      <c r="AE145" s="827" t="s">
        <v>16</v>
      </c>
      <c r="AF145" s="827" t="s">
        <v>21</v>
      </c>
      <c r="AG145" s="827" t="s">
        <v>204</v>
      </c>
      <c r="AH145" s="827" t="s">
        <v>635</v>
      </c>
      <c r="AI145" s="827" t="s">
        <v>77</v>
      </c>
      <c r="AJ145" s="827" t="s">
        <v>1279</v>
      </c>
      <c r="AK145" s="827" t="s">
        <v>1485</v>
      </c>
      <c r="AL145" s="827" t="s">
        <v>43</v>
      </c>
      <c r="AM145" s="491">
        <v>1</v>
      </c>
      <c r="AN145" s="827" t="str">
        <f t="shared" si="273"/>
        <v>Definir y publicar, un conjunto de datos abiertos conforme a las directrices del MinTIC</v>
      </c>
      <c r="AO145" s="72">
        <f t="shared" si="267"/>
        <v>0</v>
      </c>
      <c r="AP145" s="860" t="s">
        <v>48</v>
      </c>
      <c r="AQ145" s="900">
        <v>0</v>
      </c>
      <c r="AR145" s="827" t="str">
        <f t="shared" si="268"/>
        <v>Definir y publicar, un conjunto de datos abiertos conforme a las directrices del MinTIC</v>
      </c>
      <c r="AS145" s="831">
        <f>+AO145*0</f>
        <v>0</v>
      </c>
      <c r="AT145" s="835">
        <v>0</v>
      </c>
      <c r="AU145" s="850">
        <v>0</v>
      </c>
      <c r="AV145" s="828" t="e">
        <f t="shared" si="243"/>
        <v>#DIV/0!</v>
      </c>
      <c r="AW145" s="828" t="e">
        <f t="shared" si="244"/>
        <v>#DIV/0!</v>
      </c>
      <c r="AX145" s="828">
        <f t="shared" si="245"/>
        <v>0</v>
      </c>
      <c r="AY145" s="828" t="e">
        <f t="shared" si="246"/>
        <v>#DIV/0!</v>
      </c>
      <c r="AZ145" s="466" t="s">
        <v>1314</v>
      </c>
      <c r="BA145" s="900">
        <v>0</v>
      </c>
      <c r="BB145" s="827" t="str">
        <f t="shared" si="269"/>
        <v>Definir y publicar, un conjunto de datos abiertos conforme a las directrices del MinTIC</v>
      </c>
      <c r="BC145" s="831">
        <v>0</v>
      </c>
      <c r="BD145" s="901">
        <v>0</v>
      </c>
      <c r="BE145" s="850">
        <v>0</v>
      </c>
      <c r="BF145" s="828" t="e">
        <f t="shared" si="247"/>
        <v>#DIV/0!</v>
      </c>
      <c r="BG145" s="828" t="e">
        <f t="shared" si="248"/>
        <v>#DIV/0!</v>
      </c>
      <c r="BH145" s="828">
        <f t="shared" si="249"/>
        <v>0</v>
      </c>
      <c r="BI145" s="828" t="e">
        <f t="shared" si="250"/>
        <v>#DIV/0!</v>
      </c>
      <c r="BJ145" s="829" t="s">
        <v>1664</v>
      </c>
      <c r="BK145" s="900">
        <v>0</v>
      </c>
      <c r="BL145" s="827" t="str">
        <f t="shared" si="270"/>
        <v>Definir y publicar, un conjunto de datos abiertos conforme a las directrices del MinTIC</v>
      </c>
      <c r="BM145" s="831">
        <v>0</v>
      </c>
      <c r="BN145" s="835">
        <v>0</v>
      </c>
      <c r="BO145" s="955">
        <v>0</v>
      </c>
      <c r="BP145" s="828" t="e">
        <f t="shared" si="274"/>
        <v>#DIV/0!</v>
      </c>
      <c r="BQ145" s="828" t="e">
        <f t="shared" si="275"/>
        <v>#DIV/0!</v>
      </c>
      <c r="BR145" s="828">
        <f t="shared" si="276"/>
        <v>0</v>
      </c>
      <c r="BS145" s="828" t="e">
        <f t="shared" si="277"/>
        <v>#DIV/0!</v>
      </c>
      <c r="BT145" s="466" t="s">
        <v>1827</v>
      </c>
      <c r="BU145" s="900">
        <v>1</v>
      </c>
      <c r="BV145" s="827" t="str">
        <f t="shared" si="271"/>
        <v>Definir y publicar, un conjunto de datos abiertos conforme a las directrices del MinTIC</v>
      </c>
      <c r="BW145" s="850">
        <f t="shared" si="290"/>
        <v>0</v>
      </c>
      <c r="BX145" s="835"/>
      <c r="BY145" s="835"/>
      <c r="BZ145" s="826">
        <f t="shared" si="278"/>
        <v>0</v>
      </c>
      <c r="CA145" s="826" t="e">
        <f t="shared" si="279"/>
        <v>#DIV/0!</v>
      </c>
      <c r="CB145" s="826">
        <f t="shared" si="280"/>
        <v>0</v>
      </c>
      <c r="CC145" s="826" t="e">
        <f t="shared" si="281"/>
        <v>#DIV/0!</v>
      </c>
      <c r="CD145" s="826"/>
      <c r="CE145" s="640" t="str">
        <f t="shared" si="282"/>
        <v>No Prog ni Ejec</v>
      </c>
      <c r="CF145" s="640" t="str">
        <f t="shared" si="283"/>
        <v>No Prog ni Ejec</v>
      </c>
      <c r="CG145" s="640" t="str">
        <f t="shared" si="284"/>
        <v>No Prog ni Ejec</v>
      </c>
      <c r="CH145" s="640" t="str">
        <f t="shared" si="285"/>
        <v>No Prog ni Ejec</v>
      </c>
      <c r="CI145" s="640" t="str">
        <f t="shared" si="286"/>
        <v>No Prog ni Ejec</v>
      </c>
      <c r="CJ145" s="640" t="str">
        <f t="shared" si="287"/>
        <v>No Prog ni Ejec</v>
      </c>
      <c r="CK145" s="640">
        <f t="shared" si="288"/>
        <v>0</v>
      </c>
      <c r="CL145" s="698" t="str">
        <f t="shared" si="289"/>
        <v>No Prog ni Ejec</v>
      </c>
      <c r="CM145" s="128">
        <f t="shared" si="272"/>
        <v>0</v>
      </c>
      <c r="CU145" s="122">
        <v>4</v>
      </c>
      <c r="DB145" s="70">
        <v>11</v>
      </c>
    </row>
    <row r="146" spans="1:107" s="70" customFormat="1" ht="128.25" customHeight="1" x14ac:dyDescent="0.2">
      <c r="A146" s="834">
        <v>11600</v>
      </c>
      <c r="B146" s="827" t="s">
        <v>4</v>
      </c>
      <c r="C146" s="827" t="s">
        <v>332</v>
      </c>
      <c r="D146" s="845"/>
      <c r="E146" s="845"/>
      <c r="F146" s="845"/>
      <c r="G146" s="845"/>
      <c r="H146" s="845"/>
      <c r="I146" s="845"/>
      <c r="J146" s="845"/>
      <c r="K146" s="845"/>
      <c r="L146" s="845"/>
      <c r="M146" s="845"/>
      <c r="N146" s="845"/>
      <c r="O146" s="845" t="s">
        <v>1020</v>
      </c>
      <c r="P146" s="845"/>
      <c r="Q146" s="827" t="s">
        <v>204</v>
      </c>
      <c r="R146" s="827" t="s">
        <v>204</v>
      </c>
      <c r="S146" s="835" t="s">
        <v>100</v>
      </c>
      <c r="T146" s="827" t="s">
        <v>94</v>
      </c>
      <c r="U146" s="827" t="s">
        <v>204</v>
      </c>
      <c r="V146" s="827" t="s">
        <v>204</v>
      </c>
      <c r="W146" s="835" t="s">
        <v>1117</v>
      </c>
      <c r="X146" s="827" t="s">
        <v>515</v>
      </c>
      <c r="Y146" s="340" t="s">
        <v>391</v>
      </c>
      <c r="Z146" s="835">
        <v>2</v>
      </c>
      <c r="AA146" s="835" t="s">
        <v>1107</v>
      </c>
      <c r="AB146" s="827" t="s">
        <v>518</v>
      </c>
      <c r="AC146" s="831">
        <v>0</v>
      </c>
      <c r="AD146" s="832">
        <v>1</v>
      </c>
      <c r="AE146" s="827" t="s">
        <v>17</v>
      </c>
      <c r="AF146" s="827" t="s">
        <v>297</v>
      </c>
      <c r="AG146" s="827" t="s">
        <v>204</v>
      </c>
      <c r="AH146" s="827" t="s">
        <v>635</v>
      </c>
      <c r="AI146" s="827" t="s">
        <v>81</v>
      </c>
      <c r="AJ146" s="827" t="s">
        <v>1269</v>
      </c>
      <c r="AK146" s="827" t="s">
        <v>1145</v>
      </c>
      <c r="AL146" s="827" t="s">
        <v>204</v>
      </c>
      <c r="AM146" s="835">
        <v>2</v>
      </c>
      <c r="AN146" s="827" t="str">
        <f t="shared" si="273"/>
        <v>Realizar evaluación del autodiagnóstico del Modelos de Seguridad y Privacidad de la Información - MSPI 1 vez por semestre</v>
      </c>
      <c r="AO146" s="72">
        <f t="shared" ref="AO146:AO151" si="291">+AC146</f>
        <v>0</v>
      </c>
      <c r="AP146" s="860" t="s">
        <v>48</v>
      </c>
      <c r="AQ146" s="900">
        <v>0</v>
      </c>
      <c r="AR146" s="827" t="str">
        <f t="shared" si="268"/>
        <v>Realizar evaluación del autodiagnóstico del Modelos de Seguridad y Privacidad de la Información - MSPI 1 vez por semestre</v>
      </c>
      <c r="AS146" s="831">
        <f t="shared" ref="AS146:AS151" si="292">+AO146*0</f>
        <v>0</v>
      </c>
      <c r="AT146" s="835">
        <v>0</v>
      </c>
      <c r="AU146" s="850">
        <v>0</v>
      </c>
      <c r="AV146" s="828" t="e">
        <f t="shared" ref="AV146:AV151" si="293">+(AT146/AQ146)</f>
        <v>#DIV/0!</v>
      </c>
      <c r="AW146" s="828" t="e">
        <f t="shared" si="244"/>
        <v>#DIV/0!</v>
      </c>
      <c r="AX146" s="828">
        <f t="shared" ref="AX146:AX151" si="294">+(AT146/AM146)</f>
        <v>0</v>
      </c>
      <c r="AY146" s="828" t="e">
        <f t="shared" ref="AY146:AY151" si="295">+(AU146/AO146)</f>
        <v>#DIV/0!</v>
      </c>
      <c r="AZ146" s="466" t="s">
        <v>1314</v>
      </c>
      <c r="BA146" s="491">
        <v>1</v>
      </c>
      <c r="BB146" s="827" t="str">
        <f t="shared" ref="BB146:BB151" si="296">+AN146</f>
        <v>Realizar evaluación del autodiagnóstico del Modelos de Seguridad y Privacidad de la Información - MSPI 1 vez por semestre</v>
      </c>
      <c r="BC146" s="831">
        <v>0</v>
      </c>
      <c r="BD146" s="901">
        <v>1</v>
      </c>
      <c r="BE146" s="850">
        <v>0</v>
      </c>
      <c r="BF146" s="828">
        <f t="shared" si="247"/>
        <v>1</v>
      </c>
      <c r="BG146" s="828" t="e">
        <f t="shared" si="248"/>
        <v>#DIV/0!</v>
      </c>
      <c r="BH146" s="828">
        <f t="shared" si="249"/>
        <v>0.5</v>
      </c>
      <c r="BI146" s="828" t="e">
        <f t="shared" si="250"/>
        <v>#DIV/0!</v>
      </c>
      <c r="BJ146" s="829" t="s">
        <v>1665</v>
      </c>
      <c r="BK146" s="900">
        <v>0</v>
      </c>
      <c r="BL146" s="827" t="str">
        <f t="shared" si="270"/>
        <v>Realizar evaluación del autodiagnóstico del Modelos de Seguridad y Privacidad de la Información - MSPI 1 vez por semestre</v>
      </c>
      <c r="BM146" s="831">
        <v>0</v>
      </c>
      <c r="BN146" s="835">
        <v>0</v>
      </c>
      <c r="BO146" s="955">
        <v>0</v>
      </c>
      <c r="BP146" s="828" t="e">
        <f t="shared" si="274"/>
        <v>#DIV/0!</v>
      </c>
      <c r="BQ146" s="828" t="e">
        <f t="shared" si="275"/>
        <v>#DIV/0!</v>
      </c>
      <c r="BR146" s="828">
        <f t="shared" si="276"/>
        <v>0.5</v>
      </c>
      <c r="BS146" s="828" t="e">
        <f t="shared" si="277"/>
        <v>#DIV/0!</v>
      </c>
      <c r="BT146" s="466" t="s">
        <v>1827</v>
      </c>
      <c r="BU146" s="491">
        <v>1</v>
      </c>
      <c r="BV146" s="827" t="str">
        <f t="shared" si="271"/>
        <v>Realizar evaluación del autodiagnóstico del Modelos de Seguridad y Privacidad de la Información - MSPI 1 vez por semestre</v>
      </c>
      <c r="BW146" s="850">
        <f t="shared" si="290"/>
        <v>0</v>
      </c>
      <c r="BX146" s="835"/>
      <c r="BY146" s="835"/>
      <c r="BZ146" s="826">
        <f t="shared" si="278"/>
        <v>0</v>
      </c>
      <c r="CA146" s="826" t="e">
        <f t="shared" si="279"/>
        <v>#DIV/0!</v>
      </c>
      <c r="CB146" s="826">
        <f t="shared" si="280"/>
        <v>0.5</v>
      </c>
      <c r="CC146" s="826" t="e">
        <f t="shared" si="281"/>
        <v>#DIV/0!</v>
      </c>
      <c r="CD146" s="826"/>
      <c r="CE146" s="640" t="str">
        <f t="shared" si="282"/>
        <v>No Prog ni Ejec</v>
      </c>
      <c r="CF146" s="640" t="str">
        <f t="shared" si="283"/>
        <v>No Prog ni Ejec</v>
      </c>
      <c r="CG146" s="640">
        <f t="shared" si="284"/>
        <v>1</v>
      </c>
      <c r="CH146" s="640" t="str">
        <f t="shared" si="285"/>
        <v>No Prog ni Ejec</v>
      </c>
      <c r="CI146" s="640" t="str">
        <f t="shared" si="286"/>
        <v>No Prog ni Ejec</v>
      </c>
      <c r="CJ146" s="640" t="str">
        <f t="shared" si="287"/>
        <v>No Prog ni Ejec</v>
      </c>
      <c r="CK146" s="640">
        <f t="shared" si="288"/>
        <v>0</v>
      </c>
      <c r="CL146" s="698" t="str">
        <f t="shared" si="289"/>
        <v>No Prog ni Ejec</v>
      </c>
      <c r="CM146" s="128">
        <f t="shared" si="272"/>
        <v>0</v>
      </c>
      <c r="CT146" s="122">
        <v>3</v>
      </c>
    </row>
    <row r="147" spans="1:107" s="70" customFormat="1" ht="122.25" customHeight="1" x14ac:dyDescent="0.2">
      <c r="A147" s="834">
        <v>11600</v>
      </c>
      <c r="B147" s="827" t="s">
        <v>4</v>
      </c>
      <c r="C147" s="827" t="s">
        <v>332</v>
      </c>
      <c r="D147" s="845"/>
      <c r="E147" s="845"/>
      <c r="F147" s="845"/>
      <c r="G147" s="845"/>
      <c r="H147" s="845"/>
      <c r="I147" s="845"/>
      <c r="J147" s="845"/>
      <c r="K147" s="845"/>
      <c r="L147" s="845"/>
      <c r="M147" s="845"/>
      <c r="N147" s="845"/>
      <c r="O147" s="845" t="s">
        <v>1020</v>
      </c>
      <c r="P147" s="845"/>
      <c r="Q147" s="827" t="s">
        <v>204</v>
      </c>
      <c r="R147" s="827" t="s">
        <v>204</v>
      </c>
      <c r="S147" s="835" t="s">
        <v>100</v>
      </c>
      <c r="T147" s="827" t="s">
        <v>94</v>
      </c>
      <c r="U147" s="827" t="s">
        <v>204</v>
      </c>
      <c r="V147" s="827" t="s">
        <v>204</v>
      </c>
      <c r="W147" s="835" t="s">
        <v>579</v>
      </c>
      <c r="X147" s="827" t="s">
        <v>516</v>
      </c>
      <c r="Y147" s="340" t="s">
        <v>391</v>
      </c>
      <c r="Z147" s="835">
        <v>2</v>
      </c>
      <c r="AA147" s="835" t="s">
        <v>578</v>
      </c>
      <c r="AB147" s="827" t="s">
        <v>519</v>
      </c>
      <c r="AC147" s="831">
        <v>0</v>
      </c>
      <c r="AD147" s="832">
        <v>1</v>
      </c>
      <c r="AE147" s="827" t="s">
        <v>17</v>
      </c>
      <c r="AF147" s="827" t="s">
        <v>297</v>
      </c>
      <c r="AG147" s="827" t="s">
        <v>204</v>
      </c>
      <c r="AH147" s="827" t="s">
        <v>635</v>
      </c>
      <c r="AI147" s="827" t="s">
        <v>81</v>
      </c>
      <c r="AJ147" s="827" t="s">
        <v>1269</v>
      </c>
      <c r="AK147" s="827" t="s">
        <v>521</v>
      </c>
      <c r="AL147" s="827" t="s">
        <v>204</v>
      </c>
      <c r="AM147" s="835">
        <v>2</v>
      </c>
      <c r="AN147" s="827" t="str">
        <f t="shared" si="273"/>
        <v>Definir y aprobar las políticas de Seguridad que soportan el MSPI</v>
      </c>
      <c r="AO147" s="72">
        <f t="shared" si="291"/>
        <v>0</v>
      </c>
      <c r="AP147" s="860" t="s">
        <v>48</v>
      </c>
      <c r="AQ147" s="491">
        <v>2</v>
      </c>
      <c r="AR147" s="827" t="str">
        <f t="shared" si="268"/>
        <v>Definir y aprobar las políticas de Seguridad que soportan el MSPI</v>
      </c>
      <c r="AS147" s="831">
        <f t="shared" si="292"/>
        <v>0</v>
      </c>
      <c r="AT147" s="835">
        <v>2</v>
      </c>
      <c r="AU147" s="850">
        <v>0</v>
      </c>
      <c r="AV147" s="828">
        <f t="shared" si="293"/>
        <v>1</v>
      </c>
      <c r="AW147" s="828" t="e">
        <f t="shared" si="244"/>
        <v>#DIV/0!</v>
      </c>
      <c r="AX147" s="828">
        <f t="shared" si="294"/>
        <v>1</v>
      </c>
      <c r="AY147" s="828" t="e">
        <f t="shared" si="295"/>
        <v>#DIV/0!</v>
      </c>
      <c r="AZ147" s="466" t="s">
        <v>1315</v>
      </c>
      <c r="BA147" s="900">
        <v>0</v>
      </c>
      <c r="BB147" s="827" t="str">
        <f t="shared" si="296"/>
        <v>Definir y aprobar las políticas de Seguridad que soportan el MSPI</v>
      </c>
      <c r="BC147" s="831">
        <v>0</v>
      </c>
      <c r="BD147" s="686">
        <v>0</v>
      </c>
      <c r="BE147" s="850">
        <v>0</v>
      </c>
      <c r="BF147" s="828" t="e">
        <f t="shared" si="247"/>
        <v>#DIV/0!</v>
      </c>
      <c r="BG147" s="828" t="e">
        <f t="shared" si="248"/>
        <v>#DIV/0!</v>
      </c>
      <c r="BH147" s="828">
        <f t="shared" si="249"/>
        <v>1</v>
      </c>
      <c r="BI147" s="828" t="e">
        <f t="shared" si="250"/>
        <v>#DIV/0!</v>
      </c>
      <c r="BJ147" s="829" t="s">
        <v>1664</v>
      </c>
      <c r="BK147" s="900">
        <v>0</v>
      </c>
      <c r="BL147" s="827" t="str">
        <f t="shared" si="270"/>
        <v>Definir y aprobar las políticas de Seguridad que soportan el MSPI</v>
      </c>
      <c r="BM147" s="831">
        <v>0</v>
      </c>
      <c r="BN147" s="835">
        <v>0</v>
      </c>
      <c r="BO147" s="955">
        <v>0</v>
      </c>
      <c r="BP147" s="828" t="e">
        <f t="shared" si="274"/>
        <v>#DIV/0!</v>
      </c>
      <c r="BQ147" s="828" t="e">
        <f t="shared" si="275"/>
        <v>#DIV/0!</v>
      </c>
      <c r="BR147" s="828">
        <f t="shared" si="276"/>
        <v>1</v>
      </c>
      <c r="BS147" s="828" t="e">
        <f t="shared" si="277"/>
        <v>#DIV/0!</v>
      </c>
      <c r="BT147" s="466" t="s">
        <v>1827</v>
      </c>
      <c r="BU147" s="900">
        <v>0</v>
      </c>
      <c r="BV147" s="827" t="str">
        <f t="shared" si="271"/>
        <v>Definir y aprobar las políticas de Seguridad que soportan el MSPI</v>
      </c>
      <c r="BW147" s="850">
        <f t="shared" si="290"/>
        <v>0</v>
      </c>
      <c r="BX147" s="835"/>
      <c r="BY147" s="835"/>
      <c r="BZ147" s="826" t="e">
        <f t="shared" si="278"/>
        <v>#DIV/0!</v>
      </c>
      <c r="CA147" s="826" t="e">
        <f t="shared" si="279"/>
        <v>#DIV/0!</v>
      </c>
      <c r="CB147" s="826">
        <f t="shared" si="280"/>
        <v>1</v>
      </c>
      <c r="CC147" s="826" t="e">
        <f t="shared" si="281"/>
        <v>#DIV/0!</v>
      </c>
      <c r="CD147" s="826"/>
      <c r="CE147" s="640">
        <f t="shared" si="282"/>
        <v>1</v>
      </c>
      <c r="CF147" s="640" t="str">
        <f t="shared" si="283"/>
        <v>No Prog ni Ejec</v>
      </c>
      <c r="CG147" s="640" t="str">
        <f t="shared" si="284"/>
        <v>No Prog ni Ejec</v>
      </c>
      <c r="CH147" s="640" t="str">
        <f t="shared" si="285"/>
        <v>No Prog ni Ejec</v>
      </c>
      <c r="CI147" s="640" t="str">
        <f t="shared" si="286"/>
        <v>No Prog ni Ejec</v>
      </c>
      <c r="CJ147" s="640" t="str">
        <f t="shared" si="287"/>
        <v>No Prog ni Ejec</v>
      </c>
      <c r="CK147" s="640" t="str">
        <f t="shared" si="288"/>
        <v>No Prog ni Ejec</v>
      </c>
      <c r="CL147" s="698" t="str">
        <f t="shared" si="289"/>
        <v>No Prog ni Ejec</v>
      </c>
      <c r="CM147" s="128">
        <f t="shared" si="272"/>
        <v>0</v>
      </c>
      <c r="CT147" s="122">
        <v>3</v>
      </c>
    </row>
    <row r="148" spans="1:107" s="70" customFormat="1" ht="110.25" customHeight="1" x14ac:dyDescent="0.2">
      <c r="A148" s="834">
        <v>11600</v>
      </c>
      <c r="B148" s="827" t="s">
        <v>4</v>
      </c>
      <c r="C148" s="827" t="s">
        <v>332</v>
      </c>
      <c r="D148" s="845"/>
      <c r="E148" s="845"/>
      <c r="F148" s="845"/>
      <c r="G148" s="845"/>
      <c r="H148" s="845"/>
      <c r="I148" s="845"/>
      <c r="J148" s="845"/>
      <c r="K148" s="845"/>
      <c r="L148" s="845"/>
      <c r="M148" s="845"/>
      <c r="N148" s="845"/>
      <c r="O148" s="845" t="s">
        <v>1020</v>
      </c>
      <c r="P148" s="845"/>
      <c r="Q148" s="827" t="s">
        <v>204</v>
      </c>
      <c r="R148" s="827" t="s">
        <v>204</v>
      </c>
      <c r="S148" s="835" t="s">
        <v>100</v>
      </c>
      <c r="T148" s="827" t="s">
        <v>94</v>
      </c>
      <c r="U148" s="827" t="s">
        <v>204</v>
      </c>
      <c r="V148" s="827" t="s">
        <v>204</v>
      </c>
      <c r="W148" s="835" t="s">
        <v>1118</v>
      </c>
      <c r="X148" s="827" t="s">
        <v>1146</v>
      </c>
      <c r="Y148" s="340" t="s">
        <v>391</v>
      </c>
      <c r="Z148" s="491">
        <v>2</v>
      </c>
      <c r="AA148" s="835" t="s">
        <v>1108</v>
      </c>
      <c r="AB148" s="827" t="s">
        <v>1147</v>
      </c>
      <c r="AC148" s="831">
        <v>0</v>
      </c>
      <c r="AD148" s="832">
        <v>1</v>
      </c>
      <c r="AE148" s="827" t="s">
        <v>18</v>
      </c>
      <c r="AF148" s="827" t="s">
        <v>24</v>
      </c>
      <c r="AG148" s="827" t="s">
        <v>204</v>
      </c>
      <c r="AH148" s="827" t="s">
        <v>635</v>
      </c>
      <c r="AI148" s="827" t="s">
        <v>81</v>
      </c>
      <c r="AJ148" s="827" t="s">
        <v>1269</v>
      </c>
      <c r="AK148" s="827" t="s">
        <v>1148</v>
      </c>
      <c r="AL148" s="827" t="s">
        <v>296</v>
      </c>
      <c r="AM148" s="491">
        <v>2</v>
      </c>
      <c r="AN148" s="827" t="str">
        <f t="shared" si="273"/>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O148" s="72">
        <f t="shared" si="291"/>
        <v>0</v>
      </c>
      <c r="AP148" s="860" t="s">
        <v>48</v>
      </c>
      <c r="AQ148" s="900">
        <v>0</v>
      </c>
      <c r="AR148" s="827" t="str">
        <f t="shared" si="268"/>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AS148" s="831">
        <f t="shared" si="292"/>
        <v>0</v>
      </c>
      <c r="AT148" s="835">
        <v>0</v>
      </c>
      <c r="AU148" s="850">
        <v>0</v>
      </c>
      <c r="AV148" s="828" t="e">
        <f t="shared" si="293"/>
        <v>#DIV/0!</v>
      </c>
      <c r="AW148" s="828" t="e">
        <f t="shared" si="244"/>
        <v>#DIV/0!</v>
      </c>
      <c r="AX148" s="828">
        <f t="shared" si="294"/>
        <v>0</v>
      </c>
      <c r="AY148" s="828" t="e">
        <f t="shared" si="295"/>
        <v>#DIV/0!</v>
      </c>
      <c r="AZ148" s="466" t="s">
        <v>1314</v>
      </c>
      <c r="BA148" s="491">
        <v>1</v>
      </c>
      <c r="BB148" s="827" t="str">
        <f t="shared" si="296"/>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C148" s="831">
        <v>0</v>
      </c>
      <c r="BD148" s="901">
        <v>1</v>
      </c>
      <c r="BE148" s="850">
        <v>0</v>
      </c>
      <c r="BF148" s="828">
        <f t="shared" si="247"/>
        <v>1</v>
      </c>
      <c r="BG148" s="828" t="e">
        <f t="shared" si="248"/>
        <v>#DIV/0!</v>
      </c>
      <c r="BH148" s="828">
        <f t="shared" si="249"/>
        <v>0.5</v>
      </c>
      <c r="BI148" s="828" t="e">
        <f t="shared" si="250"/>
        <v>#DIV/0!</v>
      </c>
      <c r="BJ148" s="829" t="s">
        <v>1746</v>
      </c>
      <c r="BK148" s="900">
        <v>0</v>
      </c>
      <c r="BL148" s="827" t="str">
        <f t="shared" si="270"/>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M148" s="831">
        <v>0</v>
      </c>
      <c r="BN148" s="835">
        <v>0</v>
      </c>
      <c r="BO148" s="955">
        <v>0</v>
      </c>
      <c r="BP148" s="828" t="e">
        <f>+(BN148/BK148)</f>
        <v>#DIV/0!</v>
      </c>
      <c r="BQ148" s="828" t="e">
        <f>+(BO148/BM148)</f>
        <v>#DIV/0!</v>
      </c>
      <c r="BR148" s="828">
        <f>+(BD148+AT148+BN148)/AM148</f>
        <v>0.5</v>
      </c>
      <c r="BS148" s="828" t="e">
        <f>+(BE148+AU148+BO148)/AO148</f>
        <v>#DIV/0!</v>
      </c>
      <c r="BT148" s="466" t="s">
        <v>1827</v>
      </c>
      <c r="BU148" s="491">
        <v>1</v>
      </c>
      <c r="BV148" s="827" t="str">
        <f t="shared" si="271"/>
        <v>Actualizar inventario de activos de información y el registro de activos de información tipo información, conforme a la guía Metodología de Clasificación y Valoración de Activos de Información y la resolución 3589 de 2018 mediante la cual se adoptan los instrumentos de información pública</v>
      </c>
      <c r="BW148" s="850">
        <f t="shared" si="290"/>
        <v>0</v>
      </c>
      <c r="BX148" s="835"/>
      <c r="BY148" s="835"/>
      <c r="BZ148" s="826">
        <f t="shared" si="278"/>
        <v>0</v>
      </c>
      <c r="CA148" s="826" t="e">
        <f t="shared" si="279"/>
        <v>#DIV/0!</v>
      </c>
      <c r="CB148" s="826">
        <f t="shared" si="280"/>
        <v>0.5</v>
      </c>
      <c r="CC148" s="826" t="e">
        <f t="shared" si="281"/>
        <v>#DIV/0!</v>
      </c>
      <c r="CD148" s="826"/>
      <c r="CE148" s="640" t="str">
        <f t="shared" si="282"/>
        <v>No Prog ni Ejec</v>
      </c>
      <c r="CF148" s="640" t="str">
        <f t="shared" si="283"/>
        <v>No Prog ni Ejec</v>
      </c>
      <c r="CG148" s="640">
        <f t="shared" si="284"/>
        <v>1</v>
      </c>
      <c r="CH148" s="640" t="str">
        <f t="shared" si="285"/>
        <v>No Prog ni Ejec</v>
      </c>
      <c r="CI148" s="640" t="str">
        <f t="shared" si="286"/>
        <v>No Prog ni Ejec</v>
      </c>
      <c r="CJ148" s="640" t="str">
        <f t="shared" si="287"/>
        <v>No Prog ni Ejec</v>
      </c>
      <c r="CK148" s="640">
        <f t="shared" si="288"/>
        <v>0</v>
      </c>
      <c r="CL148" s="698" t="str">
        <f t="shared" si="289"/>
        <v>No Prog ni Ejec</v>
      </c>
      <c r="CM148" s="128">
        <f t="shared" si="272"/>
        <v>0</v>
      </c>
      <c r="CT148" s="122">
        <v>3</v>
      </c>
    </row>
    <row r="149" spans="1:107" s="70" customFormat="1" ht="326.25" customHeight="1" x14ac:dyDescent="0.2">
      <c r="A149" s="834">
        <v>11600</v>
      </c>
      <c r="B149" s="827" t="s">
        <v>4</v>
      </c>
      <c r="C149" s="827" t="s">
        <v>332</v>
      </c>
      <c r="D149" s="845"/>
      <c r="E149" s="845"/>
      <c r="F149" s="845"/>
      <c r="G149" s="845"/>
      <c r="H149" s="845"/>
      <c r="I149" s="845"/>
      <c r="J149" s="845"/>
      <c r="K149" s="845"/>
      <c r="L149" s="845"/>
      <c r="M149" s="845"/>
      <c r="N149" s="845"/>
      <c r="O149" s="845" t="s">
        <v>1020</v>
      </c>
      <c r="P149" s="845"/>
      <c r="Q149" s="827" t="s">
        <v>204</v>
      </c>
      <c r="R149" s="827" t="s">
        <v>204</v>
      </c>
      <c r="S149" s="835" t="s">
        <v>100</v>
      </c>
      <c r="T149" s="827" t="s">
        <v>94</v>
      </c>
      <c r="U149" s="827" t="s">
        <v>204</v>
      </c>
      <c r="V149" s="827" t="s">
        <v>204</v>
      </c>
      <c r="W149" s="835" t="s">
        <v>581</v>
      </c>
      <c r="X149" s="827" t="s">
        <v>517</v>
      </c>
      <c r="Y149" s="340" t="s">
        <v>391</v>
      </c>
      <c r="Z149" s="835">
        <v>19</v>
      </c>
      <c r="AA149" s="835" t="s">
        <v>580</v>
      </c>
      <c r="AB149" s="827" t="s">
        <v>520</v>
      </c>
      <c r="AC149" s="831">
        <v>0</v>
      </c>
      <c r="AD149" s="832">
        <v>1</v>
      </c>
      <c r="AE149" s="827" t="s">
        <v>17</v>
      </c>
      <c r="AF149" s="827" t="s">
        <v>297</v>
      </c>
      <c r="AG149" s="827" t="s">
        <v>204</v>
      </c>
      <c r="AH149" s="827" t="s">
        <v>635</v>
      </c>
      <c r="AI149" s="827" t="s">
        <v>81</v>
      </c>
      <c r="AJ149" s="827" t="s">
        <v>1280</v>
      </c>
      <c r="AK149" s="827" t="s">
        <v>522</v>
      </c>
      <c r="AL149" s="827" t="s">
        <v>204</v>
      </c>
      <c r="AM149" s="835">
        <v>19</v>
      </c>
      <c r="AN149" s="827" t="str">
        <f t="shared" si="273"/>
        <v>Elaborar y aprobar de los procedimientos relacionados con Seguridad de la Información que corresponden por competencias  directamente a la DGTIC.</v>
      </c>
      <c r="AO149" s="72">
        <f t="shared" si="291"/>
        <v>0</v>
      </c>
      <c r="AP149" s="860" t="s">
        <v>48</v>
      </c>
      <c r="AQ149" s="491">
        <v>4</v>
      </c>
      <c r="AR149" s="827" t="str">
        <f t="shared" si="268"/>
        <v>Elaborar y aprobar de los procedimientos relacionados con Seguridad de la Información que corresponden por competencias  directamente a la DGTIC.</v>
      </c>
      <c r="AS149" s="831">
        <f t="shared" si="292"/>
        <v>0</v>
      </c>
      <c r="AT149" s="835">
        <v>4</v>
      </c>
      <c r="AU149" s="850">
        <v>0</v>
      </c>
      <c r="AV149" s="828">
        <f t="shared" si="293"/>
        <v>1</v>
      </c>
      <c r="AW149" s="828" t="e">
        <f t="shared" si="244"/>
        <v>#DIV/0!</v>
      </c>
      <c r="AX149" s="828">
        <f t="shared" si="294"/>
        <v>0.21052631578947367</v>
      </c>
      <c r="AY149" s="828" t="e">
        <f t="shared" si="295"/>
        <v>#DIV/0!</v>
      </c>
      <c r="AZ149" s="466" t="s">
        <v>1316</v>
      </c>
      <c r="BA149" s="900">
        <v>0</v>
      </c>
      <c r="BB149" s="827" t="str">
        <f t="shared" si="296"/>
        <v>Elaborar y aprobar de los procedimientos relacionados con Seguridad de la Información que corresponden por competencias  directamente a la DGTIC.</v>
      </c>
      <c r="BC149" s="831">
        <v>0</v>
      </c>
      <c r="BD149" s="901">
        <v>0</v>
      </c>
      <c r="BE149" s="850">
        <v>0</v>
      </c>
      <c r="BF149" s="828" t="e">
        <f t="shared" si="247"/>
        <v>#DIV/0!</v>
      </c>
      <c r="BG149" s="828" t="e">
        <f t="shared" si="248"/>
        <v>#DIV/0!</v>
      </c>
      <c r="BH149" s="828">
        <f t="shared" si="249"/>
        <v>0.21052631578947367</v>
      </c>
      <c r="BI149" s="828" t="e">
        <f t="shared" si="250"/>
        <v>#DIV/0!</v>
      </c>
      <c r="BJ149" s="829" t="s">
        <v>1661</v>
      </c>
      <c r="BK149" s="491">
        <v>5</v>
      </c>
      <c r="BL149" s="827" t="str">
        <f t="shared" si="270"/>
        <v>Elaborar y aprobar de los procedimientos relacionados con Seguridad de la Información que corresponden por competencias  directamente a la DGTIC.</v>
      </c>
      <c r="BM149" s="831">
        <v>0</v>
      </c>
      <c r="BN149" s="835">
        <v>5</v>
      </c>
      <c r="BO149" s="955">
        <v>0</v>
      </c>
      <c r="BP149" s="828">
        <f>+(BN149/BK149)</f>
        <v>1</v>
      </c>
      <c r="BQ149" s="828" t="e">
        <f>+(BO149/BM149)</f>
        <v>#DIV/0!</v>
      </c>
      <c r="BR149" s="828">
        <f>+(BD149+AT149+BN149)/AM149</f>
        <v>0.47368421052631576</v>
      </c>
      <c r="BS149" s="828" t="e">
        <f>+(BE149+AU149+BO149)/AO149</f>
        <v>#DIV/0!</v>
      </c>
      <c r="BT149" s="466" t="s">
        <v>1828</v>
      </c>
      <c r="BU149" s="491">
        <v>10</v>
      </c>
      <c r="BV149" s="827" t="str">
        <f t="shared" si="271"/>
        <v>Elaborar y aprobar de los procedimientos relacionados con Seguridad de la Información que corresponden por competencias  directamente a la DGTIC.</v>
      </c>
      <c r="BW149" s="850">
        <f t="shared" si="290"/>
        <v>0</v>
      </c>
      <c r="BX149" s="835"/>
      <c r="BY149" s="835"/>
      <c r="BZ149" s="826">
        <f>+(BX149/BU149)</f>
        <v>0</v>
      </c>
      <c r="CA149" s="826" t="e">
        <f>+(BY149/BW149)</f>
        <v>#DIV/0!</v>
      </c>
      <c r="CB149" s="826">
        <f>+(BD149+AT149+BN149+BX149)/AM149</f>
        <v>0.47368421052631576</v>
      </c>
      <c r="CC149" s="826" t="e">
        <f>+(BE149+AU149+BO149+BY149)/AO149</f>
        <v>#DIV/0!</v>
      </c>
      <c r="CD149" s="826"/>
      <c r="CE149" s="640">
        <f>IF(AND(AQ149=0,AT149=0),"No Prog ni Ejec",IF(AQ149=0,CONCATENATE("No Prog, Ejec=  ",AT149),AT149/AQ149))</f>
        <v>1</v>
      </c>
      <c r="CF149" s="640" t="str">
        <f>IF(AND(AS149=0,AU149=0),"No Prog ni Ejec",IF(AS149=0,CONCATENATE("No Prog, Ejec=  ",AU149),AU149/AS149))</f>
        <v>No Prog ni Ejec</v>
      </c>
      <c r="CG149" s="640" t="str">
        <f>IF(AND(BA149=0,BD149=0),"No Prog ni Ejec",IF(BA149=0,CONCATENATE("No Prog, Ejec=  ",BD149),BD149/BA149))</f>
        <v>No Prog ni Ejec</v>
      </c>
      <c r="CH149" s="640" t="str">
        <f>IF(AND(BC149=0,BE149=0),"No Prog ni Ejec",IF(BC149=0,CONCATENATE("No Prog, Ejec=  ",BE149),BE149/BC149))</f>
        <v>No Prog ni Ejec</v>
      </c>
      <c r="CI149" s="640">
        <f>IF(AND(BK149=0,BN149=0),"No Prog ni Ejec",IF(BK149=0,CONCATENATE("No Prog, Ejec=  ",BN149),BN149/BK149))</f>
        <v>1</v>
      </c>
      <c r="CJ149" s="640" t="str">
        <f>IF(AND(BM149=0,BO149=0),"No Prog ni Ejec",IF(BM149=0,CONCATENATE("No Prog, Ejec=  ",BO149),BO149/BM149))</f>
        <v>No Prog ni Ejec</v>
      </c>
      <c r="CK149" s="640">
        <f>IF(AND(BU149=0,BX149=0),"No Prog ni Ejec",IF(BU149=0,CONCATENATE("No Prog, Ejec=  ",BX149),BX149/BU149))</f>
        <v>0</v>
      </c>
      <c r="CL149" s="698" t="str">
        <f>IF(AND(BW149=0,BY149=0),"No Prog ni Ejec",IF(BW149=0,CONCATENATE("No Prog, Ejec=  ",BY149),BY149/BW149))</f>
        <v>No Prog ni Ejec</v>
      </c>
      <c r="CM149" s="128">
        <f t="shared" si="272"/>
        <v>0</v>
      </c>
      <c r="CT149" s="122">
        <v>3</v>
      </c>
    </row>
    <row r="150" spans="1:107" s="70" customFormat="1" ht="141" customHeight="1" x14ac:dyDescent="0.2">
      <c r="A150" s="834">
        <v>11600</v>
      </c>
      <c r="B150" s="827" t="s">
        <v>4</v>
      </c>
      <c r="C150" s="827" t="s">
        <v>1149</v>
      </c>
      <c r="D150" s="845"/>
      <c r="E150" s="845"/>
      <c r="F150" s="845"/>
      <c r="G150" s="845" t="s">
        <v>1020</v>
      </c>
      <c r="H150" s="845"/>
      <c r="I150" s="845"/>
      <c r="J150" s="845"/>
      <c r="K150" s="845"/>
      <c r="L150" s="845"/>
      <c r="M150" s="845"/>
      <c r="N150" s="845"/>
      <c r="O150" s="845" t="s">
        <v>1020</v>
      </c>
      <c r="P150" s="845"/>
      <c r="Q150" s="827" t="s">
        <v>204</v>
      </c>
      <c r="R150" s="827" t="s">
        <v>204</v>
      </c>
      <c r="S150" s="835" t="s">
        <v>100</v>
      </c>
      <c r="T150" s="827" t="s">
        <v>94</v>
      </c>
      <c r="U150" s="827" t="s">
        <v>204</v>
      </c>
      <c r="V150" s="827" t="s">
        <v>204</v>
      </c>
      <c r="W150" s="835" t="s">
        <v>583</v>
      </c>
      <c r="X150" s="827" t="s">
        <v>523</v>
      </c>
      <c r="Y150" s="340" t="s">
        <v>391</v>
      </c>
      <c r="Z150" s="835">
        <v>4</v>
      </c>
      <c r="AA150" s="835" t="s">
        <v>582</v>
      </c>
      <c r="AB150" s="827" t="s">
        <v>525</v>
      </c>
      <c r="AC150" s="831">
        <v>0</v>
      </c>
      <c r="AD150" s="832">
        <v>1</v>
      </c>
      <c r="AE150" s="827" t="s">
        <v>16</v>
      </c>
      <c r="AF150" s="827" t="s">
        <v>21</v>
      </c>
      <c r="AG150" s="827" t="s">
        <v>204</v>
      </c>
      <c r="AH150" s="827" t="s">
        <v>635</v>
      </c>
      <c r="AI150" s="827" t="s">
        <v>77</v>
      </c>
      <c r="AJ150" s="827" t="s">
        <v>204</v>
      </c>
      <c r="AK150" s="827" t="s">
        <v>527</v>
      </c>
      <c r="AL150" s="827" t="s">
        <v>43</v>
      </c>
      <c r="AM150" s="835">
        <v>4</v>
      </c>
      <c r="AN150" s="827" t="str">
        <f t="shared" si="273"/>
        <v>Realizar campaña de sensibilización en Seguridad y Privacidad de la Información para Servidores Públicos y Contratistas</v>
      </c>
      <c r="AO150" s="72">
        <f t="shared" si="291"/>
        <v>0</v>
      </c>
      <c r="AP150" s="860" t="s">
        <v>48</v>
      </c>
      <c r="AQ150" s="491">
        <v>1</v>
      </c>
      <c r="AR150" s="827" t="str">
        <f t="shared" si="268"/>
        <v>Realizar campaña de sensibilización en Seguridad y Privacidad de la Información para Servidores Públicos y Contratistas</v>
      </c>
      <c r="AS150" s="831">
        <f t="shared" si="292"/>
        <v>0</v>
      </c>
      <c r="AT150" s="835">
        <v>1</v>
      </c>
      <c r="AU150" s="850">
        <v>0</v>
      </c>
      <c r="AV150" s="828">
        <f t="shared" si="293"/>
        <v>1</v>
      </c>
      <c r="AW150" s="828" t="e">
        <f t="shared" si="244"/>
        <v>#DIV/0!</v>
      </c>
      <c r="AX150" s="828">
        <f t="shared" si="294"/>
        <v>0.25</v>
      </c>
      <c r="AY150" s="828" t="e">
        <f t="shared" si="295"/>
        <v>#DIV/0!</v>
      </c>
      <c r="AZ150" s="466" t="s">
        <v>1317</v>
      </c>
      <c r="BA150" s="491">
        <v>1</v>
      </c>
      <c r="BB150" s="827" t="str">
        <f t="shared" si="296"/>
        <v>Realizar campaña de sensibilización en Seguridad y Privacidad de la Información para Servidores Públicos y Contratistas</v>
      </c>
      <c r="BC150" s="831">
        <v>0</v>
      </c>
      <c r="BD150" s="901">
        <v>1</v>
      </c>
      <c r="BE150" s="850">
        <v>0</v>
      </c>
      <c r="BF150" s="828">
        <f t="shared" si="247"/>
        <v>1</v>
      </c>
      <c r="BG150" s="828" t="e">
        <f t="shared" si="248"/>
        <v>#DIV/0!</v>
      </c>
      <c r="BH150" s="828">
        <f t="shared" si="249"/>
        <v>0.5</v>
      </c>
      <c r="BI150" s="828" t="e">
        <f t="shared" si="250"/>
        <v>#DIV/0!</v>
      </c>
      <c r="BJ150" s="829" t="s">
        <v>1666</v>
      </c>
      <c r="BK150" s="491">
        <v>1</v>
      </c>
      <c r="BL150" s="827" t="str">
        <f t="shared" si="270"/>
        <v>Realizar campaña de sensibilización en Seguridad y Privacidad de la Información para Servidores Públicos y Contratistas</v>
      </c>
      <c r="BM150" s="831">
        <v>0</v>
      </c>
      <c r="BN150" s="835">
        <v>1</v>
      </c>
      <c r="BO150" s="955">
        <v>0</v>
      </c>
      <c r="BP150" s="828">
        <f>+(BN150/BK150)</f>
        <v>1</v>
      </c>
      <c r="BQ150" s="828" t="e">
        <f>+(BO150/BM150)</f>
        <v>#DIV/0!</v>
      </c>
      <c r="BR150" s="828">
        <f>+(BD150+AT150+BN150)/AM150</f>
        <v>0.75</v>
      </c>
      <c r="BS150" s="828" t="e">
        <f>+(BE150+AU150+BO150)/AO150</f>
        <v>#DIV/0!</v>
      </c>
      <c r="BT150" s="466" t="s">
        <v>1829</v>
      </c>
      <c r="BU150" s="491">
        <v>1</v>
      </c>
      <c r="BV150" s="827" t="str">
        <f t="shared" si="271"/>
        <v>Realizar campaña de sensibilización en Seguridad y Privacidad de la Información para Servidores Públicos y Contratistas</v>
      </c>
      <c r="BW150" s="850">
        <f t="shared" si="290"/>
        <v>0</v>
      </c>
      <c r="BX150" s="835"/>
      <c r="BY150" s="835"/>
      <c r="BZ150" s="826">
        <f>+(BX150/BU150)</f>
        <v>0</v>
      </c>
      <c r="CA150" s="826" t="e">
        <f>+(BY150/BW150)</f>
        <v>#DIV/0!</v>
      </c>
      <c r="CB150" s="826">
        <f>+(BD150+AT150+BN150+BX150)/AM150</f>
        <v>0.75</v>
      </c>
      <c r="CC150" s="826" t="e">
        <f>+(BE150+AU150+BO150+BY150)/AO150</f>
        <v>#DIV/0!</v>
      </c>
      <c r="CD150" s="826"/>
      <c r="CE150" s="640">
        <f>IF(AND(AQ150=0,AT150=0),"No Prog ni Ejec",IF(AQ150=0,CONCATENATE("No Prog, Ejec=  ",AT150),AT150/AQ150))</f>
        <v>1</v>
      </c>
      <c r="CF150" s="640" t="str">
        <f>IF(AND(AS150=0,AU150=0),"No Prog ni Ejec",IF(AS150=0,CONCATENATE("No Prog, Ejec=  ",AU150),AU150/AS150))</f>
        <v>No Prog ni Ejec</v>
      </c>
      <c r="CG150" s="640">
        <f>IF(AND(BA150=0,BD150=0),"No Prog ni Ejec",IF(BA150=0,CONCATENATE("No Prog, Ejec=  ",BD150),BD150/BA150))</f>
        <v>1</v>
      </c>
      <c r="CH150" s="640" t="str">
        <f>IF(AND(BC150=0,BE150=0),"No Prog ni Ejec",IF(BC150=0,CONCATENATE("No Prog, Ejec=  ",BE150),BE150/BC150))</f>
        <v>No Prog ni Ejec</v>
      </c>
      <c r="CI150" s="640">
        <f>IF(AND(BK150=0,BN150=0),"No Prog ni Ejec",IF(BK150=0,CONCATENATE("No Prog, Ejec=  ",BN150),BN150/BK150))</f>
        <v>1</v>
      </c>
      <c r="CJ150" s="640" t="str">
        <f>IF(AND(BM150=0,BO150=0),"No Prog ni Ejec",IF(BM150=0,CONCATENATE("No Prog, Ejec=  ",BO150),BO150/BM150))</f>
        <v>No Prog ni Ejec</v>
      </c>
      <c r="CK150" s="640">
        <f>IF(AND(BU150=0,BX150=0),"No Prog ni Ejec",IF(BU150=0,CONCATENATE("No Prog, Ejec=  ",BX150),BX150/BU150))</f>
        <v>0</v>
      </c>
      <c r="CL150" s="698" t="str">
        <f>IF(AND(BW150=0,BY150=0),"No Prog ni Ejec",IF(BW150=0,CONCATENATE("No Prog, Ejec=  ",BY150),BY150/BW150))</f>
        <v>No Prog ni Ejec</v>
      </c>
      <c r="CM150" s="128">
        <f t="shared" si="272"/>
        <v>0</v>
      </c>
      <c r="CT150" s="122">
        <v>3</v>
      </c>
    </row>
    <row r="151" spans="1:107" s="70" customFormat="1" ht="111" customHeight="1" x14ac:dyDescent="0.2">
      <c r="A151" s="834">
        <v>11600</v>
      </c>
      <c r="B151" s="827" t="s">
        <v>4</v>
      </c>
      <c r="C151" s="827" t="s">
        <v>1149</v>
      </c>
      <c r="D151" s="845"/>
      <c r="E151" s="845"/>
      <c r="F151" s="845"/>
      <c r="G151" s="845" t="s">
        <v>1020</v>
      </c>
      <c r="H151" s="845"/>
      <c r="I151" s="845"/>
      <c r="J151" s="845"/>
      <c r="K151" s="845"/>
      <c r="L151" s="845"/>
      <c r="M151" s="845"/>
      <c r="N151" s="845"/>
      <c r="O151" s="845" t="s">
        <v>1020</v>
      </c>
      <c r="P151" s="845"/>
      <c r="Q151" s="827" t="s">
        <v>204</v>
      </c>
      <c r="R151" s="827" t="s">
        <v>204</v>
      </c>
      <c r="S151" s="835" t="s">
        <v>100</v>
      </c>
      <c r="T151" s="827" t="s">
        <v>94</v>
      </c>
      <c r="U151" s="827" t="s">
        <v>204</v>
      </c>
      <c r="V151" s="827" t="s">
        <v>204</v>
      </c>
      <c r="W151" s="835" t="s">
        <v>1119</v>
      </c>
      <c r="X151" s="827" t="s">
        <v>524</v>
      </c>
      <c r="Y151" s="340" t="s">
        <v>391</v>
      </c>
      <c r="Z151" s="835">
        <v>2</v>
      </c>
      <c r="AA151" s="835" t="s">
        <v>1109</v>
      </c>
      <c r="AB151" s="827" t="s">
        <v>526</v>
      </c>
      <c r="AC151" s="831">
        <v>0</v>
      </c>
      <c r="AD151" s="832">
        <v>1</v>
      </c>
      <c r="AE151" s="827" t="s">
        <v>16</v>
      </c>
      <c r="AF151" s="827" t="s">
        <v>21</v>
      </c>
      <c r="AG151" s="827" t="s">
        <v>204</v>
      </c>
      <c r="AH151" s="827" t="s">
        <v>635</v>
      </c>
      <c r="AI151" s="827" t="s">
        <v>77</v>
      </c>
      <c r="AJ151" s="827" t="s">
        <v>1279</v>
      </c>
      <c r="AK151" s="827" t="s">
        <v>528</v>
      </c>
      <c r="AL151" s="827" t="s">
        <v>43</v>
      </c>
      <c r="AM151" s="835">
        <v>2</v>
      </c>
      <c r="AN151" s="827" t="str">
        <f t="shared" si="273"/>
        <v>Realizar jornadas de Capacitación en Seguridad y Privacidad de la Información para Servidores Públicos y Contratistas</v>
      </c>
      <c r="AO151" s="72">
        <f t="shared" si="291"/>
        <v>0</v>
      </c>
      <c r="AP151" s="860" t="s">
        <v>48</v>
      </c>
      <c r="AQ151" s="900">
        <v>0</v>
      </c>
      <c r="AR151" s="827" t="str">
        <f t="shared" si="268"/>
        <v>Realizar jornadas de Capacitación en Seguridad y Privacidad de la Información para Servidores Públicos y Contratistas</v>
      </c>
      <c r="AS151" s="831">
        <f t="shared" si="292"/>
        <v>0</v>
      </c>
      <c r="AT151" s="835">
        <v>0</v>
      </c>
      <c r="AU151" s="850">
        <v>0</v>
      </c>
      <c r="AV151" s="828" t="e">
        <f t="shared" si="293"/>
        <v>#DIV/0!</v>
      </c>
      <c r="AW151" s="828" t="e">
        <f t="shared" si="244"/>
        <v>#DIV/0!</v>
      </c>
      <c r="AX151" s="828">
        <f t="shared" si="294"/>
        <v>0</v>
      </c>
      <c r="AY151" s="828" t="e">
        <f t="shared" si="295"/>
        <v>#DIV/0!</v>
      </c>
      <c r="AZ151" s="466" t="s">
        <v>1318</v>
      </c>
      <c r="BA151" s="491">
        <v>1</v>
      </c>
      <c r="BB151" s="827" t="str">
        <f t="shared" si="296"/>
        <v>Realizar jornadas de Capacitación en Seguridad y Privacidad de la Información para Servidores Públicos y Contratistas</v>
      </c>
      <c r="BC151" s="831">
        <v>0</v>
      </c>
      <c r="BD151" s="901">
        <v>1</v>
      </c>
      <c r="BE151" s="850">
        <v>0</v>
      </c>
      <c r="BF151" s="828">
        <f t="shared" si="247"/>
        <v>1</v>
      </c>
      <c r="BG151" s="828" t="e">
        <f t="shared" si="248"/>
        <v>#DIV/0!</v>
      </c>
      <c r="BH151" s="828">
        <f t="shared" si="249"/>
        <v>0.5</v>
      </c>
      <c r="BI151" s="828" t="e">
        <f t="shared" si="250"/>
        <v>#DIV/0!</v>
      </c>
      <c r="BJ151" s="829" t="s">
        <v>1667</v>
      </c>
      <c r="BK151" s="900">
        <v>0</v>
      </c>
      <c r="BL151" s="827" t="str">
        <f t="shared" si="270"/>
        <v>Realizar jornadas de Capacitación en Seguridad y Privacidad de la Información para Servidores Públicos y Contratistas</v>
      </c>
      <c r="BM151" s="831">
        <v>0</v>
      </c>
      <c r="BN151" s="835">
        <v>0</v>
      </c>
      <c r="BO151" s="955">
        <v>0</v>
      </c>
      <c r="BP151" s="828" t="e">
        <f>+(BN151/BK151)</f>
        <v>#DIV/0!</v>
      </c>
      <c r="BQ151" s="828" t="e">
        <f>+(BO151/BM151)</f>
        <v>#DIV/0!</v>
      </c>
      <c r="BR151" s="828">
        <f>+(BD151+AT151+BN151)/AM151</f>
        <v>0.5</v>
      </c>
      <c r="BS151" s="828" t="e">
        <f>+(BE151+AU151+BO151)/AO151</f>
        <v>#DIV/0!</v>
      </c>
      <c r="BT151" s="466" t="s">
        <v>1827</v>
      </c>
      <c r="BU151" s="491">
        <v>1</v>
      </c>
      <c r="BV151" s="827" t="str">
        <f t="shared" si="271"/>
        <v>Realizar jornadas de Capacitación en Seguridad y Privacidad de la Información para Servidores Públicos y Contratistas</v>
      </c>
      <c r="BW151" s="850">
        <f t="shared" si="290"/>
        <v>0</v>
      </c>
      <c r="BX151" s="835"/>
      <c r="BY151" s="835"/>
      <c r="BZ151" s="826">
        <f>+(BX151/BU151)</f>
        <v>0</v>
      </c>
      <c r="CA151" s="826" t="e">
        <f>+(BY151/BW151)</f>
        <v>#DIV/0!</v>
      </c>
      <c r="CB151" s="826">
        <f>+(BD151+AT151+BN151+BX151)/AM151</f>
        <v>0.5</v>
      </c>
      <c r="CC151" s="826" t="e">
        <f>+(BE151+AU151+BO151+BY151)/AO151</f>
        <v>#DIV/0!</v>
      </c>
      <c r="CD151" s="826"/>
      <c r="CE151" s="640" t="str">
        <f>IF(AND(AQ151=0,AT151=0),"No Prog ni Ejec",IF(AQ151=0,CONCATENATE("No Prog, Ejec=  ",AT151),AT151/AQ151))</f>
        <v>No Prog ni Ejec</v>
      </c>
      <c r="CF151" s="640" t="str">
        <f>IF(AND(AS151=0,AU151=0),"No Prog ni Ejec",IF(AS151=0,CONCATENATE("No Prog, Ejec=  ",AU151),AU151/AS151))</f>
        <v>No Prog ni Ejec</v>
      </c>
      <c r="CG151" s="640">
        <f>IF(AND(BA151=0,BD151=0),"No Prog ni Ejec",IF(BA151=0,CONCATENATE("No Prog, Ejec=  ",BD151),BD151/BA151))</f>
        <v>1</v>
      </c>
      <c r="CH151" s="640" t="str">
        <f>IF(AND(BC151=0,BE151=0),"No Prog ni Ejec",IF(BC151=0,CONCATENATE("No Prog, Ejec=  ",BE151),BE151/BC151))</f>
        <v>No Prog ni Ejec</v>
      </c>
      <c r="CI151" s="640" t="str">
        <f>IF(AND(BK151=0,BN151=0),"No Prog ni Ejec",IF(BK151=0,CONCATENATE("No Prog, Ejec=  ",BN151),BN151/BK151))</f>
        <v>No Prog ni Ejec</v>
      </c>
      <c r="CJ151" s="640" t="str">
        <f>IF(AND(BM151=0,BO151=0),"No Prog ni Ejec",IF(BM151=0,CONCATENATE("No Prog, Ejec=  ",BO151),BO151/BM151))</f>
        <v>No Prog ni Ejec</v>
      </c>
      <c r="CK151" s="640">
        <f>IF(AND(BU151=0,BX151=0),"No Prog ni Ejec",IF(BU151=0,CONCATENATE("No Prog, Ejec=  ",BX151),BX151/BU151))</f>
        <v>0</v>
      </c>
      <c r="CL151" s="698" t="str">
        <f>IF(AND(BW151=0,BY151=0),"No Prog ni Ejec",IF(BW151=0,CONCATENATE("No Prog, Ejec=  ",BY151),BY151/BW151))</f>
        <v>No Prog ni Ejec</v>
      </c>
      <c r="CM151" s="128">
        <f t="shared" si="272"/>
        <v>0</v>
      </c>
      <c r="CT151" s="122">
        <v>3</v>
      </c>
    </row>
    <row r="152" spans="1:107" s="78" customFormat="1" ht="99" customHeight="1" x14ac:dyDescent="0.2">
      <c r="A152" s="834">
        <v>12000</v>
      </c>
      <c r="B152" s="827" t="s">
        <v>15</v>
      </c>
      <c r="C152" s="827" t="s">
        <v>336</v>
      </c>
      <c r="D152" s="845" t="s">
        <v>1020</v>
      </c>
      <c r="E152" s="845"/>
      <c r="F152" s="845"/>
      <c r="G152" s="845"/>
      <c r="H152" s="845"/>
      <c r="I152" s="845"/>
      <c r="J152" s="845"/>
      <c r="K152" s="845"/>
      <c r="L152" s="845"/>
      <c r="M152" s="845"/>
      <c r="N152" s="845"/>
      <c r="O152" s="845"/>
      <c r="P152" s="845"/>
      <c r="Q152" s="827" t="s">
        <v>1126</v>
      </c>
      <c r="R152" s="827" t="s">
        <v>1625</v>
      </c>
      <c r="S152" s="835" t="s">
        <v>53</v>
      </c>
      <c r="T152" s="827" t="s">
        <v>94</v>
      </c>
      <c r="U152" s="827" t="s">
        <v>204</v>
      </c>
      <c r="V152" s="827" t="s">
        <v>204</v>
      </c>
      <c r="W152" s="835" t="s">
        <v>886</v>
      </c>
      <c r="X152" s="827" t="s">
        <v>530</v>
      </c>
      <c r="Y152" s="838" t="s">
        <v>391</v>
      </c>
      <c r="Z152" s="835">
        <v>1</v>
      </c>
      <c r="AA152" s="835" t="s">
        <v>884</v>
      </c>
      <c r="AB152" s="827" t="s">
        <v>531</v>
      </c>
      <c r="AC152" s="831">
        <v>0</v>
      </c>
      <c r="AD152" s="832">
        <v>1</v>
      </c>
      <c r="AE152" s="827" t="s">
        <v>17</v>
      </c>
      <c r="AF152" s="827" t="s">
        <v>295</v>
      </c>
      <c r="AG152" s="827" t="s">
        <v>204</v>
      </c>
      <c r="AH152" s="827" t="s">
        <v>635</v>
      </c>
      <c r="AI152" s="827" t="s">
        <v>1042</v>
      </c>
      <c r="AJ152" s="827" t="s">
        <v>1269</v>
      </c>
      <c r="AK152" s="827" t="s">
        <v>532</v>
      </c>
      <c r="AL152" s="827" t="s">
        <v>204</v>
      </c>
      <c r="AM152" s="835">
        <v>1</v>
      </c>
      <c r="AN152" s="827" t="str">
        <f t="shared" ref="AN152:AN164" si="297">+AB152</f>
        <v>Actualiza y formalizar la Política del Sistema Integrado de Administración de Riesgos de la ADRES.</v>
      </c>
      <c r="AO152" s="833">
        <f t="shared" ref="AO152:AO164" si="298">+AC152</f>
        <v>0</v>
      </c>
      <c r="AP152" s="860" t="s">
        <v>48</v>
      </c>
      <c r="AQ152" s="66">
        <v>0</v>
      </c>
      <c r="AR152" s="827" t="str">
        <f t="shared" ref="AR152:AR165" si="299">+AN152</f>
        <v>Actualiza y formalizar la Política del Sistema Integrado de Administración de Riesgos de la ADRES.</v>
      </c>
      <c r="AS152" s="831">
        <f t="shared" ref="AS152:AS163" si="300">+AO152/4</f>
        <v>0</v>
      </c>
      <c r="AT152" s="835">
        <v>0</v>
      </c>
      <c r="AU152" s="850">
        <v>0</v>
      </c>
      <c r="AV152" s="828" t="e">
        <f t="shared" ref="AV152:AV165" si="301">+(AT152/AQ152)</f>
        <v>#DIV/0!</v>
      </c>
      <c r="AW152" s="828" t="e">
        <f t="shared" ref="AW152:AW165" si="302">+(AU152/AS152)</f>
        <v>#DIV/0!</v>
      </c>
      <c r="AX152" s="828">
        <f t="shared" ref="AX152:AX165" si="303">+(AT152/AM152)</f>
        <v>0</v>
      </c>
      <c r="AY152" s="828" t="e">
        <f t="shared" ref="AY152:AY165" si="304">+(AU152/AO152)</f>
        <v>#DIV/0!</v>
      </c>
      <c r="AZ152" s="827" t="s">
        <v>1372</v>
      </c>
      <c r="BA152" s="66">
        <v>1</v>
      </c>
      <c r="BB152" s="827" t="str">
        <f t="shared" ref="BB152:BB165" si="305">+AN152</f>
        <v>Actualiza y formalizar la Política del Sistema Integrado de Administración de Riesgos de la ADRES.</v>
      </c>
      <c r="BC152" s="831">
        <f t="shared" ref="BC152:BC163" si="306">+AO152/4</f>
        <v>0</v>
      </c>
      <c r="BD152" s="838">
        <v>1</v>
      </c>
      <c r="BE152" s="831">
        <v>0</v>
      </c>
      <c r="BF152" s="828">
        <f t="shared" ref="BF152:BF165" si="307">+(BD152/BA152)</f>
        <v>1</v>
      </c>
      <c r="BG152" s="828" t="e">
        <f t="shared" ref="BG152:BG165" si="308">+(BE152/BC152)</f>
        <v>#DIV/0!</v>
      </c>
      <c r="BH152" s="828">
        <f t="shared" ref="BH152:BH165" si="309">+(BD152+AT152)/AM152</f>
        <v>1</v>
      </c>
      <c r="BI152" s="828" t="e">
        <f t="shared" ref="BI152:BI165" si="310">+(BE152+AU152)/AO152</f>
        <v>#DIV/0!</v>
      </c>
      <c r="BJ152" s="829" t="s">
        <v>1747</v>
      </c>
      <c r="BK152" s="66">
        <v>0</v>
      </c>
      <c r="BL152" s="827" t="str">
        <f t="shared" ref="BL152:BL165" si="311">+AN152</f>
        <v>Actualiza y formalizar la Política del Sistema Integrado de Administración de Riesgos de la ADRES.</v>
      </c>
      <c r="BM152" s="831">
        <f t="shared" ref="BM152:BM163" si="312">+AO152/4</f>
        <v>0</v>
      </c>
      <c r="BN152" s="835">
        <v>0</v>
      </c>
      <c r="BO152" s="962">
        <v>0</v>
      </c>
      <c r="BP152" s="828" t="e">
        <f t="shared" ref="BP152:BP165" si="313">+(BN152/BK152)</f>
        <v>#DIV/0!</v>
      </c>
      <c r="BQ152" s="828" t="e">
        <f t="shared" ref="BQ152:BQ165" si="314">+(BO152/BM152)</f>
        <v>#DIV/0!</v>
      </c>
      <c r="BR152" s="828">
        <f t="shared" ref="BR152:BR165" si="315">+(BD152+AT152+BN152)/AM152</f>
        <v>1</v>
      </c>
      <c r="BS152" s="828" t="e">
        <f t="shared" ref="BS152:BS165" si="316">+(BE152+AU152+BO152)/AO152</f>
        <v>#DIV/0!</v>
      </c>
      <c r="BT152" s="961" t="s">
        <v>1832</v>
      </c>
      <c r="BU152" s="66">
        <v>0</v>
      </c>
      <c r="BV152" s="827" t="str">
        <f t="shared" ref="BV152:BV165" si="317">+AN152</f>
        <v>Actualiza y formalizar la Política del Sistema Integrado de Administración de Riesgos de la ADRES.</v>
      </c>
      <c r="BW152" s="831">
        <f t="shared" ref="BW152:BW163" si="318">+AO152/4</f>
        <v>0</v>
      </c>
      <c r="BX152" s="835"/>
      <c r="BY152" s="835"/>
      <c r="BZ152" s="826" t="e">
        <f t="shared" ref="BZ152:BZ165" si="319">+(BX152/BU152)</f>
        <v>#DIV/0!</v>
      </c>
      <c r="CA152" s="826" t="e">
        <f t="shared" ref="CA152:CA165" si="320">+(BY152/BW152)</f>
        <v>#DIV/0!</v>
      </c>
      <c r="CB152" s="826">
        <f t="shared" ref="CB152:CB165" si="321">+(BD152+AT152+BN152+BX152)/AM152</f>
        <v>1</v>
      </c>
      <c r="CC152" s="826" t="e">
        <f t="shared" ref="CC152:CC165" si="322">+(BE152+AU152+BO152+BY152)/AO152</f>
        <v>#DIV/0!</v>
      </c>
      <c r="CD152" s="826"/>
      <c r="CE152" s="640" t="str">
        <f t="shared" ref="CE152:CE164" si="323">IF(AND(AQ152=0,AT152=0),"No Prog ni Ejec",IF(AQ152=0,CONCATENATE("No Prog, Ejec=  ",AT152),AT152/AQ152))</f>
        <v>No Prog ni Ejec</v>
      </c>
      <c r="CF152" s="640" t="str">
        <f t="shared" ref="CF152:CF164" si="324">IF(AND(AS152=0,AU152=0),"No Prog ni Ejec",IF(AS152=0,CONCATENATE("No Prog, Ejec=  ",AU152),AU152/AS152))</f>
        <v>No Prog ni Ejec</v>
      </c>
      <c r="CG152" s="640">
        <f t="shared" ref="CG152:CG164" si="325">IF(AND(BA152=0,BD152=0),"No Prog ni Ejec",IF(BA152=0,CONCATENATE("No Prog, Ejec=  ",BD152),BD152/BA152))</f>
        <v>1</v>
      </c>
      <c r="CH152" s="640" t="str">
        <f t="shared" ref="CH152:CH164" si="326">IF(AND(BC152=0,BE152=0),"No Prog ni Ejec",IF(BC152=0,CONCATENATE("No Prog, Ejec=  ",BE152),BE152/BC152))</f>
        <v>No Prog ni Ejec</v>
      </c>
      <c r="CI152" s="640" t="str">
        <f t="shared" ref="CI152:CI164" si="327">IF(AND(BK152=0,BN152=0),"No Prog ni Ejec",IF(BK152=0,CONCATENATE("No Prog, Ejec=  ",BN152),BN152/BK152))</f>
        <v>No Prog ni Ejec</v>
      </c>
      <c r="CJ152" s="640" t="str">
        <f t="shared" ref="CJ152:CJ164" si="328">IF(AND(BM152=0,BO152=0),"No Prog ni Ejec",IF(BM152=0,CONCATENATE("No Prog, Ejec=  ",BO152),BO152/BM152))</f>
        <v>No Prog ni Ejec</v>
      </c>
      <c r="CK152" s="640" t="str">
        <f t="shared" ref="CK152:CK164" si="329">IF(AND(BU152=0,BX152=0),"No Prog ni Ejec",IF(BU152=0,CONCATENATE("No Prog, Ejec=  ",BX152),BX152/BU152))</f>
        <v>No Prog ni Ejec</v>
      </c>
      <c r="CL152" s="698" t="str">
        <f t="shared" ref="CL152:CL164" si="330">IF(AND(BW152=0,BY152=0),"No Prog ni Ejec",IF(BW152=0,CONCATENATE("No Prog, Ejec=  ",BY152),BY152/BW152))</f>
        <v>No Prog ni Ejec</v>
      </c>
      <c r="CM152" s="128">
        <f t="shared" si="272"/>
        <v>0</v>
      </c>
      <c r="CR152" s="122">
        <v>1</v>
      </c>
      <c r="CS152" s="156"/>
      <c r="CT152" s="156"/>
      <c r="CU152" s="156"/>
      <c r="CV152" s="156"/>
      <c r="CW152" s="156"/>
      <c r="CX152" s="156"/>
      <c r="CY152" s="156"/>
      <c r="CZ152" s="156"/>
      <c r="DA152" s="156"/>
      <c r="DB152" s="156"/>
      <c r="DC152" s="156"/>
    </row>
    <row r="153" spans="1:107" s="78" customFormat="1" ht="206.25" customHeight="1" x14ac:dyDescent="0.2">
      <c r="A153" s="834">
        <v>12000</v>
      </c>
      <c r="B153" s="827" t="s">
        <v>15</v>
      </c>
      <c r="C153" s="827" t="s">
        <v>336</v>
      </c>
      <c r="D153" s="845" t="s">
        <v>1020</v>
      </c>
      <c r="E153" s="845"/>
      <c r="F153" s="845"/>
      <c r="G153" s="845"/>
      <c r="H153" s="845"/>
      <c r="I153" s="845"/>
      <c r="J153" s="845"/>
      <c r="K153" s="845"/>
      <c r="L153" s="845"/>
      <c r="M153" s="845"/>
      <c r="N153" s="845"/>
      <c r="O153" s="845"/>
      <c r="P153" s="845"/>
      <c r="Q153" s="827" t="s">
        <v>1126</v>
      </c>
      <c r="R153" s="827" t="s">
        <v>1625</v>
      </c>
      <c r="S153" s="835" t="s">
        <v>53</v>
      </c>
      <c r="T153" s="827" t="s">
        <v>94</v>
      </c>
      <c r="U153" s="827" t="s">
        <v>204</v>
      </c>
      <c r="V153" s="827" t="s">
        <v>204</v>
      </c>
      <c r="W153" s="835" t="s">
        <v>953</v>
      </c>
      <c r="X153" s="827" t="s">
        <v>534</v>
      </c>
      <c r="Y153" s="838" t="s">
        <v>391</v>
      </c>
      <c r="Z153" s="835">
        <v>1</v>
      </c>
      <c r="AA153" s="1139" t="s">
        <v>946</v>
      </c>
      <c r="AB153" s="1072" t="s">
        <v>533</v>
      </c>
      <c r="AC153" s="1075">
        <v>0</v>
      </c>
      <c r="AD153" s="1147">
        <v>1</v>
      </c>
      <c r="AE153" s="1072" t="s">
        <v>18</v>
      </c>
      <c r="AF153" s="1072" t="s">
        <v>24</v>
      </c>
      <c r="AG153" s="1072" t="s">
        <v>204</v>
      </c>
      <c r="AH153" s="1072" t="s">
        <v>635</v>
      </c>
      <c r="AI153" s="1072" t="s">
        <v>1042</v>
      </c>
      <c r="AJ153" s="1072" t="s">
        <v>1292</v>
      </c>
      <c r="AK153" s="827" t="s">
        <v>535</v>
      </c>
      <c r="AL153" s="1072" t="s">
        <v>296</v>
      </c>
      <c r="AM153" s="835">
        <v>1</v>
      </c>
      <c r="AN153" s="1072" t="str">
        <f t="shared" si="297"/>
        <v>Publicación y Socialización de la versión actualizada de la Política del Sistema Integrado de Administración de Riesgos de la ADRES.</v>
      </c>
      <c r="AO153" s="1148">
        <f t="shared" si="298"/>
        <v>0</v>
      </c>
      <c r="AP153" s="860" t="s">
        <v>48</v>
      </c>
      <c r="AQ153" s="66">
        <v>0</v>
      </c>
      <c r="AR153" s="1072" t="str">
        <f t="shared" si="299"/>
        <v>Publicación y Socialización de la versión actualizada de la Política del Sistema Integrado de Administración de Riesgos de la ADRES.</v>
      </c>
      <c r="AS153" s="1075">
        <f t="shared" si="300"/>
        <v>0</v>
      </c>
      <c r="AT153" s="835">
        <v>0</v>
      </c>
      <c r="AU153" s="850">
        <v>0</v>
      </c>
      <c r="AV153" s="828" t="e">
        <f>+(AT153/AQ153)</f>
        <v>#DIV/0!</v>
      </c>
      <c r="AW153" s="1073" t="e">
        <f>+(AU153/AS153)</f>
        <v>#DIV/0!</v>
      </c>
      <c r="AX153" s="828">
        <f t="shared" si="303"/>
        <v>0</v>
      </c>
      <c r="AY153" s="1073" t="e">
        <f>+(AU153/AO153)</f>
        <v>#DIV/0!</v>
      </c>
      <c r="AZ153" s="1072" t="s">
        <v>1372</v>
      </c>
      <c r="BA153" s="835">
        <v>1</v>
      </c>
      <c r="BB153" s="1072" t="str">
        <f t="shared" si="305"/>
        <v>Publicación y Socialización de la versión actualizada de la Política del Sistema Integrado de Administración de Riesgos de la ADRES.</v>
      </c>
      <c r="BC153" s="1075">
        <f t="shared" si="306"/>
        <v>0</v>
      </c>
      <c r="BD153" s="838">
        <v>0</v>
      </c>
      <c r="BE153" s="1075">
        <v>0</v>
      </c>
      <c r="BF153" s="828">
        <f t="shared" si="307"/>
        <v>0</v>
      </c>
      <c r="BG153" s="1073" t="e">
        <f t="shared" si="308"/>
        <v>#DIV/0!</v>
      </c>
      <c r="BH153" s="828">
        <f t="shared" si="309"/>
        <v>0</v>
      </c>
      <c r="BI153" s="1073" t="e">
        <f t="shared" si="310"/>
        <v>#DIV/0!</v>
      </c>
      <c r="BJ153" s="830" t="s">
        <v>1748</v>
      </c>
      <c r="BK153" s="66">
        <v>0</v>
      </c>
      <c r="BL153" s="1072" t="str">
        <f t="shared" si="311"/>
        <v>Publicación y Socialización de la versión actualizada de la Política del Sistema Integrado de Administración de Riesgos de la ADRES.</v>
      </c>
      <c r="BM153" s="1075">
        <f t="shared" si="312"/>
        <v>0</v>
      </c>
      <c r="BN153" s="835">
        <v>1</v>
      </c>
      <c r="BO153" s="1075">
        <v>0</v>
      </c>
      <c r="BP153" s="828" t="e">
        <f t="shared" si="313"/>
        <v>#DIV/0!</v>
      </c>
      <c r="BQ153" s="1073" t="e">
        <f t="shared" si="314"/>
        <v>#DIV/0!</v>
      </c>
      <c r="BR153" s="828">
        <f t="shared" si="315"/>
        <v>1</v>
      </c>
      <c r="BS153" s="1073" t="e">
        <f t="shared" si="316"/>
        <v>#DIV/0!</v>
      </c>
      <c r="BT153" s="961" t="s">
        <v>1833</v>
      </c>
      <c r="BU153" s="66">
        <v>0</v>
      </c>
      <c r="BV153" s="1072" t="str">
        <f t="shared" si="317"/>
        <v>Publicación y Socialización de la versión actualizada de la Política del Sistema Integrado de Administración de Riesgos de la ADRES.</v>
      </c>
      <c r="BW153" s="1075">
        <f t="shared" si="318"/>
        <v>0</v>
      </c>
      <c r="BX153" s="835"/>
      <c r="BY153" s="1139"/>
      <c r="BZ153" s="826" t="e">
        <f t="shared" si="319"/>
        <v>#DIV/0!</v>
      </c>
      <c r="CA153" s="1141" t="e">
        <f t="shared" si="320"/>
        <v>#DIV/0!</v>
      </c>
      <c r="CB153" s="826">
        <f t="shared" si="321"/>
        <v>1</v>
      </c>
      <c r="CC153" s="1141" t="e">
        <f t="shared" si="322"/>
        <v>#DIV/0!</v>
      </c>
      <c r="CD153" s="826"/>
      <c r="CE153" s="640" t="str">
        <f t="shared" si="323"/>
        <v>No Prog ni Ejec</v>
      </c>
      <c r="CF153" s="1092" t="str">
        <f t="shared" si="324"/>
        <v>No Prog ni Ejec</v>
      </c>
      <c r="CG153" s="640">
        <f t="shared" si="325"/>
        <v>0</v>
      </c>
      <c r="CH153" s="1092" t="str">
        <f t="shared" si="326"/>
        <v>No Prog ni Ejec</v>
      </c>
      <c r="CI153" s="640" t="str">
        <f t="shared" si="327"/>
        <v>No Prog, Ejec=  1</v>
      </c>
      <c r="CJ153" s="1092" t="str">
        <f t="shared" si="328"/>
        <v>No Prog ni Ejec</v>
      </c>
      <c r="CK153" s="640" t="str">
        <f t="shared" si="329"/>
        <v>No Prog ni Ejec</v>
      </c>
      <c r="CL153" s="1091" t="str">
        <f t="shared" si="330"/>
        <v>No Prog ni Ejec</v>
      </c>
      <c r="CM153" s="128">
        <f t="shared" si="272"/>
        <v>0</v>
      </c>
      <c r="CR153" s="122">
        <v>1</v>
      </c>
      <c r="CS153" s="156"/>
      <c r="CT153" s="156"/>
      <c r="CU153" s="156"/>
      <c r="CV153" s="156"/>
      <c r="CW153" s="156"/>
      <c r="CX153" s="156"/>
      <c r="CY153" s="156"/>
      <c r="CZ153" s="156"/>
      <c r="DA153" s="156"/>
      <c r="DB153" s="156"/>
      <c r="DC153" s="156"/>
    </row>
    <row r="154" spans="1:107" s="78" customFormat="1" ht="175.5" customHeight="1" x14ac:dyDescent="0.2">
      <c r="A154" s="834">
        <v>12000</v>
      </c>
      <c r="B154" s="827" t="s">
        <v>15</v>
      </c>
      <c r="C154" s="827" t="s">
        <v>336</v>
      </c>
      <c r="D154" s="845" t="s">
        <v>1020</v>
      </c>
      <c r="E154" s="845"/>
      <c r="F154" s="845"/>
      <c r="G154" s="845" t="s">
        <v>1020</v>
      </c>
      <c r="H154" s="845"/>
      <c r="I154" s="845"/>
      <c r="J154" s="845"/>
      <c r="K154" s="845"/>
      <c r="L154" s="845"/>
      <c r="M154" s="845"/>
      <c r="N154" s="845"/>
      <c r="O154" s="845"/>
      <c r="P154" s="845"/>
      <c r="Q154" s="827" t="s">
        <v>1126</v>
      </c>
      <c r="R154" s="827" t="s">
        <v>1625</v>
      </c>
      <c r="S154" s="835" t="s">
        <v>53</v>
      </c>
      <c r="T154" s="827" t="s">
        <v>94</v>
      </c>
      <c r="U154" s="827" t="s">
        <v>204</v>
      </c>
      <c r="V154" s="827" t="s">
        <v>204</v>
      </c>
      <c r="W154" s="835" t="s">
        <v>954</v>
      </c>
      <c r="X154" s="827" t="s">
        <v>536</v>
      </c>
      <c r="Y154" s="838" t="s">
        <v>391</v>
      </c>
      <c r="Z154" s="835">
        <v>1</v>
      </c>
      <c r="AA154" s="1139"/>
      <c r="AB154" s="1072"/>
      <c r="AC154" s="1075"/>
      <c r="AD154" s="1147"/>
      <c r="AE154" s="1072"/>
      <c r="AF154" s="1072"/>
      <c r="AG154" s="1072"/>
      <c r="AH154" s="1072"/>
      <c r="AI154" s="1072"/>
      <c r="AJ154" s="1072"/>
      <c r="AK154" s="827" t="s">
        <v>1506</v>
      </c>
      <c r="AL154" s="1072"/>
      <c r="AM154" s="835">
        <v>1</v>
      </c>
      <c r="AN154" s="1072"/>
      <c r="AO154" s="1148"/>
      <c r="AP154" s="860" t="s">
        <v>48</v>
      </c>
      <c r="AQ154" s="66">
        <v>0</v>
      </c>
      <c r="AR154" s="1072"/>
      <c r="AS154" s="1075"/>
      <c r="AT154" s="835">
        <v>0</v>
      </c>
      <c r="AU154" s="850">
        <v>0</v>
      </c>
      <c r="AV154" s="828" t="e">
        <f>+(AT154/AQ154)</f>
        <v>#DIV/0!</v>
      </c>
      <c r="AW154" s="1073"/>
      <c r="AX154" s="828">
        <f>+(AT154/AM154)</f>
        <v>0</v>
      </c>
      <c r="AY154" s="1073"/>
      <c r="AZ154" s="1072"/>
      <c r="BA154" s="835">
        <v>1</v>
      </c>
      <c r="BB154" s="1072">
        <f t="shared" si="305"/>
        <v>0</v>
      </c>
      <c r="BC154" s="1075"/>
      <c r="BD154" s="838">
        <v>1</v>
      </c>
      <c r="BE154" s="1075"/>
      <c r="BF154" s="828">
        <f t="shared" si="307"/>
        <v>1</v>
      </c>
      <c r="BG154" s="1073"/>
      <c r="BH154" s="828">
        <f t="shared" si="309"/>
        <v>1</v>
      </c>
      <c r="BI154" s="1073"/>
      <c r="BJ154" s="830" t="s">
        <v>1748</v>
      </c>
      <c r="BK154" s="835">
        <v>0</v>
      </c>
      <c r="BL154" s="1072">
        <f t="shared" si="311"/>
        <v>0</v>
      </c>
      <c r="BM154" s="1075"/>
      <c r="BN154" s="835">
        <v>0</v>
      </c>
      <c r="BO154" s="1075"/>
      <c r="BP154" s="828" t="e">
        <f t="shared" si="313"/>
        <v>#DIV/0!</v>
      </c>
      <c r="BQ154" s="1073"/>
      <c r="BR154" s="828">
        <f t="shared" si="315"/>
        <v>1</v>
      </c>
      <c r="BS154" s="1073"/>
      <c r="BT154" s="961" t="s">
        <v>1834</v>
      </c>
      <c r="BU154" s="835">
        <v>0</v>
      </c>
      <c r="BV154" s="1072">
        <f t="shared" si="317"/>
        <v>0</v>
      </c>
      <c r="BW154" s="1075"/>
      <c r="BX154" s="835"/>
      <c r="BY154" s="1139"/>
      <c r="BZ154" s="826" t="e">
        <f t="shared" si="319"/>
        <v>#DIV/0!</v>
      </c>
      <c r="CA154" s="1141"/>
      <c r="CB154" s="826">
        <f t="shared" si="321"/>
        <v>1</v>
      </c>
      <c r="CC154" s="1141"/>
      <c r="CD154" s="826"/>
      <c r="CE154" s="640" t="str">
        <f t="shared" si="323"/>
        <v>No Prog ni Ejec</v>
      </c>
      <c r="CF154" s="1092"/>
      <c r="CG154" s="640">
        <f t="shared" si="325"/>
        <v>1</v>
      </c>
      <c r="CH154" s="1092"/>
      <c r="CI154" s="640" t="str">
        <f t="shared" si="327"/>
        <v>No Prog ni Ejec</v>
      </c>
      <c r="CJ154" s="1092"/>
      <c r="CK154" s="640" t="str">
        <f t="shared" si="329"/>
        <v>No Prog ni Ejec</v>
      </c>
      <c r="CL154" s="1091"/>
      <c r="CM154" s="128">
        <f t="shared" si="272"/>
        <v>0</v>
      </c>
      <c r="CR154" s="122">
        <v>1</v>
      </c>
      <c r="CS154" s="156"/>
      <c r="CT154" s="156"/>
      <c r="CU154" s="156"/>
      <c r="CV154" s="156"/>
      <c r="CW154" s="156"/>
      <c r="CX154" s="156"/>
      <c r="CY154" s="156"/>
      <c r="CZ154" s="156"/>
      <c r="DA154" s="156"/>
      <c r="DB154" s="156"/>
      <c r="DC154" s="156"/>
    </row>
    <row r="155" spans="1:107" s="78" customFormat="1" ht="231.75" customHeight="1" x14ac:dyDescent="0.2">
      <c r="A155" s="834">
        <v>12000</v>
      </c>
      <c r="B155" s="827" t="s">
        <v>15</v>
      </c>
      <c r="C155" s="827" t="s">
        <v>336</v>
      </c>
      <c r="D155" s="845" t="s">
        <v>1020</v>
      </c>
      <c r="E155" s="845"/>
      <c r="F155" s="845"/>
      <c r="G155" s="845"/>
      <c r="H155" s="845"/>
      <c r="I155" s="845"/>
      <c r="J155" s="845"/>
      <c r="K155" s="845"/>
      <c r="L155" s="845"/>
      <c r="M155" s="845"/>
      <c r="N155" s="845"/>
      <c r="O155" s="845"/>
      <c r="P155" s="845"/>
      <c r="Q155" s="827" t="s">
        <v>1126</v>
      </c>
      <c r="R155" s="827" t="s">
        <v>1132</v>
      </c>
      <c r="S155" s="835" t="s">
        <v>53</v>
      </c>
      <c r="T155" s="827" t="s">
        <v>94</v>
      </c>
      <c r="U155" s="827" t="s">
        <v>204</v>
      </c>
      <c r="V155" s="827" t="s">
        <v>204</v>
      </c>
      <c r="W155" s="1139" t="s">
        <v>955</v>
      </c>
      <c r="X155" s="1072" t="s">
        <v>1600</v>
      </c>
      <c r="Y155" s="1202" t="s">
        <v>51</v>
      </c>
      <c r="Z155" s="1141">
        <v>1</v>
      </c>
      <c r="AA155" s="1139" t="s">
        <v>947</v>
      </c>
      <c r="AB155" s="1072" t="s">
        <v>1057</v>
      </c>
      <c r="AC155" s="1075">
        <v>0</v>
      </c>
      <c r="AD155" s="1147">
        <v>1</v>
      </c>
      <c r="AE155" s="1072" t="s">
        <v>17</v>
      </c>
      <c r="AF155" s="1072" t="s">
        <v>295</v>
      </c>
      <c r="AG155" s="1072" t="s">
        <v>204</v>
      </c>
      <c r="AH155" s="1072" t="s">
        <v>635</v>
      </c>
      <c r="AI155" s="1072" t="s">
        <v>1042</v>
      </c>
      <c r="AJ155" s="1072" t="s">
        <v>1303</v>
      </c>
      <c r="AK155" s="827" t="s">
        <v>1507</v>
      </c>
      <c r="AL155" s="1072" t="s">
        <v>204</v>
      </c>
      <c r="AM155" s="826">
        <v>1</v>
      </c>
      <c r="AN155" s="1072" t="str">
        <f t="shared" si="297"/>
        <v>Realizar reuniones de autocontrol y seguimiento a los procesos que evidencien el monitoreo a los riesgos, indicadores, planes de mejoramiento, manuales y documentos asociados</v>
      </c>
      <c r="AO155" s="1148">
        <f t="shared" si="298"/>
        <v>0</v>
      </c>
      <c r="AP155" s="860" t="s">
        <v>48</v>
      </c>
      <c r="AQ155" s="826">
        <v>0.25</v>
      </c>
      <c r="AR155" s="1072" t="str">
        <f>+AN155</f>
        <v>Realizar reuniones de autocontrol y seguimiento a los procesos que evidencien el monitoreo a los riesgos, indicadores, planes de mejoramiento, manuales y documentos asociados</v>
      </c>
      <c r="AS155" s="1075">
        <f t="shared" si="300"/>
        <v>0</v>
      </c>
      <c r="AT155" s="495">
        <f>(9/92)</f>
        <v>9.7826086956521743E-2</v>
      </c>
      <c r="AU155" s="1056">
        <v>0</v>
      </c>
      <c r="AV155" s="828">
        <f t="shared" si="301"/>
        <v>0.39130434782608697</v>
      </c>
      <c r="AW155" s="1194" t="e">
        <f>+AU155/AS155</f>
        <v>#DIV/0!</v>
      </c>
      <c r="AX155" s="828">
        <f t="shared" si="303"/>
        <v>9.7826086956521743E-2</v>
      </c>
      <c r="AY155" s="1194" t="e">
        <f>+AU155/AO155</f>
        <v>#DIV/0!</v>
      </c>
      <c r="AZ155" s="827" t="s">
        <v>1373</v>
      </c>
      <c r="BA155" s="826">
        <v>0</v>
      </c>
      <c r="BB155" s="1072" t="str">
        <f t="shared" si="305"/>
        <v>Realizar reuniones de autocontrol y seguimiento a los procesos que evidencien el monitoreo a los riesgos, indicadores, planes de mejoramiento, manuales y documentos asociados</v>
      </c>
      <c r="BC155" s="1075">
        <f t="shared" si="306"/>
        <v>0</v>
      </c>
      <c r="BD155" s="848">
        <v>0</v>
      </c>
      <c r="BE155" s="1075">
        <v>0</v>
      </c>
      <c r="BF155" s="828" t="e">
        <f t="shared" si="307"/>
        <v>#DIV/0!</v>
      </c>
      <c r="BG155" s="1073" t="e">
        <f>+(BE155/BC155)</f>
        <v>#DIV/0!</v>
      </c>
      <c r="BH155" s="828">
        <f t="shared" si="309"/>
        <v>9.7826086956521743E-2</v>
      </c>
      <c r="BI155" s="1195" t="e">
        <f>+(BE155+AU155)/AO155</f>
        <v>#DIV/0!</v>
      </c>
      <c r="BJ155" s="830"/>
      <c r="BK155" s="954">
        <v>0</v>
      </c>
      <c r="BL155" s="1072" t="str">
        <f t="shared" si="311"/>
        <v>Realizar reuniones de autocontrol y seguimiento a los procesos que evidencien el monitoreo a los riesgos, indicadores, planes de mejoramiento, manuales y documentos asociados</v>
      </c>
      <c r="BM155" s="1075">
        <f t="shared" si="312"/>
        <v>0</v>
      </c>
      <c r="BN155" s="963">
        <v>0</v>
      </c>
      <c r="BO155" s="1075">
        <v>0</v>
      </c>
      <c r="BP155" s="828" t="e">
        <f t="shared" si="313"/>
        <v>#DIV/0!</v>
      </c>
      <c r="BQ155" s="1195" t="e">
        <f>BO155/BM155</f>
        <v>#DIV/0!</v>
      </c>
      <c r="BR155" s="828">
        <f t="shared" si="315"/>
        <v>9.7826086956521743E-2</v>
      </c>
      <c r="BS155" s="1195" t="e">
        <f>+(BE155+AU155+BO155)/AO155</f>
        <v>#DIV/0!</v>
      </c>
      <c r="BT155" s="961" t="s">
        <v>1835</v>
      </c>
      <c r="BU155" s="954">
        <v>0.75</v>
      </c>
      <c r="BV155" s="1072" t="str">
        <f t="shared" si="317"/>
        <v>Realizar reuniones de autocontrol y seguimiento a los procesos que evidencien el monitoreo a los riesgos, indicadores, planes de mejoramiento, manuales y documentos asociados</v>
      </c>
      <c r="BW155" s="1075">
        <f t="shared" si="318"/>
        <v>0</v>
      </c>
      <c r="BX155" s="835"/>
      <c r="BY155" s="1139"/>
      <c r="BZ155" s="826">
        <f t="shared" si="319"/>
        <v>0</v>
      </c>
      <c r="CA155" s="1141" t="e">
        <f>+(BY155/BW155)</f>
        <v>#DIV/0!</v>
      </c>
      <c r="CB155" s="826">
        <f t="shared" si="321"/>
        <v>9.7826086956521743E-2</v>
      </c>
      <c r="CC155" s="1222" t="e">
        <f>+(BE155+AU155+BO155+BY155)/AO155</f>
        <v>#DIV/0!</v>
      </c>
      <c r="CD155" s="826"/>
      <c r="CE155" s="640">
        <f t="shared" si="323"/>
        <v>0.39130434782608697</v>
      </c>
      <c r="CF155" s="1092" t="str">
        <f>IF(AND(AS155=0,AU155=0),"No Prog ni Ejec",IF(AS155=0,CONCATENATE("No Prog, Ejec=  ",AU155),AU155/AS155))</f>
        <v>No Prog ni Ejec</v>
      </c>
      <c r="CG155" s="640" t="str">
        <f t="shared" si="325"/>
        <v>No Prog ni Ejec</v>
      </c>
      <c r="CH155" s="1092" t="str">
        <f>IF(AND(BC155=0,BE155=0),"No Prog ni Ejec",IF(BC155=0,CONCATENATE("No Prog, Ejec=  ",BE155),BE155/BC155))</f>
        <v>No Prog ni Ejec</v>
      </c>
      <c r="CI155" s="640" t="str">
        <f t="shared" si="327"/>
        <v>No Prog ni Ejec</v>
      </c>
      <c r="CJ155" s="1092" t="str">
        <f>IF(AND(BM155=0,BO155=0),"No Prog ni Ejec",IF(BM155=0,CONCATENATE("No Prog, Ejec=  ",BO155),BO155/BM155))</f>
        <v>No Prog ni Ejec</v>
      </c>
      <c r="CK155" s="640">
        <f t="shared" si="329"/>
        <v>0</v>
      </c>
      <c r="CL155" s="1091" t="str">
        <f>IF(AND(BW155=0,BY155=0),"No Prog ni Ejec",IF(BW155=0,CONCATENATE("No Prog, Ejec=  ",BY155),BY155/BW155))</f>
        <v>No Prog ni Ejec</v>
      </c>
      <c r="CM155" s="128">
        <f t="shared" si="272"/>
        <v>0</v>
      </c>
      <c r="CR155" s="122">
        <v>1</v>
      </c>
      <c r="CS155" s="156"/>
      <c r="CT155" s="156"/>
      <c r="CU155" s="156"/>
      <c r="CV155" s="156"/>
      <c r="CW155" s="156"/>
      <c r="CX155" s="156"/>
      <c r="CY155" s="156"/>
      <c r="CZ155" s="156"/>
      <c r="DA155" s="156"/>
      <c r="DB155" s="156"/>
      <c r="DC155" s="156"/>
    </row>
    <row r="156" spans="1:107" s="78" customFormat="1" ht="98.25" customHeight="1" x14ac:dyDescent="0.2">
      <c r="A156" s="834">
        <v>12000</v>
      </c>
      <c r="B156" s="827" t="s">
        <v>15</v>
      </c>
      <c r="C156" s="827" t="s">
        <v>336</v>
      </c>
      <c r="D156" s="845"/>
      <c r="E156" s="845"/>
      <c r="F156" s="845"/>
      <c r="G156" s="845"/>
      <c r="H156" s="845"/>
      <c r="I156" s="845"/>
      <c r="J156" s="845"/>
      <c r="K156" s="845"/>
      <c r="L156" s="845"/>
      <c r="M156" s="845"/>
      <c r="N156" s="845"/>
      <c r="O156" s="845"/>
      <c r="P156" s="845"/>
      <c r="Q156" s="827" t="s">
        <v>1126</v>
      </c>
      <c r="R156" s="827" t="s">
        <v>1132</v>
      </c>
      <c r="S156" s="835" t="s">
        <v>53</v>
      </c>
      <c r="T156" s="827" t="s">
        <v>94</v>
      </c>
      <c r="U156" s="827" t="s">
        <v>204</v>
      </c>
      <c r="V156" s="827" t="s">
        <v>204</v>
      </c>
      <c r="W156" s="1139"/>
      <c r="X156" s="1072"/>
      <c r="Y156" s="1202"/>
      <c r="Z156" s="1141"/>
      <c r="AA156" s="1139"/>
      <c r="AB156" s="1072"/>
      <c r="AC156" s="1075"/>
      <c r="AD156" s="1147"/>
      <c r="AE156" s="1072"/>
      <c r="AF156" s="1072"/>
      <c r="AG156" s="1072"/>
      <c r="AH156" s="1072"/>
      <c r="AI156" s="1072"/>
      <c r="AJ156" s="1072"/>
      <c r="AK156" s="827" t="s">
        <v>1587</v>
      </c>
      <c r="AL156" s="1072"/>
      <c r="AM156" s="66">
        <v>1</v>
      </c>
      <c r="AN156" s="1072"/>
      <c r="AO156" s="1148"/>
      <c r="AP156" s="860" t="s">
        <v>48</v>
      </c>
      <c r="AQ156" s="66">
        <v>0</v>
      </c>
      <c r="AR156" s="1072"/>
      <c r="AS156" s="1075"/>
      <c r="AT156" s="495"/>
      <c r="AU156" s="1056"/>
      <c r="AV156" s="828" t="e">
        <f t="shared" si="301"/>
        <v>#DIV/0!</v>
      </c>
      <c r="AW156" s="1194"/>
      <c r="AX156" s="828">
        <f t="shared" si="303"/>
        <v>0</v>
      </c>
      <c r="AY156" s="1194"/>
      <c r="AZ156" s="827"/>
      <c r="BA156" s="66">
        <v>0</v>
      </c>
      <c r="BB156" s="1072"/>
      <c r="BC156" s="1075"/>
      <c r="BD156" s="838">
        <v>0</v>
      </c>
      <c r="BE156" s="1075"/>
      <c r="BF156" s="828" t="e">
        <f t="shared" si="307"/>
        <v>#DIV/0!</v>
      </c>
      <c r="BG156" s="1073"/>
      <c r="BH156" s="828">
        <f t="shared" si="309"/>
        <v>0</v>
      </c>
      <c r="BI156" s="1195"/>
      <c r="BJ156" s="830"/>
      <c r="BK156" s="66">
        <v>0</v>
      </c>
      <c r="BL156" s="1072"/>
      <c r="BM156" s="1075"/>
      <c r="BN156" s="835">
        <v>0</v>
      </c>
      <c r="BO156" s="1075"/>
      <c r="BP156" s="828" t="e">
        <f t="shared" si="313"/>
        <v>#DIV/0!</v>
      </c>
      <c r="BQ156" s="1073"/>
      <c r="BR156" s="828">
        <f t="shared" si="315"/>
        <v>0</v>
      </c>
      <c r="BS156" s="1195"/>
      <c r="BT156" s="961" t="s">
        <v>1836</v>
      </c>
      <c r="BU156" s="66">
        <v>1</v>
      </c>
      <c r="BV156" s="1072"/>
      <c r="BW156" s="1075"/>
      <c r="BX156" s="835"/>
      <c r="BY156" s="1139"/>
      <c r="BZ156" s="826">
        <f t="shared" si="319"/>
        <v>0</v>
      </c>
      <c r="CA156" s="1141"/>
      <c r="CB156" s="826">
        <f t="shared" si="321"/>
        <v>0</v>
      </c>
      <c r="CC156" s="1222"/>
      <c r="CD156" s="826"/>
      <c r="CE156" s="640" t="str">
        <f t="shared" si="323"/>
        <v>No Prog ni Ejec</v>
      </c>
      <c r="CF156" s="1092"/>
      <c r="CG156" s="640" t="str">
        <f t="shared" si="325"/>
        <v>No Prog ni Ejec</v>
      </c>
      <c r="CH156" s="1092"/>
      <c r="CI156" s="640" t="str">
        <f t="shared" si="327"/>
        <v>No Prog ni Ejec</v>
      </c>
      <c r="CJ156" s="1092"/>
      <c r="CK156" s="640">
        <f t="shared" si="329"/>
        <v>0</v>
      </c>
      <c r="CL156" s="1091"/>
      <c r="CM156" s="128"/>
      <c r="CR156" s="122"/>
      <c r="CS156" s="156"/>
      <c r="CT156" s="156"/>
      <c r="CU156" s="156"/>
      <c r="CV156" s="156"/>
      <c r="CW156" s="156"/>
      <c r="CX156" s="156"/>
      <c r="CY156" s="156"/>
      <c r="CZ156" s="156"/>
      <c r="DA156" s="156"/>
      <c r="DB156" s="156"/>
      <c r="DC156" s="156"/>
    </row>
    <row r="157" spans="1:107" s="623" customFormat="1" ht="127.5" hidden="1" x14ac:dyDescent="0.2">
      <c r="A157" s="763">
        <v>12000</v>
      </c>
      <c r="B157" s="855" t="s">
        <v>15</v>
      </c>
      <c r="C157" s="855" t="s">
        <v>336</v>
      </c>
      <c r="D157" s="845" t="s">
        <v>1020</v>
      </c>
      <c r="E157" s="845"/>
      <c r="F157" s="845"/>
      <c r="G157" s="845"/>
      <c r="H157" s="845"/>
      <c r="I157" s="845"/>
      <c r="J157" s="845"/>
      <c r="K157" s="845"/>
      <c r="L157" s="845"/>
      <c r="M157" s="845"/>
      <c r="N157" s="845"/>
      <c r="O157" s="845"/>
      <c r="P157" s="845"/>
      <c r="Q157" s="827" t="s">
        <v>1126</v>
      </c>
      <c r="R157" s="827" t="s">
        <v>1132</v>
      </c>
      <c r="S157" s="835" t="s">
        <v>53</v>
      </c>
      <c r="T157" s="827" t="s">
        <v>94</v>
      </c>
      <c r="U157" s="827" t="s">
        <v>204</v>
      </c>
      <c r="V157" s="827" t="s">
        <v>204</v>
      </c>
      <c r="W157" s="1200"/>
      <c r="X157" s="1201"/>
      <c r="Y157" s="1203"/>
      <c r="Z157" s="1204"/>
      <c r="AA157" s="1200"/>
      <c r="AB157" s="1201"/>
      <c r="AC157" s="1216"/>
      <c r="AD157" s="1147"/>
      <c r="AE157" s="1072"/>
      <c r="AF157" s="1072"/>
      <c r="AG157" s="1072"/>
      <c r="AH157" s="1072"/>
      <c r="AI157" s="1072"/>
      <c r="AJ157" s="1072"/>
      <c r="AK157" s="855" t="s">
        <v>537</v>
      </c>
      <c r="AL157" s="1072"/>
      <c r="AM157" s="866">
        <v>1</v>
      </c>
      <c r="AN157" s="1201"/>
      <c r="AO157" s="1220"/>
      <c r="AP157" s="860" t="s">
        <v>48</v>
      </c>
      <c r="AQ157" s="866">
        <v>0.25</v>
      </c>
      <c r="AR157" s="1201"/>
      <c r="AS157" s="1216"/>
      <c r="AT157" s="621">
        <f>0*AQ157</f>
        <v>0</v>
      </c>
      <c r="AU157" s="1208"/>
      <c r="AV157" s="869">
        <f>+(AT157/AQ157)</f>
        <v>0</v>
      </c>
      <c r="AW157" s="1218"/>
      <c r="AX157" s="869">
        <f t="shared" si="303"/>
        <v>0</v>
      </c>
      <c r="AY157" s="1219"/>
      <c r="AZ157" s="855" t="s">
        <v>1601</v>
      </c>
      <c r="BA157" s="866">
        <v>0.25</v>
      </c>
      <c r="BB157" s="1201"/>
      <c r="BC157" s="1216"/>
      <c r="BD157" s="621"/>
      <c r="BE157" s="1216"/>
      <c r="BF157" s="869">
        <f t="shared" si="307"/>
        <v>0</v>
      </c>
      <c r="BG157" s="1215"/>
      <c r="BH157" s="869">
        <f t="shared" si="309"/>
        <v>0</v>
      </c>
      <c r="BI157" s="1215"/>
      <c r="BJ157" s="746"/>
      <c r="BK157" s="866">
        <v>0.25</v>
      </c>
      <c r="BL157" s="1201"/>
      <c r="BM157" s="1216"/>
      <c r="BN157" s="854"/>
      <c r="BO157" s="1216"/>
      <c r="BP157" s="869">
        <f t="shared" si="313"/>
        <v>0</v>
      </c>
      <c r="BQ157" s="1215"/>
      <c r="BR157" s="869">
        <f t="shared" si="315"/>
        <v>0</v>
      </c>
      <c r="BS157" s="1215"/>
      <c r="BT157" s="964"/>
      <c r="BU157" s="866">
        <v>0.25</v>
      </c>
      <c r="BV157" s="1201"/>
      <c r="BW157" s="1216"/>
      <c r="BX157" s="854"/>
      <c r="BY157" s="1200"/>
      <c r="BZ157" s="866">
        <f t="shared" si="319"/>
        <v>0</v>
      </c>
      <c r="CA157" s="1204"/>
      <c r="CB157" s="866">
        <f t="shared" si="321"/>
        <v>0</v>
      </c>
      <c r="CC157" s="1204"/>
      <c r="CD157" s="866"/>
      <c r="CE157" s="649">
        <f t="shared" si="323"/>
        <v>0</v>
      </c>
      <c r="CF157" s="1223"/>
      <c r="CG157" s="649">
        <f t="shared" si="325"/>
        <v>0</v>
      </c>
      <c r="CH157" s="1223"/>
      <c r="CI157" s="649">
        <f t="shared" si="327"/>
        <v>0</v>
      </c>
      <c r="CJ157" s="1223"/>
      <c r="CK157" s="649">
        <f t="shared" si="329"/>
        <v>0</v>
      </c>
      <c r="CL157" s="1214"/>
      <c r="CM157" s="622">
        <f t="shared" si="272"/>
        <v>0</v>
      </c>
      <c r="CR157" s="122">
        <v>1</v>
      </c>
      <c r="CS157" s="156"/>
      <c r="CT157" s="156"/>
      <c r="CU157" s="156"/>
      <c r="CV157" s="156"/>
      <c r="CW157" s="156"/>
      <c r="CX157" s="156"/>
      <c r="CY157" s="156"/>
      <c r="CZ157" s="156"/>
      <c r="DA157" s="156"/>
      <c r="DB157" s="156"/>
      <c r="DC157" s="156"/>
    </row>
    <row r="158" spans="1:107" s="78" customFormat="1" ht="105.75" customHeight="1" x14ac:dyDescent="0.2">
      <c r="A158" s="834">
        <v>12000</v>
      </c>
      <c r="B158" s="827" t="s">
        <v>15</v>
      </c>
      <c r="C158" s="827" t="s">
        <v>336</v>
      </c>
      <c r="D158" s="845" t="s">
        <v>1020</v>
      </c>
      <c r="E158" s="845"/>
      <c r="F158" s="845"/>
      <c r="G158" s="845" t="s">
        <v>1020</v>
      </c>
      <c r="H158" s="845"/>
      <c r="I158" s="845"/>
      <c r="J158" s="845"/>
      <c r="K158" s="845"/>
      <c r="L158" s="845"/>
      <c r="M158" s="845"/>
      <c r="N158" s="845"/>
      <c r="O158" s="845"/>
      <c r="P158" s="845"/>
      <c r="Q158" s="827" t="s">
        <v>1126</v>
      </c>
      <c r="R158" s="827" t="s">
        <v>1132</v>
      </c>
      <c r="S158" s="835" t="s">
        <v>53</v>
      </c>
      <c r="T158" s="827" t="s">
        <v>94</v>
      </c>
      <c r="U158" s="827" t="s">
        <v>204</v>
      </c>
      <c r="V158" s="827" t="s">
        <v>204</v>
      </c>
      <c r="W158" s="835" t="s">
        <v>956</v>
      </c>
      <c r="X158" s="827" t="s">
        <v>1508</v>
      </c>
      <c r="Y158" s="838" t="s">
        <v>391</v>
      </c>
      <c r="Z158" s="566">
        <v>3</v>
      </c>
      <c r="AA158" s="1139"/>
      <c r="AB158" s="1072"/>
      <c r="AC158" s="1075"/>
      <c r="AD158" s="1147"/>
      <c r="AE158" s="1072"/>
      <c r="AF158" s="1072"/>
      <c r="AG158" s="1072"/>
      <c r="AH158" s="1072"/>
      <c r="AI158" s="827" t="s">
        <v>1048</v>
      </c>
      <c r="AJ158" s="827" t="s">
        <v>204</v>
      </c>
      <c r="AK158" s="827" t="s">
        <v>1509</v>
      </c>
      <c r="AL158" s="1072"/>
      <c r="AM158" s="566">
        <v>3</v>
      </c>
      <c r="AN158" s="1072"/>
      <c r="AO158" s="1148"/>
      <c r="AP158" s="860" t="s">
        <v>48</v>
      </c>
      <c r="AQ158" s="66">
        <v>0</v>
      </c>
      <c r="AR158" s="1072"/>
      <c r="AS158" s="1075"/>
      <c r="AT158" s="838">
        <v>0</v>
      </c>
      <c r="AU158" s="1056"/>
      <c r="AV158" s="828" t="e">
        <f t="shared" si="301"/>
        <v>#DIV/0!</v>
      </c>
      <c r="AW158" s="1194"/>
      <c r="AX158" s="828">
        <f t="shared" si="303"/>
        <v>0</v>
      </c>
      <c r="AY158" s="1062"/>
      <c r="AZ158" s="827" t="s">
        <v>1374</v>
      </c>
      <c r="BA158" s="835">
        <v>1</v>
      </c>
      <c r="BB158" s="1072"/>
      <c r="BC158" s="1075"/>
      <c r="BD158" s="838">
        <v>1</v>
      </c>
      <c r="BE158" s="1075"/>
      <c r="BF158" s="828">
        <f t="shared" si="307"/>
        <v>1</v>
      </c>
      <c r="BG158" s="1073"/>
      <c r="BH158" s="828">
        <f t="shared" si="309"/>
        <v>0.33333333333333331</v>
      </c>
      <c r="BI158" s="1073"/>
      <c r="BJ158" s="830" t="s">
        <v>1684</v>
      </c>
      <c r="BK158" s="566">
        <v>1</v>
      </c>
      <c r="BL158" s="1072"/>
      <c r="BM158" s="1075"/>
      <c r="BN158" s="835">
        <v>1</v>
      </c>
      <c r="BO158" s="1075"/>
      <c r="BP158" s="828">
        <f t="shared" si="313"/>
        <v>1</v>
      </c>
      <c r="BQ158" s="1073"/>
      <c r="BR158" s="828">
        <f t="shared" si="315"/>
        <v>0.66666666666666663</v>
      </c>
      <c r="BS158" s="1073"/>
      <c r="BT158" s="961" t="s">
        <v>1837</v>
      </c>
      <c r="BU158" s="835">
        <v>1</v>
      </c>
      <c r="BV158" s="1072"/>
      <c r="BW158" s="1075"/>
      <c r="BX158" s="835"/>
      <c r="BY158" s="1139"/>
      <c r="BZ158" s="826">
        <f t="shared" si="319"/>
        <v>0</v>
      </c>
      <c r="CA158" s="1141"/>
      <c r="CB158" s="826">
        <f t="shared" si="321"/>
        <v>0.66666666666666663</v>
      </c>
      <c r="CC158" s="1141"/>
      <c r="CD158" s="826"/>
      <c r="CE158" s="640" t="str">
        <f t="shared" si="323"/>
        <v>No Prog ni Ejec</v>
      </c>
      <c r="CF158" s="1092"/>
      <c r="CG158" s="640">
        <f t="shared" si="325"/>
        <v>1</v>
      </c>
      <c r="CH158" s="1092"/>
      <c r="CI158" s="640">
        <f t="shared" si="327"/>
        <v>1</v>
      </c>
      <c r="CJ158" s="1092"/>
      <c r="CK158" s="640">
        <f t="shared" si="329"/>
        <v>0</v>
      </c>
      <c r="CL158" s="1091"/>
      <c r="CM158" s="128">
        <f t="shared" si="272"/>
        <v>0</v>
      </c>
      <c r="CR158" s="122">
        <v>1</v>
      </c>
      <c r="CS158" s="156"/>
      <c r="CT158" s="156"/>
      <c r="CU158" s="156"/>
      <c r="CV158" s="156"/>
      <c r="CW158" s="156"/>
      <c r="CX158" s="156"/>
      <c r="CY158" s="156"/>
      <c r="CZ158" s="156"/>
      <c r="DA158" s="156"/>
      <c r="DB158" s="156"/>
      <c r="DC158" s="156"/>
    </row>
    <row r="159" spans="1:107" s="78" customFormat="1" ht="122.25" customHeight="1" x14ac:dyDescent="0.2">
      <c r="A159" s="834">
        <v>12000</v>
      </c>
      <c r="B159" s="827" t="s">
        <v>15</v>
      </c>
      <c r="C159" s="827" t="s">
        <v>336</v>
      </c>
      <c r="D159" s="845" t="s">
        <v>1020</v>
      </c>
      <c r="E159" s="845"/>
      <c r="F159" s="845"/>
      <c r="G159" s="845"/>
      <c r="H159" s="845"/>
      <c r="I159" s="845"/>
      <c r="J159" s="845"/>
      <c r="K159" s="845"/>
      <c r="L159" s="845"/>
      <c r="M159" s="845"/>
      <c r="N159" s="845"/>
      <c r="O159" s="845"/>
      <c r="P159" s="845"/>
      <c r="Q159" s="827" t="s">
        <v>1126</v>
      </c>
      <c r="R159" s="827" t="s">
        <v>1139</v>
      </c>
      <c r="S159" s="835" t="s">
        <v>53</v>
      </c>
      <c r="T159" s="827" t="s">
        <v>94</v>
      </c>
      <c r="U159" s="827" t="s">
        <v>204</v>
      </c>
      <c r="V159" s="827" t="s">
        <v>204</v>
      </c>
      <c r="W159" s="835" t="s">
        <v>957</v>
      </c>
      <c r="X159" s="827" t="s">
        <v>539</v>
      </c>
      <c r="Y159" s="838" t="s">
        <v>391</v>
      </c>
      <c r="Z159" s="835">
        <v>1</v>
      </c>
      <c r="AA159" s="835" t="s">
        <v>948</v>
      </c>
      <c r="AB159" s="827" t="s">
        <v>538</v>
      </c>
      <c r="AC159" s="831">
        <v>0</v>
      </c>
      <c r="AD159" s="832">
        <v>1</v>
      </c>
      <c r="AE159" s="827" t="s">
        <v>17</v>
      </c>
      <c r="AF159" s="827" t="s">
        <v>301</v>
      </c>
      <c r="AG159" s="827" t="s">
        <v>204</v>
      </c>
      <c r="AH159" s="827" t="s">
        <v>635</v>
      </c>
      <c r="AI159" s="827" t="s">
        <v>1042</v>
      </c>
      <c r="AJ159" s="827" t="s">
        <v>1291</v>
      </c>
      <c r="AK159" s="827" t="s">
        <v>1602</v>
      </c>
      <c r="AL159" s="827" t="s">
        <v>204</v>
      </c>
      <c r="AM159" s="835">
        <v>1</v>
      </c>
      <c r="AN159" s="827" t="str">
        <f t="shared" si="297"/>
        <v>Disposición de instrumento en página web, con el fin de que la ciudadanía y partes interesadas realicen observaciones, recomendaciones y comentarios al Mapa de Riesgos Operativos, de Corrupción y de Seguridad Digital actualizado y al Plan de Acción</v>
      </c>
      <c r="AO159" s="833">
        <f t="shared" si="298"/>
        <v>0</v>
      </c>
      <c r="AP159" s="860" t="s">
        <v>48</v>
      </c>
      <c r="AQ159" s="66">
        <v>1</v>
      </c>
      <c r="AR159" s="827" t="str">
        <f t="shared" si="299"/>
        <v>Disposición de instrumento en página web, con el fin de que la ciudadanía y partes interesadas realicen observaciones, recomendaciones y comentarios al Mapa de Riesgos Operativos, de Corrupción y de Seguridad Digital actualizado y al Plan de Acción</v>
      </c>
      <c r="AS159" s="831">
        <f t="shared" si="300"/>
        <v>0</v>
      </c>
      <c r="AT159" s="838">
        <v>1</v>
      </c>
      <c r="AU159" s="841">
        <v>0</v>
      </c>
      <c r="AV159" s="828">
        <f t="shared" si="301"/>
        <v>1</v>
      </c>
      <c r="AW159" s="828" t="e">
        <f t="shared" si="302"/>
        <v>#DIV/0!</v>
      </c>
      <c r="AX159" s="828">
        <f t="shared" si="303"/>
        <v>1</v>
      </c>
      <c r="AY159" s="828" t="e">
        <f t="shared" si="304"/>
        <v>#DIV/0!</v>
      </c>
      <c r="AZ159" s="829" t="s">
        <v>1603</v>
      </c>
      <c r="BA159" s="835">
        <v>0</v>
      </c>
      <c r="BB159" s="827" t="str">
        <f t="shared" si="305"/>
        <v>Disposición de instrumento en página web, con el fin de que la ciudadanía y partes interesadas realicen observaciones, recomendaciones y comentarios al Mapa de Riesgos Operativos, de Corrupción y de Seguridad Digital actualizado y al Plan de Acción</v>
      </c>
      <c r="BC159" s="831">
        <f t="shared" si="306"/>
        <v>0</v>
      </c>
      <c r="BD159" s="838">
        <v>0</v>
      </c>
      <c r="BE159" s="831">
        <v>0</v>
      </c>
      <c r="BF159" s="828" t="e">
        <f t="shared" si="307"/>
        <v>#DIV/0!</v>
      </c>
      <c r="BG159" s="828" t="e">
        <f t="shared" si="308"/>
        <v>#DIV/0!</v>
      </c>
      <c r="BH159" s="828">
        <f t="shared" si="309"/>
        <v>1</v>
      </c>
      <c r="BI159" s="828" t="e">
        <f t="shared" si="310"/>
        <v>#DIV/0!</v>
      </c>
      <c r="BJ159" s="830" t="s">
        <v>1749</v>
      </c>
      <c r="BK159" s="835">
        <v>0</v>
      </c>
      <c r="BL159" s="827" t="str">
        <f t="shared" si="311"/>
        <v>Disposición de instrumento en página web, con el fin de que la ciudadanía y partes interesadas realicen observaciones, recomendaciones y comentarios al Mapa de Riesgos Operativos, de Corrupción y de Seguridad Digital actualizado y al Plan de Acción</v>
      </c>
      <c r="BM159" s="831">
        <f t="shared" si="312"/>
        <v>0</v>
      </c>
      <c r="BN159" s="835">
        <v>0</v>
      </c>
      <c r="BO159" s="962">
        <v>0</v>
      </c>
      <c r="BP159" s="828" t="e">
        <f t="shared" si="313"/>
        <v>#DIV/0!</v>
      </c>
      <c r="BQ159" s="828" t="e">
        <f t="shared" si="314"/>
        <v>#DIV/0!</v>
      </c>
      <c r="BR159" s="828">
        <f t="shared" si="315"/>
        <v>1</v>
      </c>
      <c r="BS159" s="828" t="e">
        <f t="shared" si="316"/>
        <v>#DIV/0!</v>
      </c>
      <c r="BT159" s="961" t="s">
        <v>1832</v>
      </c>
      <c r="BU159" s="835">
        <v>0</v>
      </c>
      <c r="BV159" s="827" t="str">
        <f t="shared" si="317"/>
        <v>Disposición de instrumento en página web, con el fin de que la ciudadanía y partes interesadas realicen observaciones, recomendaciones y comentarios al Mapa de Riesgos Operativos, de Corrupción y de Seguridad Digital actualizado y al Plan de Acción</v>
      </c>
      <c r="BW159" s="831">
        <f t="shared" si="318"/>
        <v>0</v>
      </c>
      <c r="BX159" s="835"/>
      <c r="BY159" s="835"/>
      <c r="BZ159" s="826" t="e">
        <f t="shared" si="319"/>
        <v>#DIV/0!</v>
      </c>
      <c r="CA159" s="826" t="e">
        <f t="shared" si="320"/>
        <v>#DIV/0!</v>
      </c>
      <c r="CB159" s="826">
        <f t="shared" si="321"/>
        <v>1</v>
      </c>
      <c r="CC159" s="826" t="e">
        <f t="shared" si="322"/>
        <v>#DIV/0!</v>
      </c>
      <c r="CD159" s="826"/>
      <c r="CE159" s="640">
        <f t="shared" si="323"/>
        <v>1</v>
      </c>
      <c r="CF159" s="640" t="str">
        <f t="shared" si="324"/>
        <v>No Prog ni Ejec</v>
      </c>
      <c r="CG159" s="640" t="str">
        <f t="shared" si="325"/>
        <v>No Prog ni Ejec</v>
      </c>
      <c r="CH159" s="640" t="str">
        <f t="shared" si="326"/>
        <v>No Prog ni Ejec</v>
      </c>
      <c r="CI159" s="640" t="str">
        <f t="shared" si="327"/>
        <v>No Prog ni Ejec</v>
      </c>
      <c r="CJ159" s="640" t="str">
        <f t="shared" si="328"/>
        <v>No Prog ni Ejec</v>
      </c>
      <c r="CK159" s="640" t="str">
        <f t="shared" si="329"/>
        <v>No Prog ni Ejec</v>
      </c>
      <c r="CL159" s="698" t="str">
        <f t="shared" si="330"/>
        <v>No Prog ni Ejec</v>
      </c>
      <c r="CM159" s="128">
        <f t="shared" si="272"/>
        <v>0</v>
      </c>
      <c r="CR159" s="122">
        <v>1</v>
      </c>
      <c r="CS159" s="156"/>
      <c r="CT159" s="156"/>
      <c r="CU159" s="156"/>
      <c r="CV159" s="156"/>
      <c r="CW159" s="156"/>
      <c r="CX159" s="156"/>
      <c r="CY159" s="156"/>
      <c r="CZ159" s="156"/>
      <c r="DA159" s="156"/>
      <c r="DB159" s="156"/>
      <c r="DC159" s="156"/>
    </row>
    <row r="160" spans="1:107" s="78" customFormat="1" ht="130.5" customHeight="1" x14ac:dyDescent="0.2">
      <c r="A160" s="834">
        <v>12000</v>
      </c>
      <c r="B160" s="827" t="s">
        <v>15</v>
      </c>
      <c r="C160" s="827" t="s">
        <v>336</v>
      </c>
      <c r="D160" s="845" t="s">
        <v>1020</v>
      </c>
      <c r="E160" s="845"/>
      <c r="F160" s="845"/>
      <c r="G160" s="845"/>
      <c r="H160" s="845"/>
      <c r="I160" s="845"/>
      <c r="J160" s="845"/>
      <c r="K160" s="845"/>
      <c r="L160" s="845"/>
      <c r="M160" s="845"/>
      <c r="N160" s="845"/>
      <c r="O160" s="845"/>
      <c r="P160" s="845"/>
      <c r="Q160" s="827" t="s">
        <v>1128</v>
      </c>
      <c r="R160" s="827" t="s">
        <v>1773</v>
      </c>
      <c r="S160" s="835" t="s">
        <v>53</v>
      </c>
      <c r="T160" s="827" t="s">
        <v>94</v>
      </c>
      <c r="U160" s="827" t="s">
        <v>204</v>
      </c>
      <c r="V160" s="827" t="s">
        <v>204</v>
      </c>
      <c r="W160" s="835" t="s">
        <v>958</v>
      </c>
      <c r="X160" s="827" t="s">
        <v>545</v>
      </c>
      <c r="Y160" s="838" t="s">
        <v>391</v>
      </c>
      <c r="Z160" s="835">
        <v>1</v>
      </c>
      <c r="AA160" s="835" t="s">
        <v>949</v>
      </c>
      <c r="AB160" s="827" t="s">
        <v>543</v>
      </c>
      <c r="AC160" s="831">
        <v>0</v>
      </c>
      <c r="AD160" s="832">
        <v>1</v>
      </c>
      <c r="AE160" s="827" t="s">
        <v>18</v>
      </c>
      <c r="AF160" s="827" t="s">
        <v>24</v>
      </c>
      <c r="AG160" s="827" t="s">
        <v>204</v>
      </c>
      <c r="AH160" s="827" t="s">
        <v>635</v>
      </c>
      <c r="AI160" s="827" t="s">
        <v>29</v>
      </c>
      <c r="AJ160" s="827" t="s">
        <v>1291</v>
      </c>
      <c r="AK160" s="827" t="s">
        <v>544</v>
      </c>
      <c r="AL160" s="827" t="s">
        <v>296</v>
      </c>
      <c r="AM160" s="835">
        <v>1</v>
      </c>
      <c r="AN160" s="827" t="str">
        <f t="shared" si="297"/>
        <v>Organizar la publicación de la información sobre la gestión de la entidad para proporcionar información relevante a los grupos de interés</v>
      </c>
      <c r="AO160" s="833">
        <f t="shared" si="298"/>
        <v>0</v>
      </c>
      <c r="AP160" s="860" t="s">
        <v>48</v>
      </c>
      <c r="AQ160" s="66">
        <v>0</v>
      </c>
      <c r="AR160" s="827" t="str">
        <f t="shared" si="299"/>
        <v>Organizar la publicación de la información sobre la gestión de la entidad para proporcionar información relevante a los grupos de interés</v>
      </c>
      <c r="AS160" s="831">
        <f t="shared" si="300"/>
        <v>0</v>
      </c>
      <c r="AT160" s="838">
        <v>0</v>
      </c>
      <c r="AU160" s="841">
        <v>0</v>
      </c>
      <c r="AV160" s="828" t="e">
        <f t="shared" si="301"/>
        <v>#DIV/0!</v>
      </c>
      <c r="AW160" s="828" t="e">
        <f t="shared" si="302"/>
        <v>#DIV/0!</v>
      </c>
      <c r="AX160" s="828">
        <f t="shared" si="303"/>
        <v>0</v>
      </c>
      <c r="AY160" s="828" t="e">
        <f t="shared" si="304"/>
        <v>#DIV/0!</v>
      </c>
      <c r="AZ160" s="830" t="s">
        <v>1375</v>
      </c>
      <c r="BA160" s="835">
        <v>1</v>
      </c>
      <c r="BB160" s="827" t="str">
        <f t="shared" si="305"/>
        <v>Organizar la publicación de la información sobre la gestión de la entidad para proporcionar información relevante a los grupos de interés</v>
      </c>
      <c r="BC160" s="831">
        <f t="shared" si="306"/>
        <v>0</v>
      </c>
      <c r="BD160" s="838">
        <v>1</v>
      </c>
      <c r="BE160" s="831">
        <v>0</v>
      </c>
      <c r="BF160" s="828">
        <f t="shared" si="307"/>
        <v>1</v>
      </c>
      <c r="BG160" s="828" t="e">
        <f t="shared" si="308"/>
        <v>#DIV/0!</v>
      </c>
      <c r="BH160" s="828">
        <f t="shared" si="309"/>
        <v>1</v>
      </c>
      <c r="BI160" s="828" t="e">
        <f t="shared" si="310"/>
        <v>#DIV/0!</v>
      </c>
      <c r="BJ160" s="829" t="s">
        <v>1774</v>
      </c>
      <c r="BK160" s="835">
        <v>0</v>
      </c>
      <c r="BL160" s="827" t="str">
        <f t="shared" si="311"/>
        <v>Organizar la publicación de la información sobre la gestión de la entidad para proporcionar información relevante a los grupos de interés</v>
      </c>
      <c r="BM160" s="831">
        <f t="shared" si="312"/>
        <v>0</v>
      </c>
      <c r="BN160" s="835">
        <v>0</v>
      </c>
      <c r="BO160" s="962">
        <v>0</v>
      </c>
      <c r="BP160" s="828" t="e">
        <f t="shared" si="313"/>
        <v>#DIV/0!</v>
      </c>
      <c r="BQ160" s="828" t="e">
        <f t="shared" si="314"/>
        <v>#DIV/0!</v>
      </c>
      <c r="BR160" s="828">
        <f t="shared" si="315"/>
        <v>1</v>
      </c>
      <c r="BS160" s="828" t="e">
        <f t="shared" si="316"/>
        <v>#DIV/0!</v>
      </c>
      <c r="BT160" s="961" t="s">
        <v>1832</v>
      </c>
      <c r="BU160" s="835">
        <v>0</v>
      </c>
      <c r="BV160" s="827" t="str">
        <f t="shared" si="317"/>
        <v>Organizar la publicación de la información sobre la gestión de la entidad para proporcionar información relevante a los grupos de interés</v>
      </c>
      <c r="BW160" s="831">
        <f t="shared" si="318"/>
        <v>0</v>
      </c>
      <c r="BX160" s="835"/>
      <c r="BY160" s="835"/>
      <c r="BZ160" s="826" t="e">
        <f t="shared" si="319"/>
        <v>#DIV/0!</v>
      </c>
      <c r="CA160" s="826" t="e">
        <f t="shared" si="320"/>
        <v>#DIV/0!</v>
      </c>
      <c r="CB160" s="826">
        <f t="shared" si="321"/>
        <v>1</v>
      </c>
      <c r="CC160" s="826" t="e">
        <f t="shared" si="322"/>
        <v>#DIV/0!</v>
      </c>
      <c r="CD160" s="826"/>
      <c r="CE160" s="640" t="str">
        <f t="shared" si="323"/>
        <v>No Prog ni Ejec</v>
      </c>
      <c r="CF160" s="640" t="str">
        <f t="shared" si="324"/>
        <v>No Prog ni Ejec</v>
      </c>
      <c r="CG160" s="640">
        <f t="shared" si="325"/>
        <v>1</v>
      </c>
      <c r="CH160" s="640" t="str">
        <f t="shared" si="326"/>
        <v>No Prog ni Ejec</v>
      </c>
      <c r="CI160" s="640" t="str">
        <f t="shared" si="327"/>
        <v>No Prog ni Ejec</v>
      </c>
      <c r="CJ160" s="640" t="str">
        <f t="shared" si="328"/>
        <v>No Prog ni Ejec</v>
      </c>
      <c r="CK160" s="640" t="str">
        <f t="shared" si="329"/>
        <v>No Prog ni Ejec</v>
      </c>
      <c r="CL160" s="698" t="str">
        <f t="shared" si="330"/>
        <v>No Prog ni Ejec</v>
      </c>
      <c r="CM160" s="128">
        <f t="shared" si="272"/>
        <v>0</v>
      </c>
      <c r="CR160" s="122">
        <v>1</v>
      </c>
      <c r="CS160" s="156"/>
      <c r="CT160" s="156"/>
      <c r="CU160" s="156"/>
      <c r="CV160" s="156"/>
      <c r="CW160" s="156"/>
      <c r="CX160" s="156"/>
      <c r="CY160" s="156"/>
      <c r="CZ160" s="156"/>
      <c r="DA160" s="156"/>
      <c r="DB160" s="156"/>
      <c r="DC160" s="156"/>
    </row>
    <row r="161" spans="1:107" s="78" customFormat="1" ht="109.5" customHeight="1" x14ac:dyDescent="0.2">
      <c r="A161" s="834">
        <v>12000</v>
      </c>
      <c r="B161" s="827" t="s">
        <v>15</v>
      </c>
      <c r="C161" s="827" t="s">
        <v>336</v>
      </c>
      <c r="D161" s="845" t="s">
        <v>1020</v>
      </c>
      <c r="E161" s="845"/>
      <c r="F161" s="845"/>
      <c r="G161" s="845"/>
      <c r="H161" s="845"/>
      <c r="I161" s="845"/>
      <c r="J161" s="845"/>
      <c r="K161" s="845"/>
      <c r="L161" s="845"/>
      <c r="M161" s="845"/>
      <c r="N161" s="845"/>
      <c r="O161" s="845"/>
      <c r="P161" s="845"/>
      <c r="Q161" s="827" t="s">
        <v>1128</v>
      </c>
      <c r="R161" s="827" t="s">
        <v>1773</v>
      </c>
      <c r="S161" s="835" t="s">
        <v>53</v>
      </c>
      <c r="T161" s="827" t="s">
        <v>94</v>
      </c>
      <c r="U161" s="827" t="s">
        <v>204</v>
      </c>
      <c r="V161" s="827" t="s">
        <v>204</v>
      </c>
      <c r="W161" s="835" t="s">
        <v>959</v>
      </c>
      <c r="X161" s="827" t="s">
        <v>547</v>
      </c>
      <c r="Y161" s="838" t="s">
        <v>391</v>
      </c>
      <c r="Z161" s="835">
        <v>1</v>
      </c>
      <c r="AA161" s="835" t="s">
        <v>950</v>
      </c>
      <c r="AB161" s="827" t="s">
        <v>546</v>
      </c>
      <c r="AC161" s="831">
        <v>0</v>
      </c>
      <c r="AD161" s="832">
        <v>1</v>
      </c>
      <c r="AE161" s="827" t="s">
        <v>18</v>
      </c>
      <c r="AF161" s="827" t="s">
        <v>24</v>
      </c>
      <c r="AG161" s="827" t="s">
        <v>204</v>
      </c>
      <c r="AH161" s="827" t="s">
        <v>635</v>
      </c>
      <c r="AI161" s="827" t="s">
        <v>1048</v>
      </c>
      <c r="AJ161" s="827" t="s">
        <v>1291</v>
      </c>
      <c r="AK161" s="827" t="s">
        <v>548</v>
      </c>
      <c r="AL161" s="827" t="s">
        <v>40</v>
      </c>
      <c r="AM161" s="835">
        <v>1</v>
      </c>
      <c r="AN161" s="827" t="str">
        <f t="shared" si="297"/>
        <v>Elaborar y publicar el informe de gestión de la entidad vigencia 2018</v>
      </c>
      <c r="AO161" s="833">
        <f t="shared" si="298"/>
        <v>0</v>
      </c>
      <c r="AP161" s="860" t="s">
        <v>48</v>
      </c>
      <c r="AQ161" s="66">
        <v>1</v>
      </c>
      <c r="AR161" s="827" t="str">
        <f t="shared" si="299"/>
        <v>Elaborar y publicar el informe de gestión de la entidad vigencia 2018</v>
      </c>
      <c r="AS161" s="831">
        <f t="shared" si="300"/>
        <v>0</v>
      </c>
      <c r="AT161" s="838">
        <v>1</v>
      </c>
      <c r="AU161" s="841">
        <v>0</v>
      </c>
      <c r="AV161" s="828">
        <f t="shared" si="301"/>
        <v>1</v>
      </c>
      <c r="AW161" s="828" t="e">
        <f t="shared" si="302"/>
        <v>#DIV/0!</v>
      </c>
      <c r="AX161" s="828">
        <f t="shared" si="303"/>
        <v>1</v>
      </c>
      <c r="AY161" s="828" t="e">
        <f t="shared" si="304"/>
        <v>#DIV/0!</v>
      </c>
      <c r="AZ161" s="829" t="s">
        <v>1604</v>
      </c>
      <c r="BA161" s="835">
        <v>0</v>
      </c>
      <c r="BB161" s="827" t="str">
        <f t="shared" si="305"/>
        <v>Elaborar y publicar el informe de gestión de la entidad vigencia 2018</v>
      </c>
      <c r="BC161" s="831">
        <f t="shared" si="306"/>
        <v>0</v>
      </c>
      <c r="BD161" s="838">
        <v>0</v>
      </c>
      <c r="BE161" s="831">
        <v>0</v>
      </c>
      <c r="BF161" s="828" t="e">
        <f t="shared" si="307"/>
        <v>#DIV/0!</v>
      </c>
      <c r="BG161" s="828" t="e">
        <f t="shared" si="308"/>
        <v>#DIV/0!</v>
      </c>
      <c r="BH161" s="828">
        <f t="shared" si="309"/>
        <v>1</v>
      </c>
      <c r="BI161" s="828" t="e">
        <f t="shared" si="310"/>
        <v>#DIV/0!</v>
      </c>
      <c r="BJ161" s="830"/>
      <c r="BK161" s="835">
        <v>0</v>
      </c>
      <c r="BL161" s="827" t="str">
        <f t="shared" si="311"/>
        <v>Elaborar y publicar el informe de gestión de la entidad vigencia 2018</v>
      </c>
      <c r="BM161" s="831">
        <f t="shared" si="312"/>
        <v>0</v>
      </c>
      <c r="BN161" s="835">
        <v>0</v>
      </c>
      <c r="BO161" s="962">
        <v>0</v>
      </c>
      <c r="BP161" s="828" t="e">
        <f t="shared" si="313"/>
        <v>#DIV/0!</v>
      </c>
      <c r="BQ161" s="828" t="e">
        <f t="shared" si="314"/>
        <v>#DIV/0!</v>
      </c>
      <c r="BR161" s="828">
        <f t="shared" si="315"/>
        <v>1</v>
      </c>
      <c r="BS161" s="828" t="e">
        <f t="shared" si="316"/>
        <v>#DIV/0!</v>
      </c>
      <c r="BT161" s="961" t="s">
        <v>1832</v>
      </c>
      <c r="BU161" s="835">
        <v>0</v>
      </c>
      <c r="BV161" s="827" t="str">
        <f t="shared" si="317"/>
        <v>Elaborar y publicar el informe de gestión de la entidad vigencia 2018</v>
      </c>
      <c r="BW161" s="831">
        <f t="shared" si="318"/>
        <v>0</v>
      </c>
      <c r="BX161" s="835"/>
      <c r="BY161" s="835"/>
      <c r="BZ161" s="826" t="e">
        <f t="shared" si="319"/>
        <v>#DIV/0!</v>
      </c>
      <c r="CA161" s="826" t="e">
        <f t="shared" si="320"/>
        <v>#DIV/0!</v>
      </c>
      <c r="CB161" s="826">
        <f t="shared" si="321"/>
        <v>1</v>
      </c>
      <c r="CC161" s="826" t="e">
        <f t="shared" si="322"/>
        <v>#DIV/0!</v>
      </c>
      <c r="CD161" s="826"/>
      <c r="CE161" s="640">
        <f t="shared" si="323"/>
        <v>1</v>
      </c>
      <c r="CF161" s="640" t="str">
        <f t="shared" si="324"/>
        <v>No Prog ni Ejec</v>
      </c>
      <c r="CG161" s="640" t="str">
        <f t="shared" si="325"/>
        <v>No Prog ni Ejec</v>
      </c>
      <c r="CH161" s="640" t="str">
        <f t="shared" si="326"/>
        <v>No Prog ni Ejec</v>
      </c>
      <c r="CI161" s="640" t="str">
        <f t="shared" si="327"/>
        <v>No Prog ni Ejec</v>
      </c>
      <c r="CJ161" s="640" t="str">
        <f t="shared" si="328"/>
        <v>No Prog ni Ejec</v>
      </c>
      <c r="CK161" s="640" t="str">
        <f t="shared" si="329"/>
        <v>No Prog ni Ejec</v>
      </c>
      <c r="CL161" s="698" t="str">
        <f t="shared" si="330"/>
        <v>No Prog ni Ejec</v>
      </c>
      <c r="CM161" s="128">
        <f t="shared" si="272"/>
        <v>0</v>
      </c>
      <c r="CR161" s="122">
        <v>1</v>
      </c>
      <c r="CS161" s="156"/>
      <c r="CT161" s="156"/>
      <c r="CU161" s="156"/>
      <c r="CV161" s="156"/>
      <c r="CW161" s="156"/>
      <c r="CX161" s="156"/>
      <c r="CY161" s="156"/>
      <c r="CZ161" s="156"/>
      <c r="DA161" s="156"/>
      <c r="DB161" s="156"/>
      <c r="DC161" s="156"/>
    </row>
    <row r="162" spans="1:107" s="78" customFormat="1" ht="118.5" customHeight="1" x14ac:dyDescent="0.2">
      <c r="A162" s="834">
        <v>12000</v>
      </c>
      <c r="B162" s="827" t="s">
        <v>15</v>
      </c>
      <c r="C162" s="827" t="s">
        <v>336</v>
      </c>
      <c r="D162" s="845" t="s">
        <v>1020</v>
      </c>
      <c r="E162" s="845"/>
      <c r="F162" s="845"/>
      <c r="G162" s="845"/>
      <c r="H162" s="845"/>
      <c r="I162" s="845"/>
      <c r="J162" s="845"/>
      <c r="K162" s="845"/>
      <c r="L162" s="845"/>
      <c r="M162" s="845"/>
      <c r="N162" s="845"/>
      <c r="O162" s="845"/>
      <c r="P162" s="845"/>
      <c r="Q162" s="827" t="s">
        <v>1128</v>
      </c>
      <c r="R162" s="827" t="s">
        <v>1140</v>
      </c>
      <c r="S162" s="835" t="s">
        <v>53</v>
      </c>
      <c r="T162" s="827" t="s">
        <v>94</v>
      </c>
      <c r="U162" s="827" t="s">
        <v>204</v>
      </c>
      <c r="V162" s="827" t="s">
        <v>204</v>
      </c>
      <c r="W162" s="835" t="s">
        <v>960</v>
      </c>
      <c r="X162" s="827" t="s">
        <v>550</v>
      </c>
      <c r="Y162" s="838" t="s">
        <v>391</v>
      </c>
      <c r="Z162" s="835">
        <v>1</v>
      </c>
      <c r="AA162" s="835" t="s">
        <v>951</v>
      </c>
      <c r="AB162" s="827" t="s">
        <v>549</v>
      </c>
      <c r="AC162" s="831">
        <v>0</v>
      </c>
      <c r="AD162" s="832">
        <v>1</v>
      </c>
      <c r="AE162" s="827" t="s">
        <v>287</v>
      </c>
      <c r="AF162" s="827" t="s">
        <v>304</v>
      </c>
      <c r="AG162" s="827" t="s">
        <v>204</v>
      </c>
      <c r="AH162" s="827" t="s">
        <v>635</v>
      </c>
      <c r="AI162" s="827" t="s">
        <v>1052</v>
      </c>
      <c r="AJ162" s="827" t="s">
        <v>1269</v>
      </c>
      <c r="AK162" s="827" t="s">
        <v>551</v>
      </c>
      <c r="AL162" s="827" t="s">
        <v>40</v>
      </c>
      <c r="AM162" s="835">
        <v>1</v>
      </c>
      <c r="AN162" s="827" t="str">
        <f t="shared" si="297"/>
        <v>Autoevaluar el cumplimiento de la estrategia de rendición de cuentas implementada por la entidad.</v>
      </c>
      <c r="AO162" s="833">
        <f t="shared" si="298"/>
        <v>0</v>
      </c>
      <c r="AP162" s="860" t="s">
        <v>48</v>
      </c>
      <c r="AQ162" s="66">
        <v>1</v>
      </c>
      <c r="AR162" s="827" t="str">
        <f t="shared" si="299"/>
        <v>Autoevaluar el cumplimiento de la estrategia de rendición de cuentas implementada por la entidad.</v>
      </c>
      <c r="AS162" s="831">
        <f t="shared" si="300"/>
        <v>0</v>
      </c>
      <c r="AT162" s="838">
        <v>1</v>
      </c>
      <c r="AU162" s="841">
        <v>0</v>
      </c>
      <c r="AV162" s="828">
        <f t="shared" si="301"/>
        <v>1</v>
      </c>
      <c r="AW162" s="828" t="e">
        <f t="shared" si="302"/>
        <v>#DIV/0!</v>
      </c>
      <c r="AX162" s="828">
        <f t="shared" si="303"/>
        <v>1</v>
      </c>
      <c r="AY162" s="828" t="e">
        <f t="shared" si="304"/>
        <v>#DIV/0!</v>
      </c>
      <c r="AZ162" s="830"/>
      <c r="BA162" s="835">
        <v>0</v>
      </c>
      <c r="BB162" s="827" t="str">
        <f t="shared" si="305"/>
        <v>Autoevaluar el cumplimiento de la estrategia de rendición de cuentas implementada por la entidad.</v>
      </c>
      <c r="BC162" s="831">
        <f t="shared" si="306"/>
        <v>0</v>
      </c>
      <c r="BD162" s="838">
        <v>0</v>
      </c>
      <c r="BE162" s="831">
        <v>0</v>
      </c>
      <c r="BF162" s="828" t="e">
        <f t="shared" si="307"/>
        <v>#DIV/0!</v>
      </c>
      <c r="BG162" s="828" t="e">
        <f t="shared" si="308"/>
        <v>#DIV/0!</v>
      </c>
      <c r="BH162" s="828">
        <f t="shared" si="309"/>
        <v>1</v>
      </c>
      <c r="BI162" s="828" t="e">
        <f t="shared" si="310"/>
        <v>#DIV/0!</v>
      </c>
      <c r="BJ162" s="830"/>
      <c r="BK162" s="835">
        <v>0</v>
      </c>
      <c r="BL162" s="827" t="str">
        <f t="shared" si="311"/>
        <v>Autoevaluar el cumplimiento de la estrategia de rendición de cuentas implementada por la entidad.</v>
      </c>
      <c r="BM162" s="831">
        <f t="shared" si="312"/>
        <v>0</v>
      </c>
      <c r="BN162" s="835">
        <v>0</v>
      </c>
      <c r="BO162" s="962">
        <v>0</v>
      </c>
      <c r="BP162" s="828" t="e">
        <f t="shared" si="313"/>
        <v>#DIV/0!</v>
      </c>
      <c r="BQ162" s="828" t="e">
        <f t="shared" si="314"/>
        <v>#DIV/0!</v>
      </c>
      <c r="BR162" s="828">
        <f t="shared" si="315"/>
        <v>1</v>
      </c>
      <c r="BS162" s="828" t="e">
        <f t="shared" si="316"/>
        <v>#DIV/0!</v>
      </c>
      <c r="BT162" s="961" t="s">
        <v>1832</v>
      </c>
      <c r="BU162" s="835">
        <v>0</v>
      </c>
      <c r="BV162" s="827" t="str">
        <f t="shared" si="317"/>
        <v>Autoevaluar el cumplimiento de la estrategia de rendición de cuentas implementada por la entidad.</v>
      </c>
      <c r="BW162" s="831">
        <f t="shared" si="318"/>
        <v>0</v>
      </c>
      <c r="BX162" s="835"/>
      <c r="BY162" s="835"/>
      <c r="BZ162" s="826" t="e">
        <f t="shared" si="319"/>
        <v>#DIV/0!</v>
      </c>
      <c r="CA162" s="826" t="e">
        <f t="shared" si="320"/>
        <v>#DIV/0!</v>
      </c>
      <c r="CB162" s="826">
        <f t="shared" si="321"/>
        <v>1</v>
      </c>
      <c r="CC162" s="826" t="e">
        <f t="shared" si="322"/>
        <v>#DIV/0!</v>
      </c>
      <c r="CD162" s="826"/>
      <c r="CE162" s="640">
        <f t="shared" si="323"/>
        <v>1</v>
      </c>
      <c r="CF162" s="640" t="str">
        <f t="shared" si="324"/>
        <v>No Prog ni Ejec</v>
      </c>
      <c r="CG162" s="640" t="str">
        <f t="shared" si="325"/>
        <v>No Prog ni Ejec</v>
      </c>
      <c r="CH162" s="640" t="str">
        <f t="shared" si="326"/>
        <v>No Prog ni Ejec</v>
      </c>
      <c r="CI162" s="640" t="str">
        <f t="shared" si="327"/>
        <v>No Prog ni Ejec</v>
      </c>
      <c r="CJ162" s="640" t="str">
        <f t="shared" si="328"/>
        <v>No Prog ni Ejec</v>
      </c>
      <c r="CK162" s="640" t="str">
        <f t="shared" si="329"/>
        <v>No Prog ni Ejec</v>
      </c>
      <c r="CL162" s="698" t="str">
        <f t="shared" si="330"/>
        <v>No Prog ni Ejec</v>
      </c>
      <c r="CM162" s="128">
        <f t="shared" si="272"/>
        <v>0</v>
      </c>
      <c r="CR162" s="122">
        <v>1</v>
      </c>
      <c r="CS162" s="156"/>
      <c r="CT162" s="156"/>
      <c r="CU162" s="156"/>
      <c r="CV162" s="156"/>
      <c r="CW162" s="156"/>
      <c r="CX162" s="156"/>
      <c r="CY162" s="156"/>
      <c r="CZ162" s="156"/>
      <c r="DA162" s="156"/>
      <c r="DB162" s="156"/>
      <c r="DC162" s="156"/>
    </row>
    <row r="163" spans="1:107" s="78" customFormat="1" ht="102" x14ac:dyDescent="0.2">
      <c r="A163" s="834">
        <v>12000</v>
      </c>
      <c r="B163" s="827" t="s">
        <v>15</v>
      </c>
      <c r="C163" s="827" t="s">
        <v>336</v>
      </c>
      <c r="D163" s="845" t="s">
        <v>1020</v>
      </c>
      <c r="E163" s="845"/>
      <c r="F163" s="845"/>
      <c r="G163" s="845"/>
      <c r="H163" s="845"/>
      <c r="I163" s="845"/>
      <c r="J163" s="845"/>
      <c r="K163" s="845"/>
      <c r="L163" s="845"/>
      <c r="M163" s="845"/>
      <c r="N163" s="845"/>
      <c r="O163" s="845"/>
      <c r="P163" s="845"/>
      <c r="Q163" s="827" t="s">
        <v>1605</v>
      </c>
      <c r="R163" s="827" t="s">
        <v>1136</v>
      </c>
      <c r="S163" s="835" t="s">
        <v>53</v>
      </c>
      <c r="T163" s="827" t="s">
        <v>94</v>
      </c>
      <c r="U163" s="827" t="s">
        <v>204</v>
      </c>
      <c r="V163" s="827" t="s">
        <v>204</v>
      </c>
      <c r="W163" s="835" t="s">
        <v>961</v>
      </c>
      <c r="X163" s="827" t="s">
        <v>553</v>
      </c>
      <c r="Y163" s="838" t="s">
        <v>51</v>
      </c>
      <c r="Z163" s="826">
        <v>1</v>
      </c>
      <c r="AA163" s="835" t="s">
        <v>952</v>
      </c>
      <c r="AB163" s="827" t="s">
        <v>552</v>
      </c>
      <c r="AC163" s="831">
        <v>0</v>
      </c>
      <c r="AD163" s="832">
        <v>1</v>
      </c>
      <c r="AE163" s="827" t="s">
        <v>18</v>
      </c>
      <c r="AF163" s="827" t="s">
        <v>24</v>
      </c>
      <c r="AG163" s="827" t="s">
        <v>204</v>
      </c>
      <c r="AH163" s="827" t="s">
        <v>635</v>
      </c>
      <c r="AI163" s="827" t="s">
        <v>1048</v>
      </c>
      <c r="AJ163" s="827" t="s">
        <v>1291</v>
      </c>
      <c r="AK163" s="827" t="s">
        <v>554</v>
      </c>
      <c r="AL163" s="827" t="s">
        <v>296</v>
      </c>
      <c r="AM163" s="826">
        <v>1</v>
      </c>
      <c r="AN163" s="827" t="str">
        <f t="shared" si="297"/>
        <v xml:space="preserve">Articular la publicación de información mínima requerida por la Ley 1712 de 2014 en página web </v>
      </c>
      <c r="AO163" s="833">
        <f t="shared" si="298"/>
        <v>0</v>
      </c>
      <c r="AP163" s="860" t="s">
        <v>48</v>
      </c>
      <c r="AQ163" s="826">
        <v>0.25</v>
      </c>
      <c r="AR163" s="827" t="str">
        <f>+AN163</f>
        <v xml:space="preserve">Articular la publicación de información mínima requerida por la Ley 1712 de 2014 en página web </v>
      </c>
      <c r="AS163" s="831">
        <f t="shared" si="300"/>
        <v>0</v>
      </c>
      <c r="AT163" s="848">
        <f>(13/13)*25%</f>
        <v>0.25</v>
      </c>
      <c r="AU163" s="841">
        <v>0</v>
      </c>
      <c r="AV163" s="828">
        <f t="shared" si="301"/>
        <v>1</v>
      </c>
      <c r="AW163" s="828" t="e">
        <f t="shared" si="302"/>
        <v>#DIV/0!</v>
      </c>
      <c r="AX163" s="828">
        <f t="shared" si="303"/>
        <v>0.25</v>
      </c>
      <c r="AY163" s="828" t="e">
        <f t="shared" si="304"/>
        <v>#DIV/0!</v>
      </c>
      <c r="AZ163" s="829" t="s">
        <v>1376</v>
      </c>
      <c r="BA163" s="826">
        <v>0.25</v>
      </c>
      <c r="BB163" s="827" t="str">
        <f t="shared" si="305"/>
        <v xml:space="preserve">Articular la publicación de información mínima requerida por la Ley 1712 de 2014 en página web </v>
      </c>
      <c r="BC163" s="831">
        <f t="shared" si="306"/>
        <v>0</v>
      </c>
      <c r="BD163" s="848">
        <f>(6/6)*25%</f>
        <v>0.25</v>
      </c>
      <c r="BE163" s="831">
        <v>0</v>
      </c>
      <c r="BF163" s="828">
        <f t="shared" si="307"/>
        <v>1</v>
      </c>
      <c r="BG163" s="828" t="e">
        <f t="shared" si="308"/>
        <v>#DIV/0!</v>
      </c>
      <c r="BH163" s="828">
        <f t="shared" si="309"/>
        <v>0.5</v>
      </c>
      <c r="BI163" s="828" t="e">
        <f t="shared" si="310"/>
        <v>#DIV/0!</v>
      </c>
      <c r="BJ163" s="830" t="s">
        <v>1685</v>
      </c>
      <c r="BK163" s="826">
        <v>0.25</v>
      </c>
      <c r="BL163" s="827" t="str">
        <f t="shared" si="311"/>
        <v xml:space="preserve">Articular la publicación de información mínima requerida por la Ley 1712 de 2014 en página web </v>
      </c>
      <c r="BM163" s="831">
        <f t="shared" si="312"/>
        <v>0</v>
      </c>
      <c r="BN163" s="963">
        <f>7/7*0.25</f>
        <v>0.25</v>
      </c>
      <c r="BO163" s="962">
        <v>0</v>
      </c>
      <c r="BP163" s="828">
        <f t="shared" si="313"/>
        <v>1</v>
      </c>
      <c r="BQ163" s="828" t="e">
        <f t="shared" si="314"/>
        <v>#DIV/0!</v>
      </c>
      <c r="BR163" s="828">
        <f t="shared" si="315"/>
        <v>0.75</v>
      </c>
      <c r="BS163" s="828" t="e">
        <f t="shared" si="316"/>
        <v>#DIV/0!</v>
      </c>
      <c r="BT163" s="961" t="s">
        <v>1838</v>
      </c>
      <c r="BU163" s="826">
        <v>0.25</v>
      </c>
      <c r="BV163" s="827" t="str">
        <f t="shared" si="317"/>
        <v xml:space="preserve">Articular la publicación de información mínima requerida por la Ley 1712 de 2014 en página web </v>
      </c>
      <c r="BW163" s="831">
        <f t="shared" si="318"/>
        <v>0</v>
      </c>
      <c r="BX163" s="835"/>
      <c r="BY163" s="835"/>
      <c r="BZ163" s="826">
        <f t="shared" si="319"/>
        <v>0</v>
      </c>
      <c r="CA163" s="826" t="e">
        <f t="shared" si="320"/>
        <v>#DIV/0!</v>
      </c>
      <c r="CB163" s="826">
        <f t="shared" si="321"/>
        <v>0.75</v>
      </c>
      <c r="CC163" s="826" t="e">
        <f t="shared" si="322"/>
        <v>#DIV/0!</v>
      </c>
      <c r="CD163" s="826"/>
      <c r="CE163" s="640">
        <f t="shared" si="323"/>
        <v>1</v>
      </c>
      <c r="CF163" s="640" t="str">
        <f t="shared" si="324"/>
        <v>No Prog ni Ejec</v>
      </c>
      <c r="CG163" s="640">
        <f t="shared" si="325"/>
        <v>1</v>
      </c>
      <c r="CH163" s="640" t="str">
        <f t="shared" si="326"/>
        <v>No Prog ni Ejec</v>
      </c>
      <c r="CI163" s="640">
        <f t="shared" si="327"/>
        <v>1</v>
      </c>
      <c r="CJ163" s="640" t="str">
        <f t="shared" si="328"/>
        <v>No Prog ni Ejec</v>
      </c>
      <c r="CK163" s="640">
        <f t="shared" si="329"/>
        <v>0</v>
      </c>
      <c r="CL163" s="698" t="str">
        <f t="shared" si="330"/>
        <v>No Prog ni Ejec</v>
      </c>
      <c r="CM163" s="128">
        <f t="shared" si="272"/>
        <v>0</v>
      </c>
      <c r="CR163" s="122">
        <v>1</v>
      </c>
      <c r="CS163" s="156"/>
      <c r="CT163" s="156"/>
      <c r="CU163" s="156"/>
      <c r="CV163" s="156"/>
      <c r="CW163" s="156"/>
      <c r="CX163" s="156"/>
      <c r="CY163" s="156"/>
      <c r="CZ163" s="156"/>
      <c r="DA163" s="156"/>
      <c r="DB163" s="156"/>
      <c r="DC163" s="156"/>
    </row>
    <row r="164" spans="1:107" s="78" customFormat="1" ht="89.25" x14ac:dyDescent="0.2">
      <c r="A164" s="834">
        <v>11800</v>
      </c>
      <c r="B164" s="827" t="s">
        <v>3</v>
      </c>
      <c r="C164" s="827" t="s">
        <v>336</v>
      </c>
      <c r="D164" s="845" t="s">
        <v>1020</v>
      </c>
      <c r="E164" s="845"/>
      <c r="F164" s="845"/>
      <c r="G164" s="845"/>
      <c r="H164" s="845"/>
      <c r="I164" s="845"/>
      <c r="J164" s="845"/>
      <c r="K164" s="845"/>
      <c r="L164" s="845"/>
      <c r="M164" s="845"/>
      <c r="N164" s="845"/>
      <c r="O164" s="845"/>
      <c r="P164" s="845"/>
      <c r="Q164" s="827" t="s">
        <v>1126</v>
      </c>
      <c r="R164" s="827" t="s">
        <v>1137</v>
      </c>
      <c r="S164" s="835" t="s">
        <v>116</v>
      </c>
      <c r="T164" s="827" t="s">
        <v>94</v>
      </c>
      <c r="U164" s="827" t="s">
        <v>204</v>
      </c>
      <c r="V164" s="827" t="s">
        <v>204</v>
      </c>
      <c r="W164" s="835" t="s">
        <v>1123</v>
      </c>
      <c r="X164" s="827" t="s">
        <v>540</v>
      </c>
      <c r="Y164" s="838" t="s">
        <v>408</v>
      </c>
      <c r="Z164" s="835">
        <v>3</v>
      </c>
      <c r="AA164" s="835" t="s">
        <v>1122</v>
      </c>
      <c r="AB164" s="827" t="s">
        <v>541</v>
      </c>
      <c r="AC164" s="831">
        <v>0</v>
      </c>
      <c r="AD164" s="832">
        <v>1</v>
      </c>
      <c r="AE164" s="827" t="s">
        <v>19</v>
      </c>
      <c r="AF164" s="827" t="s">
        <v>25</v>
      </c>
      <c r="AG164" s="827" t="s">
        <v>204</v>
      </c>
      <c r="AH164" s="827" t="s">
        <v>635</v>
      </c>
      <c r="AI164" s="827" t="s">
        <v>1047</v>
      </c>
      <c r="AJ164" s="827" t="s">
        <v>1286</v>
      </c>
      <c r="AK164" s="827" t="s">
        <v>542</v>
      </c>
      <c r="AL164" s="827" t="s">
        <v>204</v>
      </c>
      <c r="AM164" s="835">
        <v>3</v>
      </c>
      <c r="AN164" s="827" t="str">
        <f t="shared" si="297"/>
        <v>Realizar seguimiento al Mapa de Riesgos Operativos, de Corrupción y de Seguridad Digital y a la efectividad de los controles</v>
      </c>
      <c r="AO164" s="833">
        <f t="shared" si="298"/>
        <v>0</v>
      </c>
      <c r="AP164" s="860" t="s">
        <v>48</v>
      </c>
      <c r="AQ164" s="835">
        <v>1</v>
      </c>
      <c r="AR164" s="827" t="str">
        <f t="shared" si="299"/>
        <v>Realizar seguimiento al Mapa de Riesgos Operativos, de Corrupción y de Seguridad Digital y a la efectividad de los controles</v>
      </c>
      <c r="AS164" s="831">
        <v>0</v>
      </c>
      <c r="AT164" s="835">
        <v>1</v>
      </c>
      <c r="AU164" s="835">
        <v>0</v>
      </c>
      <c r="AV164" s="828">
        <f t="shared" si="301"/>
        <v>1</v>
      </c>
      <c r="AW164" s="828" t="e">
        <f t="shared" si="302"/>
        <v>#DIV/0!</v>
      </c>
      <c r="AX164" s="828">
        <f t="shared" si="303"/>
        <v>0.33333333333333331</v>
      </c>
      <c r="AY164" s="828" t="e">
        <f t="shared" si="304"/>
        <v>#DIV/0!</v>
      </c>
      <c r="AZ164" s="830"/>
      <c r="BA164" s="835">
        <v>1</v>
      </c>
      <c r="BB164" s="827" t="str">
        <f t="shared" si="305"/>
        <v>Realizar seguimiento al Mapa de Riesgos Operativos, de Corrupción y de Seguridad Digital y a la efectividad de los controles</v>
      </c>
      <c r="BC164" s="831">
        <v>0</v>
      </c>
      <c r="BD164" s="838">
        <v>1</v>
      </c>
      <c r="BE164" s="831">
        <v>0</v>
      </c>
      <c r="BF164" s="828">
        <f t="shared" si="307"/>
        <v>1</v>
      </c>
      <c r="BG164" s="828" t="e">
        <f t="shared" si="308"/>
        <v>#DIV/0!</v>
      </c>
      <c r="BH164" s="828">
        <f t="shared" si="309"/>
        <v>0.66666666666666663</v>
      </c>
      <c r="BI164" s="828" t="e">
        <f t="shared" si="310"/>
        <v>#DIV/0!</v>
      </c>
      <c r="BJ164" s="829" t="s">
        <v>1702</v>
      </c>
      <c r="BK164" s="835">
        <v>1</v>
      </c>
      <c r="BL164" s="827" t="str">
        <f t="shared" si="311"/>
        <v>Realizar seguimiento al Mapa de Riesgos Operativos, de Corrupción y de Seguridad Digital y a la efectividad de los controles</v>
      </c>
      <c r="BM164" s="831">
        <v>0</v>
      </c>
      <c r="BN164" s="956">
        <v>1</v>
      </c>
      <c r="BO164" s="955">
        <v>0</v>
      </c>
      <c r="BP164" s="828">
        <f t="shared" si="313"/>
        <v>1</v>
      </c>
      <c r="BQ164" s="828" t="e">
        <f t="shared" si="314"/>
        <v>#DIV/0!</v>
      </c>
      <c r="BR164" s="828">
        <f t="shared" si="315"/>
        <v>1</v>
      </c>
      <c r="BS164" s="828" t="e">
        <f t="shared" si="316"/>
        <v>#DIV/0!</v>
      </c>
      <c r="BT164" s="958" t="s">
        <v>1819</v>
      </c>
      <c r="BU164" s="66">
        <v>0</v>
      </c>
      <c r="BV164" s="827" t="str">
        <f t="shared" si="317"/>
        <v>Realizar seguimiento al Mapa de Riesgos Operativos, de Corrupción y de Seguridad Digital y a la efectividad de los controles</v>
      </c>
      <c r="BW164" s="831">
        <v>0</v>
      </c>
      <c r="BX164" s="835"/>
      <c r="BY164" s="835"/>
      <c r="BZ164" s="826" t="e">
        <f t="shared" si="319"/>
        <v>#DIV/0!</v>
      </c>
      <c r="CA164" s="826" t="e">
        <f t="shared" si="320"/>
        <v>#DIV/0!</v>
      </c>
      <c r="CB164" s="826">
        <f t="shared" si="321"/>
        <v>1</v>
      </c>
      <c r="CC164" s="826" t="e">
        <f t="shared" si="322"/>
        <v>#DIV/0!</v>
      </c>
      <c r="CD164" s="826"/>
      <c r="CE164" s="640">
        <f t="shared" si="323"/>
        <v>1</v>
      </c>
      <c r="CF164" s="640" t="str">
        <f t="shared" si="324"/>
        <v>No Prog ni Ejec</v>
      </c>
      <c r="CG164" s="640">
        <f t="shared" si="325"/>
        <v>1</v>
      </c>
      <c r="CH164" s="640" t="str">
        <f t="shared" si="326"/>
        <v>No Prog ni Ejec</v>
      </c>
      <c r="CI164" s="640">
        <f t="shared" si="327"/>
        <v>1</v>
      </c>
      <c r="CJ164" s="640" t="str">
        <f t="shared" si="328"/>
        <v>No Prog ni Ejec</v>
      </c>
      <c r="CK164" s="640" t="str">
        <f t="shared" si="329"/>
        <v>No Prog ni Ejec</v>
      </c>
      <c r="CL164" s="698" t="str">
        <f t="shared" si="330"/>
        <v>No Prog ni Ejec</v>
      </c>
      <c r="CM164" s="128">
        <f t="shared" si="272"/>
        <v>0</v>
      </c>
      <c r="CR164" s="122">
        <v>1</v>
      </c>
      <c r="CS164" s="156"/>
      <c r="CT164" s="156"/>
      <c r="CU164" s="156"/>
      <c r="CV164" s="156"/>
      <c r="CW164" s="156"/>
      <c r="CX164" s="156"/>
      <c r="CY164" s="156"/>
      <c r="CZ164" s="156"/>
      <c r="DA164" s="156"/>
      <c r="DB164" s="156"/>
      <c r="DC164" s="156"/>
    </row>
    <row r="165" spans="1:107" s="584" customFormat="1" ht="105" hidden="1" customHeight="1" x14ac:dyDescent="0.2">
      <c r="A165" s="857">
        <v>11500</v>
      </c>
      <c r="B165" s="853" t="s">
        <v>13</v>
      </c>
      <c r="C165" s="853" t="s">
        <v>336</v>
      </c>
      <c r="D165" s="845" t="s">
        <v>1020</v>
      </c>
      <c r="E165" s="845"/>
      <c r="F165" s="845"/>
      <c r="G165" s="845"/>
      <c r="H165" s="845"/>
      <c r="I165" s="845"/>
      <c r="J165" s="845"/>
      <c r="K165" s="845"/>
      <c r="L165" s="845"/>
      <c r="M165" s="845"/>
      <c r="N165" s="845"/>
      <c r="O165" s="845"/>
      <c r="P165" s="845"/>
      <c r="Q165" s="827" t="s">
        <v>1127</v>
      </c>
      <c r="R165" s="827" t="s">
        <v>1785</v>
      </c>
      <c r="S165" s="835" t="s">
        <v>96</v>
      </c>
      <c r="T165" s="827" t="s">
        <v>94</v>
      </c>
      <c r="U165" s="827" t="s">
        <v>204</v>
      </c>
      <c r="V165" s="827" t="s">
        <v>204</v>
      </c>
      <c r="W165" s="858" t="s">
        <v>107</v>
      </c>
      <c r="X165" s="853" t="s">
        <v>1069</v>
      </c>
      <c r="Y165" s="572" t="s">
        <v>408</v>
      </c>
      <c r="Z165" s="589">
        <v>1</v>
      </c>
      <c r="AA165" s="858" t="s">
        <v>97</v>
      </c>
      <c r="AB165" s="853" t="s">
        <v>1068</v>
      </c>
      <c r="AC165" s="859">
        <v>0</v>
      </c>
      <c r="AD165" s="832">
        <v>1</v>
      </c>
      <c r="AE165" s="827" t="s">
        <v>17</v>
      </c>
      <c r="AF165" s="827" t="s">
        <v>299</v>
      </c>
      <c r="AG165" s="827" t="s">
        <v>204</v>
      </c>
      <c r="AH165" s="827" t="s">
        <v>635</v>
      </c>
      <c r="AI165" s="827" t="s">
        <v>71</v>
      </c>
      <c r="AJ165" s="827" t="s">
        <v>204</v>
      </c>
      <c r="AK165" s="853" t="s">
        <v>1067</v>
      </c>
      <c r="AL165" s="827" t="s">
        <v>42</v>
      </c>
      <c r="AM165" s="858">
        <v>1</v>
      </c>
      <c r="AN165" s="876" t="str">
        <f>+AB165</f>
        <v>Racionalizar el trámite “Reconocimiento y pago de prestaciones por concepto de atenciones médico-quirúrgicas a víctimas de eventos catastróficos, terroristas y de accidentes de tránsito” a través de la revisión y mejoramiento del formato FURPEN.</v>
      </c>
      <c r="AO165" s="861">
        <f>+AC165</f>
        <v>0</v>
      </c>
      <c r="AP165" s="860" t="s">
        <v>48</v>
      </c>
      <c r="AQ165" s="858">
        <v>1</v>
      </c>
      <c r="AR165" s="853" t="str">
        <f t="shared" si="299"/>
        <v>Racionalizar el trámite “Reconocimiento y pago de prestaciones por concepto de atenciones médico-quirúrgicas a víctimas de eventos catastróficos, terroristas y de accidentes de tránsito” a través de la revisión y mejoramiento del formato FURPEN.</v>
      </c>
      <c r="AS165" s="859">
        <f>+AO165/4</f>
        <v>0</v>
      </c>
      <c r="AT165" s="858">
        <v>0</v>
      </c>
      <c r="AU165" s="859">
        <v>0</v>
      </c>
      <c r="AV165" s="856">
        <f t="shared" si="301"/>
        <v>0</v>
      </c>
      <c r="AW165" s="856" t="e">
        <f t="shared" si="302"/>
        <v>#DIV/0!</v>
      </c>
      <c r="AX165" s="856">
        <f t="shared" si="303"/>
        <v>0</v>
      </c>
      <c r="AY165" s="856" t="e">
        <f t="shared" si="304"/>
        <v>#DIV/0!</v>
      </c>
      <c r="AZ165" s="853" t="s">
        <v>1328</v>
      </c>
      <c r="BA165" s="858">
        <v>0</v>
      </c>
      <c r="BB165" s="853" t="str">
        <f t="shared" si="305"/>
        <v>Racionalizar el trámite “Reconocimiento y pago de prestaciones por concepto de atenciones médico-quirúrgicas a víctimas de eventos catastróficos, terroristas y de accidentes de tránsito” a través de la revisión y mejoramiento del formato FURPEN.</v>
      </c>
      <c r="BC165" s="859">
        <f>+AO165/4</f>
        <v>0</v>
      </c>
      <c r="BD165" s="572"/>
      <c r="BE165" s="859"/>
      <c r="BF165" s="856" t="e">
        <f t="shared" si="307"/>
        <v>#DIV/0!</v>
      </c>
      <c r="BG165" s="856" t="e">
        <f t="shared" si="308"/>
        <v>#DIV/0!</v>
      </c>
      <c r="BH165" s="856">
        <f t="shared" si="309"/>
        <v>0</v>
      </c>
      <c r="BI165" s="856" t="e">
        <f t="shared" si="310"/>
        <v>#DIV/0!</v>
      </c>
      <c r="BJ165" s="684"/>
      <c r="BK165" s="858">
        <v>0</v>
      </c>
      <c r="BL165" s="853" t="str">
        <f t="shared" si="311"/>
        <v>Racionalizar el trámite “Reconocimiento y pago de prestaciones por concepto de atenciones médico-quirúrgicas a víctimas de eventos catastróficos, terroristas y de accidentes de tránsito” a través de la revisión y mejoramiento del formato FURPEN.</v>
      </c>
      <c r="BM165" s="859">
        <f>+AO165/4</f>
        <v>0</v>
      </c>
      <c r="BN165" s="858"/>
      <c r="BO165" s="858"/>
      <c r="BP165" s="856" t="e">
        <f t="shared" si="313"/>
        <v>#DIV/0!</v>
      </c>
      <c r="BQ165" s="856" t="e">
        <f t="shared" si="314"/>
        <v>#DIV/0!</v>
      </c>
      <c r="BR165" s="856">
        <f t="shared" si="315"/>
        <v>0</v>
      </c>
      <c r="BS165" s="856" t="e">
        <f t="shared" si="316"/>
        <v>#DIV/0!</v>
      </c>
      <c r="BT165" s="576"/>
      <c r="BU165" s="858">
        <v>0</v>
      </c>
      <c r="BV165" s="853" t="str">
        <f t="shared" si="317"/>
        <v>Racionalizar el trámite “Reconocimiento y pago de prestaciones por concepto de atenciones médico-quirúrgicas a víctimas de eventos catastróficos, terroristas y de accidentes de tránsito” a través de la revisión y mejoramiento del formato FURPEN.</v>
      </c>
      <c r="BW165" s="859">
        <f>+AO165/4</f>
        <v>0</v>
      </c>
      <c r="BX165" s="858"/>
      <c r="BY165" s="858"/>
      <c r="BZ165" s="863" t="e">
        <f t="shared" si="319"/>
        <v>#DIV/0!</v>
      </c>
      <c r="CA165" s="863" t="e">
        <f t="shared" si="320"/>
        <v>#DIV/0!</v>
      </c>
      <c r="CB165" s="863">
        <f t="shared" si="321"/>
        <v>0</v>
      </c>
      <c r="CC165" s="863" t="e">
        <f t="shared" si="322"/>
        <v>#DIV/0!</v>
      </c>
      <c r="CD165" s="576"/>
      <c r="CE165" s="642">
        <f t="shared" ref="CE165:CE182" si="331">IF(AND(AQ165=0,AT165=0),"No Prog ni Ejec",IF(AQ165=0,CONCATENATE("No Prog, Ejec=  ",AT165),AT165/AQ165))</f>
        <v>0</v>
      </c>
      <c r="CF165" s="642" t="str">
        <f t="shared" ref="CF165:CF182" si="332">IF(AND(AS165=0,AU165=0),"No Prog ni Ejec",IF(AS165=0,CONCATENATE("No Prog, Ejec=  ",AU165),AU165/AS165))</f>
        <v>No Prog ni Ejec</v>
      </c>
      <c r="CG165" s="642" t="str">
        <f t="shared" ref="CG165:CG182" si="333">IF(AND(BA165=0,BD165=0),"No Prog ni Ejec",IF(BA165=0,CONCATENATE("No Prog, Ejec=  ",BD165),BD165/BA165))</f>
        <v>No Prog ni Ejec</v>
      </c>
      <c r="CH165" s="642" t="str">
        <f t="shared" ref="CH165:CH182" si="334">IF(AND(BC165=0,BE165=0),"No Prog ni Ejec",IF(BC165=0,CONCATENATE("No Prog, Ejec=  ",BE165),BE165/BC165))</f>
        <v>No Prog ni Ejec</v>
      </c>
      <c r="CI165" s="642" t="str">
        <f t="shared" ref="CI165:CI182" si="335">IF(AND(BK165=0,BN165=0),"No Prog ni Ejec",IF(BK165=0,CONCATENATE("No Prog, Ejec=  ",BN165),BN165/BK165))</f>
        <v>No Prog ni Ejec</v>
      </c>
      <c r="CJ165" s="642" t="str">
        <f t="shared" ref="CJ165:CJ182" si="336">IF(AND(BM165=0,BO165=0),"No Prog ni Ejec",IF(BM165=0,CONCATENATE("No Prog, Ejec=  ",BO165),BO165/BM165))</f>
        <v>No Prog ni Ejec</v>
      </c>
      <c r="CK165" s="642" t="str">
        <f t="shared" ref="CK165:CK182" si="337">IF(AND(BU165=0,BX165=0),"No Prog ni Ejec",IF(BU165=0,CONCATENATE("No Prog, Ejec=  ",BX165),BX165/BU165))</f>
        <v>No Prog ni Ejec</v>
      </c>
      <c r="CL165" s="762" t="str">
        <f t="shared" ref="CL165:CL182" si="338">IF(AND(BW165=0,BY165=0),"No Prog ni Ejec",IF(BW165=0,CONCATENATE("No Prog, Ejec=  ",BY165),BY165/BW165))</f>
        <v>No Prog ni Ejec</v>
      </c>
      <c r="CM165" s="577">
        <f t="shared" si="272"/>
        <v>0</v>
      </c>
      <c r="CR165" s="122">
        <v>1</v>
      </c>
      <c r="CS165" s="156"/>
      <c r="CT165" s="156"/>
      <c r="CU165" s="156"/>
      <c r="CV165" s="156"/>
      <c r="CW165" s="156"/>
      <c r="CX165" s="156"/>
      <c r="CY165" s="156"/>
      <c r="CZ165" s="156"/>
      <c r="DA165" s="156"/>
      <c r="DB165" s="156"/>
      <c r="DC165" s="156"/>
    </row>
    <row r="166" spans="1:107" s="78" customFormat="1" ht="101.25" customHeight="1" x14ac:dyDescent="0.2">
      <c r="A166" s="834">
        <v>11200</v>
      </c>
      <c r="B166" s="827" t="s">
        <v>1</v>
      </c>
      <c r="C166" s="827" t="s">
        <v>336</v>
      </c>
      <c r="D166" s="845" t="s">
        <v>1020</v>
      </c>
      <c r="E166" s="845"/>
      <c r="F166" s="845"/>
      <c r="G166" s="845"/>
      <c r="H166" s="845"/>
      <c r="I166" s="845"/>
      <c r="J166" s="845"/>
      <c r="K166" s="845"/>
      <c r="L166" s="845"/>
      <c r="M166" s="845"/>
      <c r="N166" s="845"/>
      <c r="O166" s="845"/>
      <c r="P166" s="845"/>
      <c r="Q166" s="827" t="s">
        <v>1128</v>
      </c>
      <c r="R166" s="827" t="s">
        <v>1140</v>
      </c>
      <c r="S166" s="1139" t="s">
        <v>111</v>
      </c>
      <c r="T166" s="1072" t="s">
        <v>94</v>
      </c>
      <c r="U166" s="827" t="s">
        <v>204</v>
      </c>
      <c r="V166" s="827" t="s">
        <v>204</v>
      </c>
      <c r="W166" s="835" t="s">
        <v>926</v>
      </c>
      <c r="X166" s="827" t="s">
        <v>1434</v>
      </c>
      <c r="Y166" s="838" t="s">
        <v>52</v>
      </c>
      <c r="Z166" s="66">
        <v>1</v>
      </c>
      <c r="AA166" s="835" t="s">
        <v>923</v>
      </c>
      <c r="AB166" s="827" t="s">
        <v>915</v>
      </c>
      <c r="AC166" s="831">
        <v>0</v>
      </c>
      <c r="AD166" s="832">
        <v>1</v>
      </c>
      <c r="AE166" s="827" t="s">
        <v>18</v>
      </c>
      <c r="AF166" s="827" t="s">
        <v>24</v>
      </c>
      <c r="AG166" s="827" t="s">
        <v>204</v>
      </c>
      <c r="AH166" s="827" t="s">
        <v>635</v>
      </c>
      <c r="AI166" s="827" t="s">
        <v>1052</v>
      </c>
      <c r="AJ166" s="827" t="s">
        <v>1269</v>
      </c>
      <c r="AK166" s="827" t="s">
        <v>1446</v>
      </c>
      <c r="AL166" s="827" t="s">
        <v>40</v>
      </c>
      <c r="AM166" s="66">
        <v>1</v>
      </c>
      <c r="AN166" s="827" t="str">
        <f>+AB166</f>
        <v>Realizar la audiencia pública de rendición de cuentas y comunicar los resultados a la ciudadanía y partes interesadas.</v>
      </c>
      <c r="AO166" s="833">
        <f t="shared" ref="AO166:AO174" si="339">+AC166</f>
        <v>0</v>
      </c>
      <c r="AP166" s="860" t="s">
        <v>48</v>
      </c>
      <c r="AQ166" s="66">
        <v>0</v>
      </c>
      <c r="AR166" s="827" t="str">
        <f t="shared" ref="AR166:AR182" si="340">+AN166</f>
        <v>Realizar la audiencia pública de rendición de cuentas y comunicar los resultados a la ciudadanía y partes interesadas.</v>
      </c>
      <c r="AS166" s="831">
        <f>+AO166/4</f>
        <v>0</v>
      </c>
      <c r="AT166" s="473">
        <v>0</v>
      </c>
      <c r="AU166" s="864">
        <v>0</v>
      </c>
      <c r="AV166" s="828" t="e">
        <f t="shared" ref="AV166:AV182" si="341">+(AT166/AQ166)</f>
        <v>#DIV/0!</v>
      </c>
      <c r="AW166" s="828" t="e">
        <f t="shared" ref="AW166:AW182" si="342">+(AU166/AS166)</f>
        <v>#DIV/0!</v>
      </c>
      <c r="AX166" s="828">
        <f t="shared" ref="AX166:AX182" si="343">+(AT166/AM166)</f>
        <v>0</v>
      </c>
      <c r="AY166" s="828" t="e">
        <f t="shared" ref="AY166:AY182" si="344">+(AU166/AO166)</f>
        <v>#DIV/0!</v>
      </c>
      <c r="AZ166" s="472" t="s">
        <v>1329</v>
      </c>
      <c r="BA166" s="66">
        <v>0</v>
      </c>
      <c r="BB166" s="827" t="str">
        <f t="shared" ref="BB166:BB182" si="345">+AN166</f>
        <v>Realizar la audiencia pública de rendición de cuentas y comunicar los resultados a la ciudadanía y partes interesadas.</v>
      </c>
      <c r="BC166" s="831">
        <f>+AO166/4</f>
        <v>0</v>
      </c>
      <c r="BD166" s="838">
        <v>0</v>
      </c>
      <c r="BE166" s="831">
        <v>0</v>
      </c>
      <c r="BF166" s="828" t="e">
        <f t="shared" ref="BF166:BF182" si="346">+(BD166/BA166)</f>
        <v>#DIV/0!</v>
      </c>
      <c r="BG166" s="828" t="e">
        <f t="shared" ref="BG166:BG182" si="347">+(BE166/BC166)</f>
        <v>#DIV/0!</v>
      </c>
      <c r="BH166" s="828">
        <f t="shared" ref="BH166:BH182" si="348">+(BD166+AT166)/AM166</f>
        <v>0</v>
      </c>
      <c r="BI166" s="828" t="e">
        <f t="shared" ref="BI166:BI182" si="349">+(BE166+AU166)/AO166</f>
        <v>#DIV/0!</v>
      </c>
      <c r="BJ166" s="830" t="s">
        <v>1657</v>
      </c>
      <c r="BK166" s="66">
        <v>1</v>
      </c>
      <c r="BL166" s="827" t="str">
        <f t="shared" ref="BL166:BL181" si="350">+AN166</f>
        <v>Realizar la audiencia pública de rendición de cuentas y comunicar los resultados a la ciudadanía y partes interesadas.</v>
      </c>
      <c r="BM166" s="831">
        <f>+AO166/4</f>
        <v>0</v>
      </c>
      <c r="BN166" s="982">
        <v>1</v>
      </c>
      <c r="BO166" s="981">
        <v>0</v>
      </c>
      <c r="BP166" s="828">
        <f t="shared" ref="BP166:BP182" si="351">+(BN166/BK166)</f>
        <v>1</v>
      </c>
      <c r="BQ166" s="828" t="e">
        <f t="shared" ref="BQ166:BQ182" si="352">+(BO166/BM166)</f>
        <v>#DIV/0!</v>
      </c>
      <c r="BR166" s="828">
        <f t="shared" ref="BR166:BR182" si="353">+(BD166+AT166+BN166)/AM166</f>
        <v>1</v>
      </c>
      <c r="BS166" s="828" t="e">
        <f t="shared" ref="BS166:BS182" si="354">+(BE166+AU166+BO166)/AO166</f>
        <v>#DIV/0!</v>
      </c>
      <c r="BT166" s="984" t="s">
        <v>1866</v>
      </c>
      <c r="BU166" s="66">
        <v>0</v>
      </c>
      <c r="BV166" s="827" t="str">
        <f t="shared" ref="BV166:BV182" si="355">+AN166</f>
        <v>Realizar la audiencia pública de rendición de cuentas y comunicar los resultados a la ciudadanía y partes interesadas.</v>
      </c>
      <c r="BW166" s="831">
        <f>+AO166/4</f>
        <v>0</v>
      </c>
      <c r="BX166" s="835"/>
      <c r="BY166" s="835"/>
      <c r="BZ166" s="826" t="e">
        <f t="shared" ref="BZ166:BZ182" si="356">+(BX166/BU166)</f>
        <v>#DIV/0!</v>
      </c>
      <c r="CA166" s="826" t="e">
        <f t="shared" ref="CA166:CA179" si="357">+(BY166/BW166)</f>
        <v>#DIV/0!</v>
      </c>
      <c r="CB166" s="826">
        <f t="shared" ref="CB166:CB182" si="358">+(BD166+AT166+BN166+BX166)/AM166</f>
        <v>1</v>
      </c>
      <c r="CC166" s="826" t="e">
        <f t="shared" ref="CC166:CC179" si="359">+(BE166+AU166+BO166+BY166)/AO166</f>
        <v>#DIV/0!</v>
      </c>
      <c r="CD166" s="826"/>
      <c r="CE166" s="640" t="str">
        <f t="shared" si="331"/>
        <v>No Prog ni Ejec</v>
      </c>
      <c r="CF166" s="640" t="str">
        <f t="shared" si="332"/>
        <v>No Prog ni Ejec</v>
      </c>
      <c r="CG166" s="640" t="str">
        <f t="shared" si="333"/>
        <v>No Prog ni Ejec</v>
      </c>
      <c r="CH166" s="640" t="str">
        <f t="shared" si="334"/>
        <v>No Prog ni Ejec</v>
      </c>
      <c r="CI166" s="640">
        <f t="shared" si="335"/>
        <v>1</v>
      </c>
      <c r="CJ166" s="640" t="str">
        <f t="shared" si="336"/>
        <v>No Prog ni Ejec</v>
      </c>
      <c r="CK166" s="640" t="str">
        <f t="shared" si="337"/>
        <v>No Prog ni Ejec</v>
      </c>
      <c r="CL166" s="698" t="str">
        <f t="shared" si="338"/>
        <v>No Prog ni Ejec</v>
      </c>
      <c r="CM166" s="128">
        <f t="shared" si="272"/>
        <v>0</v>
      </c>
      <c r="CR166" s="122">
        <v>1</v>
      </c>
      <c r="CS166" s="156"/>
      <c r="CT166" s="156"/>
      <c r="CU166" s="156"/>
      <c r="CV166" s="156"/>
      <c r="CW166" s="156"/>
      <c r="CX166" s="156"/>
      <c r="CY166" s="156"/>
      <c r="CZ166" s="156"/>
      <c r="DA166" s="156"/>
      <c r="DB166" s="156"/>
      <c r="DC166" s="156"/>
    </row>
    <row r="167" spans="1:107" s="78" customFormat="1" ht="101.25" hidden="1" customHeight="1" x14ac:dyDescent="0.2">
      <c r="A167" s="834">
        <v>11200</v>
      </c>
      <c r="B167" s="827" t="s">
        <v>1</v>
      </c>
      <c r="C167" s="827" t="s">
        <v>336</v>
      </c>
      <c r="D167" s="845" t="s">
        <v>1020</v>
      </c>
      <c r="E167" s="845"/>
      <c r="F167" s="845"/>
      <c r="G167" s="845"/>
      <c r="H167" s="845"/>
      <c r="I167" s="845"/>
      <c r="J167" s="845"/>
      <c r="K167" s="845"/>
      <c r="L167" s="845"/>
      <c r="M167" s="845"/>
      <c r="N167" s="845"/>
      <c r="O167" s="845"/>
      <c r="P167" s="845"/>
      <c r="Q167" s="827" t="s">
        <v>1128</v>
      </c>
      <c r="R167" s="827" t="s">
        <v>1140</v>
      </c>
      <c r="S167" s="1139"/>
      <c r="T167" s="1072"/>
      <c r="U167" s="827" t="s">
        <v>204</v>
      </c>
      <c r="V167" s="827" t="s">
        <v>204</v>
      </c>
      <c r="W167" s="835" t="s">
        <v>926</v>
      </c>
      <c r="X167" s="827" t="s">
        <v>1434</v>
      </c>
      <c r="Y167" s="838" t="s">
        <v>52</v>
      </c>
      <c r="Z167" s="66">
        <v>1</v>
      </c>
      <c r="AA167" s="835" t="s">
        <v>923</v>
      </c>
      <c r="AB167" s="827" t="s">
        <v>915</v>
      </c>
      <c r="AC167" s="831">
        <v>10000000</v>
      </c>
      <c r="AD167" s="832">
        <v>1</v>
      </c>
      <c r="AE167" s="827" t="s">
        <v>18</v>
      </c>
      <c r="AF167" s="827" t="s">
        <v>24</v>
      </c>
      <c r="AG167" s="827" t="s">
        <v>204</v>
      </c>
      <c r="AH167" s="827" t="s">
        <v>635</v>
      </c>
      <c r="AI167" s="827" t="s">
        <v>1052</v>
      </c>
      <c r="AJ167" s="827" t="s">
        <v>1269</v>
      </c>
      <c r="AK167" s="827" t="s">
        <v>1437</v>
      </c>
      <c r="AL167" s="827" t="s">
        <v>40</v>
      </c>
      <c r="AM167" s="66">
        <v>1</v>
      </c>
      <c r="AN167" s="827" t="str">
        <f>+AB167</f>
        <v>Realizar la audiencia pública de rendición de cuentas y comunicar los resultados a la ciudadanía y partes interesadas.</v>
      </c>
      <c r="AO167" s="833">
        <f t="shared" si="339"/>
        <v>10000000</v>
      </c>
      <c r="AP167" s="860" t="s">
        <v>46</v>
      </c>
      <c r="AQ167" s="66">
        <v>0</v>
      </c>
      <c r="AR167" s="827" t="str">
        <f t="shared" ref="AR167" si="360">+AN167</f>
        <v>Realizar la audiencia pública de rendición de cuentas y comunicar los resultados a la ciudadanía y partes interesadas.</v>
      </c>
      <c r="AS167" s="831">
        <v>0</v>
      </c>
      <c r="AT167" s="473">
        <v>0</v>
      </c>
      <c r="AU167" s="864">
        <v>0</v>
      </c>
      <c r="AV167" s="828" t="e">
        <f t="shared" ref="AV167" si="361">+(AT167/AQ167)</f>
        <v>#DIV/0!</v>
      </c>
      <c r="AW167" s="828" t="e">
        <f t="shared" ref="AW167" si="362">+(AU167/AS167)</f>
        <v>#DIV/0!</v>
      </c>
      <c r="AX167" s="828">
        <f t="shared" ref="AX167" si="363">+(AT167/AM167)</f>
        <v>0</v>
      </c>
      <c r="AY167" s="828">
        <f t="shared" ref="AY167" si="364">+(AU167/AO167)</f>
        <v>0</v>
      </c>
      <c r="AZ167" s="472" t="s">
        <v>1329</v>
      </c>
      <c r="BA167" s="66">
        <v>0</v>
      </c>
      <c r="BB167" s="827" t="str">
        <f t="shared" ref="BB167" si="365">+AN167</f>
        <v>Realizar la audiencia pública de rendición de cuentas y comunicar los resultados a la ciudadanía y partes interesadas.</v>
      </c>
      <c r="BC167" s="831">
        <v>0</v>
      </c>
      <c r="BD167" s="838">
        <v>0</v>
      </c>
      <c r="BE167" s="831">
        <v>0</v>
      </c>
      <c r="BF167" s="828" t="e">
        <f t="shared" ref="BF167" si="366">+(BD167/BA167)</f>
        <v>#DIV/0!</v>
      </c>
      <c r="BG167" s="828" t="e">
        <f t="shared" ref="BG167" si="367">+(BE167/BC167)</f>
        <v>#DIV/0!</v>
      </c>
      <c r="BH167" s="828">
        <f t="shared" ref="BH167" si="368">+(BD167+AT167)/AM167</f>
        <v>0</v>
      </c>
      <c r="BI167" s="828">
        <f t="shared" ref="BI167" si="369">+(BE167+AU167)/AO167</f>
        <v>0</v>
      </c>
      <c r="BJ167" s="830" t="s">
        <v>1657</v>
      </c>
      <c r="BK167" s="66">
        <v>1</v>
      </c>
      <c r="BL167" s="827" t="str">
        <f t="shared" ref="BL167" si="370">+AN167</f>
        <v>Realizar la audiencia pública de rendición de cuentas y comunicar los resultados a la ciudadanía y partes interesadas.</v>
      </c>
      <c r="BM167" s="831">
        <f>+AO167</f>
        <v>10000000</v>
      </c>
      <c r="BN167" s="982">
        <v>1</v>
      </c>
      <c r="BO167" s="981">
        <v>0</v>
      </c>
      <c r="BP167" s="828">
        <f t="shared" ref="BP167" si="371">+(BN167/BK167)</f>
        <v>1</v>
      </c>
      <c r="BQ167" s="828">
        <f t="shared" ref="BQ167" si="372">+(BO167/BM167)</f>
        <v>0</v>
      </c>
      <c r="BR167" s="828">
        <f t="shared" ref="BR167" si="373">+(BD167+AT167+BN167)/AM167</f>
        <v>1</v>
      </c>
      <c r="BS167" s="828">
        <f t="shared" ref="BS167" si="374">+(BE167+AU167+BO167)/AO167</f>
        <v>0</v>
      </c>
      <c r="BT167" s="984" t="s">
        <v>1867</v>
      </c>
      <c r="BU167" s="66">
        <v>0</v>
      </c>
      <c r="BV167" s="827" t="str">
        <f t="shared" ref="BV167" si="375">+AN167</f>
        <v>Realizar la audiencia pública de rendición de cuentas y comunicar los resultados a la ciudadanía y partes interesadas.</v>
      </c>
      <c r="BW167" s="831">
        <v>0</v>
      </c>
      <c r="BX167" s="835"/>
      <c r="BY167" s="835"/>
      <c r="BZ167" s="826" t="e">
        <f t="shared" ref="BZ167" si="376">+(BX167/BU167)</f>
        <v>#DIV/0!</v>
      </c>
      <c r="CA167" s="826" t="e">
        <f t="shared" ref="CA167" si="377">+(BY167/BW167)</f>
        <v>#DIV/0!</v>
      </c>
      <c r="CB167" s="826">
        <f t="shared" ref="CB167" si="378">+(BD167+AT167+BN167+BX167)/AM167</f>
        <v>1</v>
      </c>
      <c r="CC167" s="826">
        <f t="shared" ref="CC167" si="379">+(BE167+AU167+BO167+BY167)/AO167</f>
        <v>0</v>
      </c>
      <c r="CD167" s="826"/>
      <c r="CE167" s="640" t="str">
        <f t="shared" ref="CE167" si="380">IF(AND(AQ167=0,AT167=0),"No Prog ni Ejec",IF(AQ167=0,CONCATENATE("No Prog, Ejec=  ",AT167),AT167/AQ167))</f>
        <v>No Prog ni Ejec</v>
      </c>
      <c r="CF167" s="640" t="str">
        <f t="shared" ref="CF167" si="381">IF(AND(AS167=0,AU167=0),"No Prog ni Ejec",IF(AS167=0,CONCATENATE("No Prog, Ejec=  ",AU167),AU167/AS167))</f>
        <v>No Prog ni Ejec</v>
      </c>
      <c r="CG167" s="640" t="str">
        <f t="shared" ref="CG167" si="382">IF(AND(BA167=0,BD167=0),"No Prog ni Ejec",IF(BA167=0,CONCATENATE("No Prog, Ejec=  ",BD167),BD167/BA167))</f>
        <v>No Prog ni Ejec</v>
      </c>
      <c r="CH167" s="640" t="str">
        <f t="shared" ref="CH167" si="383">IF(AND(BC167=0,BE167=0),"No Prog ni Ejec",IF(BC167=0,CONCATENATE("No Prog, Ejec=  ",BE167),BE167/BC167))</f>
        <v>No Prog ni Ejec</v>
      </c>
      <c r="CI167" s="640">
        <f t="shared" ref="CI167" si="384">IF(AND(BK167=0,BN167=0),"No Prog ni Ejec",IF(BK167=0,CONCATENATE("No Prog, Ejec=  ",BN167),BN167/BK167))</f>
        <v>1</v>
      </c>
      <c r="CJ167" s="640">
        <f t="shared" ref="CJ167" si="385">IF(AND(BM167=0,BO167=0),"No Prog ni Ejec",IF(BM167=0,CONCATENATE("No Prog, Ejec=  ",BO167),BO167/BM167))</f>
        <v>0</v>
      </c>
      <c r="CK167" s="640" t="str">
        <f t="shared" ref="CK167" si="386">IF(AND(BU167=0,BX167=0),"No Prog ni Ejec",IF(BU167=0,CONCATENATE("No Prog, Ejec=  ",BX167),BX167/BU167))</f>
        <v>No Prog ni Ejec</v>
      </c>
      <c r="CL167" s="698" t="str">
        <f t="shared" ref="CL167" si="387">IF(AND(BW167=0,BY167=0),"No Prog ni Ejec",IF(BW167=0,CONCATENATE("No Prog, Ejec=  ",BY167),BY167/BW167))</f>
        <v>No Prog ni Ejec</v>
      </c>
      <c r="CM167" s="128">
        <f t="shared" ref="CM167" si="388">+AC167-AS167-BC167-BM167-BW167</f>
        <v>0</v>
      </c>
      <c r="CR167" s="122"/>
      <c r="CS167" s="156"/>
      <c r="CT167" s="156"/>
      <c r="CU167" s="156"/>
      <c r="CV167" s="156"/>
      <c r="CW167" s="156"/>
      <c r="CX167" s="156"/>
      <c r="CY167" s="156"/>
      <c r="CZ167" s="156"/>
      <c r="DA167" s="156"/>
      <c r="DB167" s="156"/>
      <c r="DC167" s="156"/>
    </row>
    <row r="168" spans="1:107" s="78" customFormat="1" ht="99" customHeight="1" x14ac:dyDescent="0.2">
      <c r="A168" s="834">
        <v>11200</v>
      </c>
      <c r="B168" s="827" t="s">
        <v>1</v>
      </c>
      <c r="C168" s="827" t="s">
        <v>336</v>
      </c>
      <c r="D168" s="845" t="s">
        <v>1020</v>
      </c>
      <c r="E168" s="845"/>
      <c r="F168" s="845"/>
      <c r="G168" s="845"/>
      <c r="H168" s="845"/>
      <c r="I168" s="845"/>
      <c r="J168" s="845"/>
      <c r="K168" s="845"/>
      <c r="L168" s="845"/>
      <c r="M168" s="845"/>
      <c r="N168" s="845"/>
      <c r="O168" s="845"/>
      <c r="P168" s="845"/>
      <c r="Q168" s="827" t="s">
        <v>1128</v>
      </c>
      <c r="R168" s="827" t="s">
        <v>1140</v>
      </c>
      <c r="S168" s="1139" t="s">
        <v>111</v>
      </c>
      <c r="T168" s="1072" t="s">
        <v>94</v>
      </c>
      <c r="U168" s="827" t="s">
        <v>204</v>
      </c>
      <c r="V168" s="827" t="s">
        <v>204</v>
      </c>
      <c r="W168" s="835" t="s">
        <v>927</v>
      </c>
      <c r="X168" s="827" t="s">
        <v>1438</v>
      </c>
      <c r="Y168" s="838" t="s">
        <v>52</v>
      </c>
      <c r="Z168" s="66">
        <v>1</v>
      </c>
      <c r="AA168" s="835" t="s">
        <v>924</v>
      </c>
      <c r="AB168" s="827" t="s">
        <v>916</v>
      </c>
      <c r="AC168" s="831">
        <v>0</v>
      </c>
      <c r="AD168" s="832">
        <v>1</v>
      </c>
      <c r="AE168" s="827" t="s">
        <v>18</v>
      </c>
      <c r="AF168" s="827" t="s">
        <v>24</v>
      </c>
      <c r="AG168" s="827" t="s">
        <v>204</v>
      </c>
      <c r="AH168" s="827" t="s">
        <v>635</v>
      </c>
      <c r="AI168" s="827" t="s">
        <v>1052</v>
      </c>
      <c r="AJ168" s="827" t="s">
        <v>1279</v>
      </c>
      <c r="AK168" s="827" t="s">
        <v>1439</v>
      </c>
      <c r="AL168" s="827" t="s">
        <v>40</v>
      </c>
      <c r="AM168" s="66">
        <v>1</v>
      </c>
      <c r="AN168" s="827" t="str">
        <f>+AB168</f>
        <v>Realizar la rendición de cuentas interna</v>
      </c>
      <c r="AO168" s="833">
        <f t="shared" si="339"/>
        <v>0</v>
      </c>
      <c r="AP168" s="860" t="s">
        <v>48</v>
      </c>
      <c r="AQ168" s="66">
        <v>0</v>
      </c>
      <c r="AR168" s="827" t="str">
        <f t="shared" si="340"/>
        <v>Realizar la rendición de cuentas interna</v>
      </c>
      <c r="AS168" s="831">
        <f>+AO168/4</f>
        <v>0</v>
      </c>
      <c r="AT168" s="473">
        <v>0</v>
      </c>
      <c r="AU168" s="831">
        <v>0</v>
      </c>
      <c r="AV168" s="828" t="e">
        <f t="shared" si="341"/>
        <v>#DIV/0!</v>
      </c>
      <c r="AW168" s="828" t="e">
        <f t="shared" si="342"/>
        <v>#DIV/0!</v>
      </c>
      <c r="AX168" s="828">
        <f t="shared" si="343"/>
        <v>0</v>
      </c>
      <c r="AY168" s="828" t="e">
        <f t="shared" si="344"/>
        <v>#DIV/0!</v>
      </c>
      <c r="AZ168" s="497" t="s">
        <v>1345</v>
      </c>
      <c r="BA168" s="66">
        <v>0</v>
      </c>
      <c r="BB168" s="827" t="str">
        <f t="shared" si="345"/>
        <v>Realizar la rendición de cuentas interna</v>
      </c>
      <c r="BC168" s="831">
        <f>+AO168/4</f>
        <v>0</v>
      </c>
      <c r="BD168" s="838">
        <v>0</v>
      </c>
      <c r="BE168" s="831">
        <v>0</v>
      </c>
      <c r="BF168" s="828" t="e">
        <f t="shared" si="346"/>
        <v>#DIV/0!</v>
      </c>
      <c r="BG168" s="828" t="e">
        <f t="shared" si="347"/>
        <v>#DIV/0!</v>
      </c>
      <c r="BH168" s="828">
        <f t="shared" si="348"/>
        <v>0</v>
      </c>
      <c r="BI168" s="828" t="e">
        <f t="shared" si="349"/>
        <v>#DIV/0!</v>
      </c>
      <c r="BJ168" s="830" t="s">
        <v>1657</v>
      </c>
      <c r="BK168" s="66">
        <v>1</v>
      </c>
      <c r="BL168" s="827" t="str">
        <f t="shared" si="350"/>
        <v>Realizar la rendición de cuentas interna</v>
      </c>
      <c r="BM168" s="831">
        <f>+AO168/4</f>
        <v>0</v>
      </c>
      <c r="BN168" s="982">
        <v>0</v>
      </c>
      <c r="BO168" s="981">
        <v>0</v>
      </c>
      <c r="BP168" s="828">
        <f t="shared" si="351"/>
        <v>0</v>
      </c>
      <c r="BQ168" s="828" t="e">
        <f t="shared" si="352"/>
        <v>#DIV/0!</v>
      </c>
      <c r="BR168" s="828">
        <f t="shared" si="353"/>
        <v>0</v>
      </c>
      <c r="BS168" s="828" t="e">
        <f t="shared" si="354"/>
        <v>#DIV/0!</v>
      </c>
      <c r="BT168" s="984" t="s">
        <v>1868</v>
      </c>
      <c r="BU168" s="66">
        <v>0</v>
      </c>
      <c r="BV168" s="827" t="str">
        <f t="shared" si="355"/>
        <v>Realizar la rendición de cuentas interna</v>
      </c>
      <c r="BW168" s="831">
        <f>+AO168/4</f>
        <v>0</v>
      </c>
      <c r="BX168" s="835"/>
      <c r="BY168" s="835"/>
      <c r="BZ168" s="826" t="e">
        <f t="shared" si="356"/>
        <v>#DIV/0!</v>
      </c>
      <c r="CA168" s="826" t="e">
        <f t="shared" si="357"/>
        <v>#DIV/0!</v>
      </c>
      <c r="CB168" s="826">
        <f t="shared" si="358"/>
        <v>0</v>
      </c>
      <c r="CC168" s="826" t="e">
        <f t="shared" si="359"/>
        <v>#DIV/0!</v>
      </c>
      <c r="CD168" s="826"/>
      <c r="CE168" s="640" t="str">
        <f t="shared" si="331"/>
        <v>No Prog ni Ejec</v>
      </c>
      <c r="CF168" s="640" t="str">
        <f t="shared" si="332"/>
        <v>No Prog ni Ejec</v>
      </c>
      <c r="CG168" s="640" t="str">
        <f t="shared" si="333"/>
        <v>No Prog ni Ejec</v>
      </c>
      <c r="CH168" s="640" t="str">
        <f t="shared" si="334"/>
        <v>No Prog ni Ejec</v>
      </c>
      <c r="CI168" s="640">
        <f t="shared" si="335"/>
        <v>0</v>
      </c>
      <c r="CJ168" s="640" t="str">
        <f t="shared" si="336"/>
        <v>No Prog ni Ejec</v>
      </c>
      <c r="CK168" s="640" t="str">
        <f t="shared" si="337"/>
        <v>No Prog ni Ejec</v>
      </c>
      <c r="CL168" s="698" t="str">
        <f t="shared" si="338"/>
        <v>No Prog ni Ejec</v>
      </c>
      <c r="CM168" s="128">
        <f t="shared" si="272"/>
        <v>0</v>
      </c>
      <c r="CR168" s="122">
        <v>1</v>
      </c>
      <c r="CS168" s="156"/>
      <c r="CT168" s="156"/>
      <c r="CU168" s="156"/>
      <c r="CV168" s="156"/>
      <c r="CW168" s="156"/>
      <c r="CX168" s="156"/>
      <c r="CY168" s="156"/>
      <c r="CZ168" s="156"/>
      <c r="DA168" s="156"/>
      <c r="DB168" s="156"/>
      <c r="DC168" s="156"/>
    </row>
    <row r="169" spans="1:107" s="78" customFormat="1" ht="99" hidden="1" customHeight="1" x14ac:dyDescent="0.2">
      <c r="A169" s="834">
        <v>11200</v>
      </c>
      <c r="B169" s="827" t="s">
        <v>1</v>
      </c>
      <c r="C169" s="827" t="s">
        <v>336</v>
      </c>
      <c r="D169" s="845" t="s">
        <v>1020</v>
      </c>
      <c r="E169" s="845"/>
      <c r="F169" s="845"/>
      <c r="G169" s="845"/>
      <c r="H169" s="845"/>
      <c r="I169" s="845"/>
      <c r="J169" s="845"/>
      <c r="K169" s="845"/>
      <c r="L169" s="845"/>
      <c r="M169" s="845"/>
      <c r="N169" s="845"/>
      <c r="O169" s="845"/>
      <c r="P169" s="845"/>
      <c r="Q169" s="827" t="s">
        <v>1128</v>
      </c>
      <c r="R169" s="827" t="s">
        <v>1140</v>
      </c>
      <c r="S169" s="1139"/>
      <c r="T169" s="1072"/>
      <c r="U169" s="827" t="s">
        <v>204</v>
      </c>
      <c r="V169" s="827" t="s">
        <v>204</v>
      </c>
      <c r="W169" s="835" t="s">
        <v>927</v>
      </c>
      <c r="X169" s="827" t="s">
        <v>1438</v>
      </c>
      <c r="Y169" s="838" t="s">
        <v>52</v>
      </c>
      <c r="Z169" s="66">
        <v>1</v>
      </c>
      <c r="AA169" s="835" t="s">
        <v>924</v>
      </c>
      <c r="AB169" s="827" t="s">
        <v>916</v>
      </c>
      <c r="AC169" s="831">
        <v>0</v>
      </c>
      <c r="AD169" s="832">
        <v>1</v>
      </c>
      <c r="AE169" s="827" t="s">
        <v>18</v>
      </c>
      <c r="AF169" s="827" t="s">
        <v>24</v>
      </c>
      <c r="AG169" s="827" t="s">
        <v>204</v>
      </c>
      <c r="AH169" s="827" t="s">
        <v>635</v>
      </c>
      <c r="AI169" s="827" t="s">
        <v>1052</v>
      </c>
      <c r="AJ169" s="827" t="s">
        <v>1279</v>
      </c>
      <c r="AK169" s="827" t="s">
        <v>1445</v>
      </c>
      <c r="AL169" s="827" t="s">
        <v>40</v>
      </c>
      <c r="AM169" s="66">
        <v>1</v>
      </c>
      <c r="AN169" s="827" t="str">
        <f>+AB169</f>
        <v>Realizar la rendición de cuentas interna</v>
      </c>
      <c r="AO169" s="833">
        <f t="shared" ref="AO169" si="389">+AC169</f>
        <v>0</v>
      </c>
      <c r="AP169" s="860" t="s">
        <v>48</v>
      </c>
      <c r="AQ169" s="66">
        <v>0</v>
      </c>
      <c r="AR169" s="827" t="str">
        <f t="shared" ref="AR169" si="390">+AN169</f>
        <v>Realizar la rendición de cuentas interna</v>
      </c>
      <c r="AS169" s="831">
        <f>+AO169/4</f>
        <v>0</v>
      </c>
      <c r="AT169" s="473">
        <v>0</v>
      </c>
      <c r="AU169" s="831">
        <v>0</v>
      </c>
      <c r="AV169" s="828" t="e">
        <f t="shared" ref="AV169" si="391">+(AT169/AQ169)</f>
        <v>#DIV/0!</v>
      </c>
      <c r="AW169" s="828" t="e">
        <f t="shared" ref="AW169" si="392">+(AU169/AS169)</f>
        <v>#DIV/0!</v>
      </c>
      <c r="AX169" s="828">
        <f t="shared" ref="AX169" si="393">+(AT169/AM169)</f>
        <v>0</v>
      </c>
      <c r="AY169" s="828" t="e">
        <f t="shared" ref="AY169" si="394">+(AU169/AO169)</f>
        <v>#DIV/0!</v>
      </c>
      <c r="AZ169" s="497" t="s">
        <v>1345</v>
      </c>
      <c r="BA169" s="66">
        <v>0</v>
      </c>
      <c r="BB169" s="827" t="str">
        <f t="shared" ref="BB169" si="395">+AN169</f>
        <v>Realizar la rendición de cuentas interna</v>
      </c>
      <c r="BC169" s="831">
        <f>+AO169/4</f>
        <v>0</v>
      </c>
      <c r="BD169" s="838">
        <v>0</v>
      </c>
      <c r="BE169" s="831">
        <v>0</v>
      </c>
      <c r="BF169" s="828" t="e">
        <f t="shared" ref="BF169" si="396">+(BD169/BA169)</f>
        <v>#DIV/0!</v>
      </c>
      <c r="BG169" s="828" t="e">
        <f t="shared" ref="BG169" si="397">+(BE169/BC169)</f>
        <v>#DIV/0!</v>
      </c>
      <c r="BH169" s="828">
        <f t="shared" ref="BH169" si="398">+(BD169+AT169)/AM169</f>
        <v>0</v>
      </c>
      <c r="BI169" s="828" t="e">
        <f t="shared" ref="BI169" si="399">+(BE169+AU169)/AO169</f>
        <v>#DIV/0!</v>
      </c>
      <c r="BJ169" s="830"/>
      <c r="BK169" s="66">
        <v>1</v>
      </c>
      <c r="BL169" s="827" t="str">
        <f t="shared" ref="BL169" si="400">+AN169</f>
        <v>Realizar la rendición de cuentas interna</v>
      </c>
      <c r="BM169" s="831">
        <f>+AO169/4</f>
        <v>0</v>
      </c>
      <c r="BN169" s="982">
        <v>0</v>
      </c>
      <c r="BO169" s="981">
        <v>0</v>
      </c>
      <c r="BP169" s="828">
        <f t="shared" ref="BP169" si="401">+(BN169/BK169)</f>
        <v>0</v>
      </c>
      <c r="BQ169" s="828" t="e">
        <f t="shared" ref="BQ169" si="402">+(BO169/BM169)</f>
        <v>#DIV/0!</v>
      </c>
      <c r="BR169" s="828">
        <f t="shared" ref="BR169" si="403">+(BD169+AT169+BN169)/AM169</f>
        <v>0</v>
      </c>
      <c r="BS169" s="828" t="e">
        <f t="shared" ref="BS169" si="404">+(BE169+AU169+BO169)/AO169</f>
        <v>#DIV/0!</v>
      </c>
      <c r="BT169" s="984" t="s">
        <v>1868</v>
      </c>
      <c r="BU169" s="66">
        <v>0</v>
      </c>
      <c r="BV169" s="827" t="str">
        <f t="shared" ref="BV169" si="405">+AN169</f>
        <v>Realizar la rendición de cuentas interna</v>
      </c>
      <c r="BW169" s="831">
        <f>+AO169/4</f>
        <v>0</v>
      </c>
      <c r="BX169" s="835"/>
      <c r="BY169" s="835"/>
      <c r="BZ169" s="826" t="e">
        <f t="shared" ref="BZ169" si="406">+(BX169/BU169)</f>
        <v>#DIV/0!</v>
      </c>
      <c r="CA169" s="826" t="e">
        <f t="shared" ref="CA169" si="407">+(BY169/BW169)</f>
        <v>#DIV/0!</v>
      </c>
      <c r="CB169" s="826">
        <f t="shared" ref="CB169" si="408">+(BD169+AT169+BN169+BX169)/AM169</f>
        <v>0</v>
      </c>
      <c r="CC169" s="826" t="e">
        <f t="shared" ref="CC169" si="409">+(BE169+AU169+BO169+BY169)/AO169</f>
        <v>#DIV/0!</v>
      </c>
      <c r="CD169" s="826"/>
      <c r="CE169" s="640" t="str">
        <f t="shared" ref="CE169" si="410">IF(AND(AQ169=0,AT169=0),"No Prog ni Ejec",IF(AQ169=0,CONCATENATE("No Prog, Ejec=  ",AT169),AT169/AQ169))</f>
        <v>No Prog ni Ejec</v>
      </c>
      <c r="CF169" s="640" t="str">
        <f t="shared" ref="CF169" si="411">IF(AND(AS169=0,AU169=0),"No Prog ni Ejec",IF(AS169=0,CONCATENATE("No Prog, Ejec=  ",AU169),AU169/AS169))</f>
        <v>No Prog ni Ejec</v>
      </c>
      <c r="CG169" s="640" t="str">
        <f t="shared" ref="CG169" si="412">IF(AND(BA169=0,BD169=0),"No Prog ni Ejec",IF(BA169=0,CONCATENATE("No Prog, Ejec=  ",BD169),BD169/BA169))</f>
        <v>No Prog ni Ejec</v>
      </c>
      <c r="CH169" s="640" t="str">
        <f t="shared" ref="CH169" si="413">IF(AND(BC169=0,BE169=0),"No Prog ni Ejec",IF(BC169=0,CONCATENATE("No Prog, Ejec=  ",BE169),BE169/BC169))</f>
        <v>No Prog ni Ejec</v>
      </c>
      <c r="CI169" s="640">
        <f t="shared" ref="CI169" si="414">IF(AND(BK169=0,BN169=0),"No Prog ni Ejec",IF(BK169=0,CONCATENATE("No Prog, Ejec=  ",BN169),BN169/BK169))</f>
        <v>0</v>
      </c>
      <c r="CJ169" s="640" t="str">
        <f t="shared" ref="CJ169" si="415">IF(AND(BM169=0,BO169=0),"No Prog ni Ejec",IF(BM169=0,CONCATENATE("No Prog, Ejec=  ",BO169),BO169/BM169))</f>
        <v>No Prog ni Ejec</v>
      </c>
      <c r="CK169" s="640" t="str">
        <f t="shared" ref="CK169" si="416">IF(AND(BU169=0,BX169=0),"No Prog ni Ejec",IF(BU169=0,CONCATENATE("No Prog, Ejec=  ",BX169),BX169/BU169))</f>
        <v>No Prog ni Ejec</v>
      </c>
      <c r="CL169" s="698" t="str">
        <f t="shared" ref="CL169" si="417">IF(AND(BW169=0,BY169=0),"No Prog ni Ejec",IF(BW169=0,CONCATENATE("No Prog, Ejec=  ",BY169),BY169/BW169))</f>
        <v>No Prog ni Ejec</v>
      </c>
      <c r="CM169" s="128"/>
      <c r="CR169" s="122"/>
      <c r="CS169" s="156"/>
      <c r="CT169" s="156"/>
      <c r="CU169" s="156"/>
      <c r="CV169" s="156"/>
      <c r="CW169" s="156"/>
      <c r="CX169" s="156"/>
      <c r="CY169" s="156"/>
      <c r="CZ169" s="156"/>
      <c r="DA169" s="156"/>
      <c r="DB169" s="156"/>
      <c r="DC169" s="156"/>
    </row>
    <row r="170" spans="1:107" s="78" customFormat="1" ht="105" customHeight="1" x14ac:dyDescent="0.2">
      <c r="A170" s="834">
        <v>11200</v>
      </c>
      <c r="B170" s="827" t="s">
        <v>1</v>
      </c>
      <c r="C170" s="827" t="s">
        <v>662</v>
      </c>
      <c r="D170" s="845" t="s">
        <v>1020</v>
      </c>
      <c r="E170" s="845" t="s">
        <v>1020</v>
      </c>
      <c r="F170" s="845"/>
      <c r="G170" s="845"/>
      <c r="H170" s="845"/>
      <c r="I170" s="845"/>
      <c r="J170" s="845"/>
      <c r="K170" s="845"/>
      <c r="L170" s="845"/>
      <c r="M170" s="845"/>
      <c r="N170" s="845"/>
      <c r="O170" s="845"/>
      <c r="P170" s="845"/>
      <c r="Q170" s="827" t="s">
        <v>1128</v>
      </c>
      <c r="R170" s="827" t="s">
        <v>1140</v>
      </c>
      <c r="S170" s="835" t="s">
        <v>111</v>
      </c>
      <c r="T170" s="827" t="s">
        <v>94</v>
      </c>
      <c r="U170" s="827" t="s">
        <v>204</v>
      </c>
      <c r="V170" s="827" t="s">
        <v>204</v>
      </c>
      <c r="W170" s="835" t="s">
        <v>928</v>
      </c>
      <c r="X170" s="827" t="s">
        <v>918</v>
      </c>
      <c r="Y170" s="838" t="s">
        <v>52</v>
      </c>
      <c r="Z170" s="66">
        <v>4</v>
      </c>
      <c r="AA170" s="835" t="s">
        <v>925</v>
      </c>
      <c r="AB170" s="827" t="s">
        <v>917</v>
      </c>
      <c r="AC170" s="831">
        <v>0</v>
      </c>
      <c r="AD170" s="832">
        <v>1</v>
      </c>
      <c r="AE170" s="827" t="s">
        <v>18</v>
      </c>
      <c r="AF170" s="827" t="s">
        <v>24</v>
      </c>
      <c r="AG170" s="827" t="s">
        <v>204</v>
      </c>
      <c r="AH170" s="827" t="s">
        <v>635</v>
      </c>
      <c r="AI170" s="827" t="s">
        <v>1052</v>
      </c>
      <c r="AJ170" s="827" t="s">
        <v>1269</v>
      </c>
      <c r="AK170" s="827" t="s">
        <v>919</v>
      </c>
      <c r="AL170" s="827" t="s">
        <v>40</v>
      </c>
      <c r="AM170" s="66">
        <v>4</v>
      </c>
      <c r="AN170" s="827" t="str">
        <f>+AB170</f>
        <v>Realizar actividades de relacionamiento y rendición de cuentas con actores del sector salud y partes interesadas</v>
      </c>
      <c r="AO170" s="833">
        <f t="shared" si="339"/>
        <v>0</v>
      </c>
      <c r="AP170" s="860" t="s">
        <v>48</v>
      </c>
      <c r="AQ170" s="66">
        <v>1</v>
      </c>
      <c r="AR170" s="827" t="str">
        <f t="shared" si="340"/>
        <v>Realizar actividades de relacionamiento y rendición de cuentas con actores del sector salud y partes interesadas</v>
      </c>
      <c r="AS170" s="831">
        <f>+AO170/4</f>
        <v>0</v>
      </c>
      <c r="AT170" s="473">
        <v>1</v>
      </c>
      <c r="AU170" s="831">
        <v>0</v>
      </c>
      <c r="AV170" s="828">
        <f t="shared" si="341"/>
        <v>1</v>
      </c>
      <c r="AW170" s="828" t="e">
        <f t="shared" si="342"/>
        <v>#DIV/0!</v>
      </c>
      <c r="AX170" s="828">
        <f t="shared" si="343"/>
        <v>0.25</v>
      </c>
      <c r="AY170" s="828" t="e">
        <f t="shared" si="344"/>
        <v>#DIV/0!</v>
      </c>
      <c r="AZ170" s="497" t="s">
        <v>1348</v>
      </c>
      <c r="BA170" s="66">
        <v>1</v>
      </c>
      <c r="BB170" s="827" t="str">
        <f t="shared" si="345"/>
        <v>Realizar actividades de relacionamiento y rendición de cuentas con actores del sector salud y partes interesadas</v>
      </c>
      <c r="BC170" s="831">
        <f>+AO170/4</f>
        <v>0</v>
      </c>
      <c r="BD170" s="838">
        <v>1</v>
      </c>
      <c r="BE170" s="831">
        <v>0</v>
      </c>
      <c r="BF170" s="828">
        <f t="shared" si="346"/>
        <v>1</v>
      </c>
      <c r="BG170" s="828" t="e">
        <f t="shared" si="347"/>
        <v>#DIV/0!</v>
      </c>
      <c r="BH170" s="828">
        <f t="shared" si="348"/>
        <v>0.5</v>
      </c>
      <c r="BI170" s="828" t="e">
        <f t="shared" si="349"/>
        <v>#DIV/0!</v>
      </c>
      <c r="BJ170" s="830" t="s">
        <v>1658</v>
      </c>
      <c r="BK170" s="66">
        <v>1</v>
      </c>
      <c r="BL170" s="827" t="str">
        <f t="shared" si="350"/>
        <v>Realizar actividades de relacionamiento y rendición de cuentas con actores del sector salud y partes interesadas</v>
      </c>
      <c r="BM170" s="831">
        <f>+AO170/4</f>
        <v>0</v>
      </c>
      <c r="BN170" s="982">
        <v>1</v>
      </c>
      <c r="BO170" s="981">
        <v>0</v>
      </c>
      <c r="BP170" s="828">
        <f t="shared" si="351"/>
        <v>1</v>
      </c>
      <c r="BQ170" s="828" t="e">
        <f t="shared" si="352"/>
        <v>#DIV/0!</v>
      </c>
      <c r="BR170" s="828">
        <f t="shared" si="353"/>
        <v>0.75</v>
      </c>
      <c r="BS170" s="828" t="e">
        <f t="shared" si="354"/>
        <v>#DIV/0!</v>
      </c>
      <c r="BT170" s="984" t="s">
        <v>1869</v>
      </c>
      <c r="BU170" s="66">
        <v>1</v>
      </c>
      <c r="BV170" s="827" t="str">
        <f t="shared" si="355"/>
        <v>Realizar actividades de relacionamiento y rendición de cuentas con actores del sector salud y partes interesadas</v>
      </c>
      <c r="BW170" s="831">
        <f>+AO170/4</f>
        <v>0</v>
      </c>
      <c r="BX170" s="835"/>
      <c r="BY170" s="835"/>
      <c r="BZ170" s="826">
        <f t="shared" si="356"/>
        <v>0</v>
      </c>
      <c r="CA170" s="826" t="e">
        <f t="shared" si="357"/>
        <v>#DIV/0!</v>
      </c>
      <c r="CB170" s="826">
        <f t="shared" si="358"/>
        <v>0.75</v>
      </c>
      <c r="CC170" s="826" t="e">
        <f t="shared" si="359"/>
        <v>#DIV/0!</v>
      </c>
      <c r="CD170" s="826"/>
      <c r="CE170" s="640">
        <f t="shared" si="331"/>
        <v>1</v>
      </c>
      <c r="CF170" s="640" t="str">
        <f t="shared" si="332"/>
        <v>No Prog ni Ejec</v>
      </c>
      <c r="CG170" s="640">
        <f t="shared" si="333"/>
        <v>1</v>
      </c>
      <c r="CH170" s="640" t="str">
        <f t="shared" si="334"/>
        <v>No Prog ni Ejec</v>
      </c>
      <c r="CI170" s="640">
        <f t="shared" si="335"/>
        <v>1</v>
      </c>
      <c r="CJ170" s="640" t="str">
        <f t="shared" si="336"/>
        <v>No Prog ni Ejec</v>
      </c>
      <c r="CK170" s="640">
        <f t="shared" si="337"/>
        <v>0</v>
      </c>
      <c r="CL170" s="698" t="str">
        <f t="shared" si="338"/>
        <v>No Prog ni Ejec</v>
      </c>
      <c r="CM170" s="128">
        <f t="shared" si="272"/>
        <v>0</v>
      </c>
      <c r="CR170" s="122">
        <v>1</v>
      </c>
      <c r="CX170" s="156">
        <v>7</v>
      </c>
    </row>
    <row r="171" spans="1:107" s="78" customFormat="1" ht="102.75" customHeight="1" x14ac:dyDescent="0.2">
      <c r="A171" s="697">
        <v>11700</v>
      </c>
      <c r="B171" s="636" t="s">
        <v>14</v>
      </c>
      <c r="C171" s="636" t="s">
        <v>1030</v>
      </c>
      <c r="D171" s="124"/>
      <c r="E171" s="124"/>
      <c r="F171" s="124"/>
      <c r="G171" s="124"/>
      <c r="H171" s="124"/>
      <c r="I171" s="124"/>
      <c r="J171" s="124"/>
      <c r="K171" s="124" t="s">
        <v>1020</v>
      </c>
      <c r="L171" s="124" t="s">
        <v>1020</v>
      </c>
      <c r="M171" s="124"/>
      <c r="N171" s="124"/>
      <c r="O171" s="124"/>
      <c r="P171" s="124"/>
      <c r="Q171" s="827" t="s">
        <v>204</v>
      </c>
      <c r="R171" s="636" t="s">
        <v>204</v>
      </c>
      <c r="S171" s="638" t="s">
        <v>238</v>
      </c>
      <c r="T171" s="636" t="s">
        <v>94</v>
      </c>
      <c r="U171" s="636" t="s">
        <v>204</v>
      </c>
      <c r="V171" s="636" t="s">
        <v>204</v>
      </c>
      <c r="W171" s="638" t="s">
        <v>875</v>
      </c>
      <c r="X171" s="654" t="s">
        <v>1027</v>
      </c>
      <c r="Y171" s="650" t="s">
        <v>391</v>
      </c>
      <c r="Z171" s="66">
        <v>11</v>
      </c>
      <c r="AA171" s="835" t="s">
        <v>866</v>
      </c>
      <c r="AB171" s="827" t="s">
        <v>1021</v>
      </c>
      <c r="AC171" s="831">
        <v>0</v>
      </c>
      <c r="AD171" s="832">
        <v>1</v>
      </c>
      <c r="AE171" s="827" t="s">
        <v>16</v>
      </c>
      <c r="AF171" s="827" t="s">
        <v>21</v>
      </c>
      <c r="AG171" s="827" t="s">
        <v>204</v>
      </c>
      <c r="AH171" s="827" t="s">
        <v>635</v>
      </c>
      <c r="AI171" s="827" t="s">
        <v>77</v>
      </c>
      <c r="AJ171" s="827" t="s">
        <v>204</v>
      </c>
      <c r="AK171" s="827" t="s">
        <v>1024</v>
      </c>
      <c r="AL171" s="636" t="s">
        <v>43</v>
      </c>
      <c r="AM171" s="66">
        <v>11</v>
      </c>
      <c r="AN171" s="827" t="str">
        <f t="shared" ref="AN171:AN178" si="418">+AB171</f>
        <v>Enviar solicitud escrita mensualmente a cada Director, Subdirector y Jefe de Oficina, desde Talento Humano, con el fin de que indiquen los cargos vacantes a proveer</v>
      </c>
      <c r="AO171" s="833">
        <f t="shared" si="339"/>
        <v>0</v>
      </c>
      <c r="AP171" s="860" t="s">
        <v>48</v>
      </c>
      <c r="AQ171" s="67">
        <v>2</v>
      </c>
      <c r="AR171" s="827" t="str">
        <f t="shared" si="340"/>
        <v>Enviar solicitud escrita mensualmente a cada Director, Subdirector y Jefe de Oficina, desde Talento Humano, con el fin de que indiquen los cargos vacantes a proveer</v>
      </c>
      <c r="AS171" s="831">
        <f t="shared" ref="AS171:AS178" si="419">+AO171/4</f>
        <v>0</v>
      </c>
      <c r="AT171" s="473">
        <v>0</v>
      </c>
      <c r="AU171" s="864">
        <v>0</v>
      </c>
      <c r="AV171" s="828">
        <f t="shared" si="341"/>
        <v>0</v>
      </c>
      <c r="AW171" s="828" t="e">
        <f t="shared" si="342"/>
        <v>#DIV/0!</v>
      </c>
      <c r="AX171" s="828">
        <f t="shared" si="343"/>
        <v>0</v>
      </c>
      <c r="AY171" s="828" t="e">
        <f t="shared" si="344"/>
        <v>#DIV/0!</v>
      </c>
      <c r="AZ171" s="472" t="s">
        <v>1344</v>
      </c>
      <c r="BA171" s="67">
        <v>3</v>
      </c>
      <c r="BB171" s="827" t="str">
        <f t="shared" si="345"/>
        <v>Enviar solicitud escrita mensualmente a cada Director, Subdirector y Jefe de Oficina, desde Talento Humano, con el fin de que indiquen los cargos vacantes a proveer</v>
      </c>
      <c r="BC171" s="831">
        <f t="shared" ref="BC171:BC178" si="420">+AO171/4</f>
        <v>0</v>
      </c>
      <c r="BD171" s="838">
        <v>1</v>
      </c>
      <c r="BE171" s="831">
        <v>0</v>
      </c>
      <c r="BF171" s="828">
        <f t="shared" si="346"/>
        <v>0.33333333333333331</v>
      </c>
      <c r="BG171" s="828" t="e">
        <f t="shared" si="347"/>
        <v>#DIV/0!</v>
      </c>
      <c r="BH171" s="828">
        <f t="shared" si="348"/>
        <v>9.0909090909090912E-2</v>
      </c>
      <c r="BI171" s="828" t="e">
        <f t="shared" si="349"/>
        <v>#DIV/0!</v>
      </c>
      <c r="BJ171" s="829" t="s">
        <v>1653</v>
      </c>
      <c r="BK171" s="67">
        <v>3</v>
      </c>
      <c r="BL171" s="827" t="str">
        <f>+AN171</f>
        <v>Enviar solicitud escrita mensualmente a cada Director, Subdirector y Jefe de Oficina, desde Talento Humano, con el fin de que indiquen los cargos vacantes a proveer</v>
      </c>
      <c r="BM171" s="831">
        <f t="shared" ref="BM171:BM178" si="421">+AO171/4</f>
        <v>0</v>
      </c>
      <c r="BN171" s="998">
        <v>1</v>
      </c>
      <c r="BO171" s="995">
        <v>0</v>
      </c>
      <c r="BP171" s="828">
        <f t="shared" si="351"/>
        <v>0.33333333333333331</v>
      </c>
      <c r="BQ171" s="828" t="e">
        <f t="shared" si="352"/>
        <v>#DIV/0!</v>
      </c>
      <c r="BR171" s="828">
        <f t="shared" si="353"/>
        <v>0.18181818181818182</v>
      </c>
      <c r="BS171" s="828" t="e">
        <f t="shared" si="354"/>
        <v>#DIV/0!</v>
      </c>
      <c r="BT171" s="997" t="s">
        <v>1928</v>
      </c>
      <c r="BU171" s="67">
        <v>3</v>
      </c>
      <c r="BV171" s="827" t="str">
        <f t="shared" si="355"/>
        <v>Enviar solicitud escrita mensualmente a cada Director, Subdirector y Jefe de Oficina, desde Talento Humano, con el fin de que indiquen los cargos vacantes a proveer</v>
      </c>
      <c r="BW171" s="831">
        <f t="shared" ref="BW171:BW178" si="422">+AO171/4</f>
        <v>0</v>
      </c>
      <c r="BX171" s="835"/>
      <c r="BY171" s="835"/>
      <c r="BZ171" s="826">
        <f t="shared" si="356"/>
        <v>0</v>
      </c>
      <c r="CA171" s="826" t="e">
        <f t="shared" si="357"/>
        <v>#DIV/0!</v>
      </c>
      <c r="CB171" s="826">
        <f t="shared" si="358"/>
        <v>0.18181818181818182</v>
      </c>
      <c r="CC171" s="826" t="e">
        <f t="shared" si="359"/>
        <v>#DIV/0!</v>
      </c>
      <c r="CD171" s="826"/>
      <c r="CE171" s="640">
        <f t="shared" si="331"/>
        <v>0</v>
      </c>
      <c r="CF171" s="640" t="str">
        <f t="shared" si="332"/>
        <v>No Prog ni Ejec</v>
      </c>
      <c r="CG171" s="640">
        <f t="shared" si="333"/>
        <v>0.33333333333333331</v>
      </c>
      <c r="CH171" s="640" t="str">
        <f t="shared" si="334"/>
        <v>No Prog ni Ejec</v>
      </c>
      <c r="CI171" s="640">
        <f t="shared" si="335"/>
        <v>0.33333333333333331</v>
      </c>
      <c r="CJ171" s="640" t="str">
        <f t="shared" si="336"/>
        <v>No Prog ni Ejec</v>
      </c>
      <c r="CK171" s="640">
        <f t="shared" si="337"/>
        <v>0</v>
      </c>
      <c r="CL171" s="698" t="str">
        <f t="shared" si="338"/>
        <v>No Prog ni Ejec</v>
      </c>
      <c r="CM171" s="128">
        <f t="shared" si="272"/>
        <v>0</v>
      </c>
    </row>
    <row r="172" spans="1:107" s="78" customFormat="1" ht="102" customHeight="1" x14ac:dyDescent="0.2">
      <c r="A172" s="697">
        <v>11700</v>
      </c>
      <c r="B172" s="636" t="s">
        <v>14</v>
      </c>
      <c r="C172" s="636" t="s">
        <v>1030</v>
      </c>
      <c r="D172" s="124"/>
      <c r="E172" s="124"/>
      <c r="F172" s="124"/>
      <c r="G172" s="124"/>
      <c r="H172" s="124"/>
      <c r="I172" s="124"/>
      <c r="J172" s="124"/>
      <c r="K172" s="124" t="s">
        <v>1020</v>
      </c>
      <c r="L172" s="124" t="s">
        <v>1020</v>
      </c>
      <c r="M172" s="124"/>
      <c r="N172" s="124"/>
      <c r="O172" s="124"/>
      <c r="P172" s="124"/>
      <c r="Q172" s="827" t="s">
        <v>204</v>
      </c>
      <c r="R172" s="636" t="s">
        <v>204</v>
      </c>
      <c r="S172" s="638" t="s">
        <v>238</v>
      </c>
      <c r="T172" s="636" t="s">
        <v>94</v>
      </c>
      <c r="U172" s="636" t="s">
        <v>204</v>
      </c>
      <c r="V172" s="636" t="s">
        <v>204</v>
      </c>
      <c r="W172" s="638" t="s">
        <v>876</v>
      </c>
      <c r="X172" s="654" t="s">
        <v>1028</v>
      </c>
      <c r="Y172" s="650" t="s">
        <v>51</v>
      </c>
      <c r="Z172" s="832">
        <v>1</v>
      </c>
      <c r="AA172" s="835" t="s">
        <v>867</v>
      </c>
      <c r="AB172" s="827" t="s">
        <v>1022</v>
      </c>
      <c r="AC172" s="831">
        <v>0</v>
      </c>
      <c r="AD172" s="832">
        <v>1</v>
      </c>
      <c r="AE172" s="827" t="s">
        <v>16</v>
      </c>
      <c r="AF172" s="827" t="s">
        <v>21</v>
      </c>
      <c r="AG172" s="827" t="s">
        <v>204</v>
      </c>
      <c r="AH172" s="827" t="s">
        <v>635</v>
      </c>
      <c r="AI172" s="827" t="s">
        <v>77</v>
      </c>
      <c r="AJ172" s="827" t="s">
        <v>1293</v>
      </c>
      <c r="AK172" s="827" t="s">
        <v>1025</v>
      </c>
      <c r="AL172" s="636" t="s">
        <v>43</v>
      </c>
      <c r="AM172" s="832">
        <v>1</v>
      </c>
      <c r="AN172" s="827" t="str">
        <f t="shared" si="418"/>
        <v>Realizar nombramientos de acuerdo con los requerimientos de cada dependencia donde haya vacantes</v>
      </c>
      <c r="AO172" s="833">
        <f t="shared" si="339"/>
        <v>0</v>
      </c>
      <c r="AP172" s="860" t="s">
        <v>48</v>
      </c>
      <c r="AQ172" s="832">
        <v>0.25</v>
      </c>
      <c r="AR172" s="827" t="str">
        <f t="shared" si="340"/>
        <v>Realizar nombramientos de acuerdo con los requerimientos de cada dependencia donde haya vacantes</v>
      </c>
      <c r="AS172" s="831">
        <f t="shared" si="419"/>
        <v>0</v>
      </c>
      <c r="AT172" s="477">
        <f>(8/8)*0.25</f>
        <v>0.25</v>
      </c>
      <c r="AU172" s="864">
        <v>0</v>
      </c>
      <c r="AV172" s="828">
        <f t="shared" si="341"/>
        <v>1</v>
      </c>
      <c r="AW172" s="828" t="e">
        <f t="shared" si="342"/>
        <v>#DIV/0!</v>
      </c>
      <c r="AX172" s="828">
        <f t="shared" si="343"/>
        <v>0.25</v>
      </c>
      <c r="AY172" s="828" t="e">
        <f t="shared" si="344"/>
        <v>#DIV/0!</v>
      </c>
      <c r="AZ172" s="472" t="s">
        <v>1606</v>
      </c>
      <c r="BA172" s="832">
        <v>0.25</v>
      </c>
      <c r="BB172" s="827" t="str">
        <f t="shared" si="345"/>
        <v>Realizar nombramientos de acuerdo con los requerimientos de cada dependencia donde haya vacantes</v>
      </c>
      <c r="BC172" s="831">
        <f t="shared" si="420"/>
        <v>0</v>
      </c>
      <c r="BD172" s="848">
        <f>(11/11)*0.25</f>
        <v>0.25</v>
      </c>
      <c r="BE172" s="831">
        <v>0</v>
      </c>
      <c r="BF172" s="828">
        <f t="shared" si="346"/>
        <v>1</v>
      </c>
      <c r="BG172" s="828" t="e">
        <f t="shared" si="347"/>
        <v>#DIV/0!</v>
      </c>
      <c r="BH172" s="828">
        <f t="shared" si="348"/>
        <v>0.5</v>
      </c>
      <c r="BI172" s="828" t="e">
        <f t="shared" si="349"/>
        <v>#DIV/0!</v>
      </c>
      <c r="BJ172" s="829" t="s">
        <v>1654</v>
      </c>
      <c r="BK172" s="832">
        <v>0.25</v>
      </c>
      <c r="BL172" s="827" t="str">
        <f t="shared" si="350"/>
        <v>Realizar nombramientos de acuerdo con los requerimientos de cada dependencia donde haya vacantes</v>
      </c>
      <c r="BM172" s="831">
        <f t="shared" si="421"/>
        <v>0</v>
      </c>
      <c r="BN172" s="1003">
        <f>(15/15)*0.25</f>
        <v>0.25</v>
      </c>
      <c r="BO172" s="995">
        <v>0</v>
      </c>
      <c r="BP172" s="828">
        <f t="shared" si="351"/>
        <v>1</v>
      </c>
      <c r="BQ172" s="828" t="e">
        <f t="shared" si="352"/>
        <v>#DIV/0!</v>
      </c>
      <c r="BR172" s="828">
        <f t="shared" si="353"/>
        <v>0.75</v>
      </c>
      <c r="BS172" s="828" t="e">
        <f t="shared" si="354"/>
        <v>#DIV/0!</v>
      </c>
      <c r="BT172" s="997" t="s">
        <v>1929</v>
      </c>
      <c r="BU172" s="832">
        <v>0.25</v>
      </c>
      <c r="BV172" s="827" t="str">
        <f t="shared" si="355"/>
        <v>Realizar nombramientos de acuerdo con los requerimientos de cada dependencia donde haya vacantes</v>
      </c>
      <c r="BW172" s="831">
        <f t="shared" si="422"/>
        <v>0</v>
      </c>
      <c r="BX172" s="835"/>
      <c r="BY172" s="835"/>
      <c r="BZ172" s="826">
        <f t="shared" si="356"/>
        <v>0</v>
      </c>
      <c r="CA172" s="826" t="e">
        <f t="shared" si="357"/>
        <v>#DIV/0!</v>
      </c>
      <c r="CB172" s="826">
        <f t="shared" si="358"/>
        <v>0.75</v>
      </c>
      <c r="CC172" s="826" t="e">
        <f t="shared" si="359"/>
        <v>#DIV/0!</v>
      </c>
      <c r="CD172" s="826"/>
      <c r="CE172" s="640">
        <f t="shared" si="331"/>
        <v>1</v>
      </c>
      <c r="CF172" s="640" t="str">
        <f t="shared" si="332"/>
        <v>No Prog ni Ejec</v>
      </c>
      <c r="CG172" s="640">
        <f t="shared" si="333"/>
        <v>1</v>
      </c>
      <c r="CH172" s="640" t="str">
        <f t="shared" si="334"/>
        <v>No Prog ni Ejec</v>
      </c>
      <c r="CI172" s="640">
        <f t="shared" si="335"/>
        <v>1</v>
      </c>
      <c r="CJ172" s="640" t="str">
        <f t="shared" si="336"/>
        <v>No Prog ni Ejec</v>
      </c>
      <c r="CK172" s="640">
        <f t="shared" si="337"/>
        <v>0</v>
      </c>
      <c r="CL172" s="698" t="str">
        <f t="shared" si="338"/>
        <v>No Prog ni Ejec</v>
      </c>
      <c r="CM172" s="128">
        <f t="shared" si="272"/>
        <v>0</v>
      </c>
    </row>
    <row r="173" spans="1:107" s="78" customFormat="1" ht="99" customHeight="1" x14ac:dyDescent="0.2">
      <c r="A173" s="697">
        <v>11700</v>
      </c>
      <c r="B173" s="636" t="s">
        <v>14</v>
      </c>
      <c r="C173" s="636" t="s">
        <v>1030</v>
      </c>
      <c r="D173" s="124"/>
      <c r="E173" s="124"/>
      <c r="F173" s="124"/>
      <c r="G173" s="124"/>
      <c r="H173" s="124"/>
      <c r="I173" s="124"/>
      <c r="J173" s="124"/>
      <c r="K173" s="124" t="s">
        <v>1020</v>
      </c>
      <c r="L173" s="124" t="s">
        <v>1020</v>
      </c>
      <c r="M173" s="124"/>
      <c r="N173" s="124"/>
      <c r="O173" s="124"/>
      <c r="P173" s="124"/>
      <c r="Q173" s="827" t="s">
        <v>204</v>
      </c>
      <c r="R173" s="636" t="s">
        <v>204</v>
      </c>
      <c r="S173" s="638" t="s">
        <v>238</v>
      </c>
      <c r="T173" s="636" t="s">
        <v>94</v>
      </c>
      <c r="U173" s="636" t="s">
        <v>204</v>
      </c>
      <c r="V173" s="636" t="s">
        <v>204</v>
      </c>
      <c r="W173" s="638" t="s">
        <v>877</v>
      </c>
      <c r="X173" s="654" t="s">
        <v>1029</v>
      </c>
      <c r="Y173" s="650" t="s">
        <v>51</v>
      </c>
      <c r="Z173" s="832">
        <v>1</v>
      </c>
      <c r="AA173" s="835" t="s">
        <v>868</v>
      </c>
      <c r="AB173" s="827" t="s">
        <v>1023</v>
      </c>
      <c r="AC173" s="831">
        <v>0</v>
      </c>
      <c r="AD173" s="832">
        <v>1</v>
      </c>
      <c r="AE173" s="827" t="s">
        <v>16</v>
      </c>
      <c r="AF173" s="827" t="s">
        <v>21</v>
      </c>
      <c r="AG173" s="827" t="s">
        <v>204</v>
      </c>
      <c r="AH173" s="827" t="s">
        <v>635</v>
      </c>
      <c r="AI173" s="827" t="s">
        <v>77</v>
      </c>
      <c r="AJ173" s="827" t="s">
        <v>1293</v>
      </c>
      <c r="AK173" s="827" t="s">
        <v>1026</v>
      </c>
      <c r="AL173" s="636" t="s">
        <v>43</v>
      </c>
      <c r="AM173" s="832">
        <v>1</v>
      </c>
      <c r="AN173" s="827" t="str">
        <f t="shared" si="418"/>
        <v>Realizar posesiones de acuerdo con los nombramientos realizados</v>
      </c>
      <c r="AO173" s="833">
        <f t="shared" si="339"/>
        <v>0</v>
      </c>
      <c r="AP173" s="860" t="s">
        <v>48</v>
      </c>
      <c r="AQ173" s="832">
        <v>0.25</v>
      </c>
      <c r="AR173" s="827" t="str">
        <f t="shared" si="340"/>
        <v>Realizar posesiones de acuerdo con los nombramientos realizados</v>
      </c>
      <c r="AS173" s="831">
        <f t="shared" si="419"/>
        <v>0</v>
      </c>
      <c r="AT173" s="477">
        <f>(7/7)*0.25</f>
        <v>0.25</v>
      </c>
      <c r="AU173" s="864">
        <v>0</v>
      </c>
      <c r="AV173" s="828">
        <f t="shared" si="341"/>
        <v>1</v>
      </c>
      <c r="AW173" s="828" t="e">
        <f t="shared" si="342"/>
        <v>#DIV/0!</v>
      </c>
      <c r="AX173" s="828">
        <f t="shared" si="343"/>
        <v>0.25</v>
      </c>
      <c r="AY173" s="828" t="e">
        <f t="shared" si="344"/>
        <v>#DIV/0!</v>
      </c>
      <c r="AZ173" s="472" t="s">
        <v>1607</v>
      </c>
      <c r="BA173" s="832">
        <v>0.25</v>
      </c>
      <c r="BB173" s="827" t="str">
        <f t="shared" si="345"/>
        <v>Realizar posesiones de acuerdo con los nombramientos realizados</v>
      </c>
      <c r="BC173" s="831">
        <f t="shared" si="420"/>
        <v>0</v>
      </c>
      <c r="BD173" s="848">
        <f>(11/11)*0.25</f>
        <v>0.25</v>
      </c>
      <c r="BE173" s="831">
        <v>0</v>
      </c>
      <c r="BF173" s="828">
        <f t="shared" si="346"/>
        <v>1</v>
      </c>
      <c r="BG173" s="828" t="e">
        <f t="shared" si="347"/>
        <v>#DIV/0!</v>
      </c>
      <c r="BH173" s="828">
        <f t="shared" si="348"/>
        <v>0.5</v>
      </c>
      <c r="BI173" s="828" t="e">
        <f t="shared" si="349"/>
        <v>#DIV/0!</v>
      </c>
      <c r="BJ173" s="829" t="s">
        <v>1655</v>
      </c>
      <c r="BK173" s="832">
        <v>0.25</v>
      </c>
      <c r="BL173" s="827" t="str">
        <f t="shared" si="350"/>
        <v>Realizar posesiones de acuerdo con los nombramientos realizados</v>
      </c>
      <c r="BM173" s="831">
        <f t="shared" si="421"/>
        <v>0</v>
      </c>
      <c r="BN173" s="1003">
        <f>(15/15)*0.25</f>
        <v>0.25</v>
      </c>
      <c r="BO173" s="995">
        <v>0</v>
      </c>
      <c r="BP173" s="828">
        <f t="shared" si="351"/>
        <v>1</v>
      </c>
      <c r="BQ173" s="828" t="e">
        <f t="shared" si="352"/>
        <v>#DIV/0!</v>
      </c>
      <c r="BR173" s="828">
        <f t="shared" si="353"/>
        <v>0.75</v>
      </c>
      <c r="BS173" s="828" t="e">
        <f t="shared" si="354"/>
        <v>#DIV/0!</v>
      </c>
      <c r="BT173" s="997" t="s">
        <v>1930</v>
      </c>
      <c r="BU173" s="832">
        <v>0.25</v>
      </c>
      <c r="BV173" s="827" t="str">
        <f t="shared" si="355"/>
        <v>Realizar posesiones de acuerdo con los nombramientos realizados</v>
      </c>
      <c r="BW173" s="831">
        <f t="shared" si="422"/>
        <v>0</v>
      </c>
      <c r="BX173" s="835"/>
      <c r="BY173" s="835"/>
      <c r="BZ173" s="826">
        <f t="shared" si="356"/>
        <v>0</v>
      </c>
      <c r="CA173" s="826" t="e">
        <f t="shared" si="357"/>
        <v>#DIV/0!</v>
      </c>
      <c r="CB173" s="826">
        <f t="shared" si="358"/>
        <v>0.75</v>
      </c>
      <c r="CC173" s="826" t="e">
        <f t="shared" si="359"/>
        <v>#DIV/0!</v>
      </c>
      <c r="CD173" s="826"/>
      <c r="CE173" s="640">
        <f t="shared" si="331"/>
        <v>1</v>
      </c>
      <c r="CF173" s="640" t="str">
        <f t="shared" si="332"/>
        <v>No Prog ni Ejec</v>
      </c>
      <c r="CG173" s="640">
        <f t="shared" si="333"/>
        <v>1</v>
      </c>
      <c r="CH173" s="640" t="str">
        <f t="shared" si="334"/>
        <v>No Prog ni Ejec</v>
      </c>
      <c r="CI173" s="640">
        <f t="shared" si="335"/>
        <v>1</v>
      </c>
      <c r="CJ173" s="640" t="str">
        <f t="shared" si="336"/>
        <v>No Prog ni Ejec</v>
      </c>
      <c r="CK173" s="640">
        <f t="shared" si="337"/>
        <v>0</v>
      </c>
      <c r="CL173" s="698" t="str">
        <f t="shared" si="338"/>
        <v>No Prog ni Ejec</v>
      </c>
      <c r="CM173" s="128">
        <f t="shared" si="272"/>
        <v>0</v>
      </c>
    </row>
    <row r="174" spans="1:107" s="78" customFormat="1" ht="102" customHeight="1" x14ac:dyDescent="0.2">
      <c r="A174" s="697">
        <v>11700</v>
      </c>
      <c r="B174" s="636" t="s">
        <v>14</v>
      </c>
      <c r="C174" s="636" t="s">
        <v>1031</v>
      </c>
      <c r="D174" s="124"/>
      <c r="E174" s="124"/>
      <c r="F174" s="124" t="s">
        <v>1020</v>
      </c>
      <c r="G174" s="124"/>
      <c r="H174" s="124"/>
      <c r="I174" s="124"/>
      <c r="J174" s="124"/>
      <c r="K174" s="124"/>
      <c r="L174" s="124"/>
      <c r="M174" s="124"/>
      <c r="N174" s="124"/>
      <c r="O174" s="124"/>
      <c r="P174" s="124"/>
      <c r="Q174" s="827" t="s">
        <v>204</v>
      </c>
      <c r="R174" s="636" t="s">
        <v>204</v>
      </c>
      <c r="S174" s="638" t="s">
        <v>238</v>
      </c>
      <c r="T174" s="636" t="s">
        <v>94</v>
      </c>
      <c r="U174" s="636" t="s">
        <v>204</v>
      </c>
      <c r="V174" s="636" t="s">
        <v>204</v>
      </c>
      <c r="W174" s="638" t="s">
        <v>878</v>
      </c>
      <c r="X174" s="654" t="s">
        <v>1032</v>
      </c>
      <c r="Y174" s="650" t="s">
        <v>51</v>
      </c>
      <c r="Z174" s="832">
        <v>0.25</v>
      </c>
      <c r="AA174" s="835" t="s">
        <v>869</v>
      </c>
      <c r="AB174" s="827" t="s">
        <v>1033</v>
      </c>
      <c r="AC174" s="831">
        <v>3205900828.9250002</v>
      </c>
      <c r="AD174" s="832">
        <v>1</v>
      </c>
      <c r="AE174" s="827" t="s">
        <v>17</v>
      </c>
      <c r="AF174" s="827" t="s">
        <v>288</v>
      </c>
      <c r="AG174" s="827" t="s">
        <v>204</v>
      </c>
      <c r="AH174" s="827" t="s">
        <v>635</v>
      </c>
      <c r="AI174" s="827" t="s">
        <v>76</v>
      </c>
      <c r="AJ174" s="827" t="s">
        <v>1294</v>
      </c>
      <c r="AK174" s="827" t="s">
        <v>1034</v>
      </c>
      <c r="AL174" s="636" t="s">
        <v>204</v>
      </c>
      <c r="AM174" s="832">
        <f>+Z174</f>
        <v>0.25</v>
      </c>
      <c r="AN174" s="827" t="str">
        <f t="shared" si="418"/>
        <v>Realizar el seguimiento a la ejecución del Plan de Adquisiciones</v>
      </c>
      <c r="AO174" s="833">
        <f t="shared" si="339"/>
        <v>3205900828.9250002</v>
      </c>
      <c r="AP174" s="860" t="s">
        <v>46</v>
      </c>
      <c r="AQ174" s="832">
        <v>0.25</v>
      </c>
      <c r="AR174" s="827" t="str">
        <f t="shared" si="340"/>
        <v>Realizar el seguimiento a la ejecución del Plan de Adquisiciones</v>
      </c>
      <c r="AS174" s="831">
        <v>3205900828.9250002</v>
      </c>
      <c r="AT174" s="477">
        <f>(94/158)*25%</f>
        <v>0.14873417721518986</v>
      </c>
      <c r="AU174" s="864">
        <v>4187490186</v>
      </c>
      <c r="AV174" s="828">
        <f t="shared" si="341"/>
        <v>0.59493670886075944</v>
      </c>
      <c r="AW174" s="828">
        <f t="shared" si="342"/>
        <v>1.3061820715783481</v>
      </c>
      <c r="AX174" s="828">
        <f t="shared" si="343"/>
        <v>0.59493670886075944</v>
      </c>
      <c r="AY174" s="828">
        <f t="shared" si="344"/>
        <v>1.3061820715783481</v>
      </c>
      <c r="AZ174" s="472" t="s">
        <v>1608</v>
      </c>
      <c r="BA174" s="832">
        <v>0</v>
      </c>
      <c r="BB174" s="827" t="str">
        <f t="shared" si="345"/>
        <v>Realizar el seguimiento a la ejecución del Plan de Adquisiciones</v>
      </c>
      <c r="BC174" s="831">
        <v>0</v>
      </c>
      <c r="BD174" s="495" t="s">
        <v>204</v>
      </c>
      <c r="BE174" s="831">
        <v>0</v>
      </c>
      <c r="BF174" s="828" t="e">
        <f t="shared" si="346"/>
        <v>#VALUE!</v>
      </c>
      <c r="BG174" s="828" t="e">
        <f t="shared" si="347"/>
        <v>#DIV/0!</v>
      </c>
      <c r="BH174" s="828" t="e">
        <f t="shared" si="348"/>
        <v>#VALUE!</v>
      </c>
      <c r="BI174" s="828">
        <f t="shared" si="349"/>
        <v>1.3061820715783481</v>
      </c>
      <c r="BJ174" s="829"/>
      <c r="BK174" s="832">
        <v>0</v>
      </c>
      <c r="BL174" s="827" t="str">
        <f t="shared" si="350"/>
        <v>Realizar el seguimiento a la ejecución del Plan de Adquisiciones</v>
      </c>
      <c r="BM174" s="831">
        <v>0</v>
      </c>
      <c r="BN174" s="495" t="s">
        <v>204</v>
      </c>
      <c r="BO174" s="995">
        <v>0</v>
      </c>
      <c r="BP174" s="828" t="e">
        <f t="shared" si="351"/>
        <v>#VALUE!</v>
      </c>
      <c r="BQ174" s="828" t="e">
        <f t="shared" si="352"/>
        <v>#DIV/0!</v>
      </c>
      <c r="BR174" s="828" t="e">
        <f t="shared" si="353"/>
        <v>#VALUE!</v>
      </c>
      <c r="BS174" s="828">
        <f t="shared" si="354"/>
        <v>1.3061820715783481</v>
      </c>
      <c r="BT174" s="466" t="s">
        <v>1931</v>
      </c>
      <c r="BU174" s="832">
        <v>0</v>
      </c>
      <c r="BV174" s="827" t="str">
        <f t="shared" si="355"/>
        <v>Realizar el seguimiento a la ejecución del Plan de Adquisiciones</v>
      </c>
      <c r="BW174" s="831">
        <v>0</v>
      </c>
      <c r="BX174" s="835"/>
      <c r="BY174" s="835"/>
      <c r="BZ174" s="826" t="e">
        <f t="shared" si="356"/>
        <v>#DIV/0!</v>
      </c>
      <c r="CA174" s="826" t="e">
        <f t="shared" si="357"/>
        <v>#DIV/0!</v>
      </c>
      <c r="CB174" s="826" t="e">
        <f t="shared" si="358"/>
        <v>#VALUE!</v>
      </c>
      <c r="CC174" s="826">
        <f t="shared" si="359"/>
        <v>1.3061820715783481</v>
      </c>
      <c r="CD174" s="826"/>
      <c r="CE174" s="640">
        <f t="shared" si="331"/>
        <v>0.59493670886075944</v>
      </c>
      <c r="CF174" s="640">
        <f t="shared" si="332"/>
        <v>1.3061820715783481</v>
      </c>
      <c r="CG174" s="640" t="str">
        <f t="shared" si="333"/>
        <v>No Prog, Ejec=  N.A</v>
      </c>
      <c r="CH174" s="640" t="str">
        <f t="shared" si="334"/>
        <v>No Prog ni Ejec</v>
      </c>
      <c r="CI174" s="640" t="str">
        <f t="shared" si="335"/>
        <v>No Prog, Ejec=  N.A</v>
      </c>
      <c r="CJ174" s="640" t="str">
        <f t="shared" si="336"/>
        <v>No Prog ni Ejec</v>
      </c>
      <c r="CK174" s="640" t="str">
        <f t="shared" si="337"/>
        <v>No Prog ni Ejec</v>
      </c>
      <c r="CL174" s="698" t="str">
        <f t="shared" si="338"/>
        <v>No Prog ni Ejec</v>
      </c>
      <c r="CM174" s="128">
        <f t="shared" si="272"/>
        <v>0</v>
      </c>
    </row>
    <row r="175" spans="1:107" s="78" customFormat="1" ht="102" customHeight="1" x14ac:dyDescent="0.2">
      <c r="A175" s="697">
        <v>11700</v>
      </c>
      <c r="B175" s="636" t="s">
        <v>14</v>
      </c>
      <c r="C175" s="636" t="s">
        <v>1031</v>
      </c>
      <c r="D175" s="124"/>
      <c r="E175" s="124"/>
      <c r="F175" s="124" t="s">
        <v>1020</v>
      </c>
      <c r="G175" s="124"/>
      <c r="H175" s="124"/>
      <c r="I175" s="124"/>
      <c r="J175" s="124"/>
      <c r="K175" s="124"/>
      <c r="L175" s="124"/>
      <c r="M175" s="124"/>
      <c r="N175" s="124"/>
      <c r="O175" s="124"/>
      <c r="P175" s="124"/>
      <c r="Q175" s="827" t="s">
        <v>204</v>
      </c>
      <c r="R175" s="636" t="s">
        <v>204</v>
      </c>
      <c r="S175" s="638" t="s">
        <v>238</v>
      </c>
      <c r="T175" s="636" t="s">
        <v>94</v>
      </c>
      <c r="U175" s="636" t="s">
        <v>204</v>
      </c>
      <c r="V175" s="636" t="s">
        <v>204</v>
      </c>
      <c r="W175" s="638" t="s">
        <v>878</v>
      </c>
      <c r="X175" s="654" t="s">
        <v>1032</v>
      </c>
      <c r="Y175" s="650" t="s">
        <v>51</v>
      </c>
      <c r="Z175" s="832">
        <v>0.75</v>
      </c>
      <c r="AA175" s="835" t="s">
        <v>869</v>
      </c>
      <c r="AB175" s="827" t="s">
        <v>1033</v>
      </c>
      <c r="AC175" s="831">
        <v>0</v>
      </c>
      <c r="AD175" s="832">
        <v>1</v>
      </c>
      <c r="AE175" s="827" t="s">
        <v>17</v>
      </c>
      <c r="AF175" s="827" t="s">
        <v>288</v>
      </c>
      <c r="AG175" s="827" t="s">
        <v>204</v>
      </c>
      <c r="AH175" s="827" t="s">
        <v>635</v>
      </c>
      <c r="AI175" s="827" t="s">
        <v>76</v>
      </c>
      <c r="AJ175" s="827" t="s">
        <v>1294</v>
      </c>
      <c r="AK175" s="827" t="s">
        <v>1034</v>
      </c>
      <c r="AL175" s="636" t="s">
        <v>204</v>
      </c>
      <c r="AM175" s="832">
        <f>+Z175</f>
        <v>0.75</v>
      </c>
      <c r="AN175" s="827" t="str">
        <f t="shared" ref="AN175" si="423">+AB175</f>
        <v>Realizar el seguimiento a la ejecución del Plan de Adquisiciones</v>
      </c>
      <c r="AO175" s="833">
        <f t="shared" ref="AO175" si="424">+AC175</f>
        <v>0</v>
      </c>
      <c r="AP175" s="860" t="s">
        <v>46</v>
      </c>
      <c r="AQ175" s="832" t="s">
        <v>204</v>
      </c>
      <c r="AR175" s="827" t="str">
        <f t="shared" ref="AR175" si="425">+AN175</f>
        <v>Realizar el seguimiento a la ejecución del Plan de Adquisiciones</v>
      </c>
      <c r="AS175" s="831">
        <f t="shared" ref="AS175" si="426">+AO175/4</f>
        <v>0</v>
      </c>
      <c r="AT175" s="477"/>
      <c r="AU175" s="864"/>
      <c r="AV175" s="828" t="e">
        <f t="shared" ref="AV175" si="427">+(AT175/AQ175)</f>
        <v>#VALUE!</v>
      </c>
      <c r="AW175" s="828" t="e">
        <f t="shared" ref="AW175" si="428">+(AU175/AS175)</f>
        <v>#DIV/0!</v>
      </c>
      <c r="AX175" s="828">
        <f t="shared" ref="AX175" si="429">+(AT175/AM175)</f>
        <v>0</v>
      </c>
      <c r="AY175" s="828" t="e">
        <f t="shared" ref="AY175" si="430">+(AU175/AO175)</f>
        <v>#DIV/0!</v>
      </c>
      <c r="AZ175" s="472"/>
      <c r="BA175" s="832">
        <v>0.25</v>
      </c>
      <c r="BB175" s="827" t="str">
        <f t="shared" ref="BB175" si="431">+AN175</f>
        <v>Realizar el seguimiento a la ejecución del Plan de Adquisiciones</v>
      </c>
      <c r="BC175" s="831">
        <f t="shared" ref="BC175" si="432">+AO175/4</f>
        <v>0</v>
      </c>
      <c r="BD175" s="495">
        <f>(113/161)*BA175</f>
        <v>0.17546583850931677</v>
      </c>
      <c r="BE175" s="831">
        <v>0</v>
      </c>
      <c r="BF175" s="828">
        <f t="shared" ref="BF175" si="433">+(BD175/BA175)</f>
        <v>0.70186335403726707</v>
      </c>
      <c r="BG175" s="828" t="e">
        <f t="shared" ref="BG175" si="434">+(BE175/BC175)</f>
        <v>#DIV/0!</v>
      </c>
      <c r="BH175" s="828">
        <f t="shared" ref="BH175" si="435">+(BD175+AT175)/AM175</f>
        <v>0.23395445134575568</v>
      </c>
      <c r="BI175" s="828" t="e">
        <f t="shared" ref="BI175" si="436">+(BE175+AU175)/AO175</f>
        <v>#DIV/0!</v>
      </c>
      <c r="BJ175" s="829" t="s">
        <v>1750</v>
      </c>
      <c r="BK175" s="832">
        <v>0.25</v>
      </c>
      <c r="BL175" s="827" t="str">
        <f t="shared" ref="BL175" si="437">+AN175</f>
        <v>Realizar el seguimiento a la ejecución del Plan de Adquisiciones</v>
      </c>
      <c r="BM175" s="831">
        <f t="shared" ref="BM175" si="438">+AO175/4</f>
        <v>0</v>
      </c>
      <c r="BN175" s="1003">
        <f>(142/170)*BK175</f>
        <v>0.20882352941176471</v>
      </c>
      <c r="BO175" s="995">
        <v>0</v>
      </c>
      <c r="BP175" s="828">
        <f t="shared" ref="BP175" si="439">+(BN175/BK175)</f>
        <v>0.83529411764705885</v>
      </c>
      <c r="BQ175" s="828" t="e">
        <f t="shared" ref="BQ175" si="440">+(BO175/BM175)</f>
        <v>#DIV/0!</v>
      </c>
      <c r="BR175" s="828">
        <f t="shared" ref="BR175" si="441">+(BD175+AT175+BN175)/AM175</f>
        <v>0.51238582389477527</v>
      </c>
      <c r="BS175" s="828" t="e">
        <f t="shared" ref="BS175" si="442">+(BE175+AU175+BO175)/AO175</f>
        <v>#DIV/0!</v>
      </c>
      <c r="BT175" s="466" t="s">
        <v>1932</v>
      </c>
      <c r="BU175" s="832">
        <v>0.25</v>
      </c>
      <c r="BV175" s="827" t="str">
        <f t="shared" ref="BV175" si="443">+AN175</f>
        <v>Realizar el seguimiento a la ejecución del Plan de Adquisiciones</v>
      </c>
      <c r="BW175" s="831">
        <f t="shared" ref="BW175" si="444">+AO175/4</f>
        <v>0</v>
      </c>
      <c r="BX175" s="835"/>
      <c r="BY175" s="835"/>
      <c r="BZ175" s="826">
        <f t="shared" ref="BZ175" si="445">+(BX175/BU175)</f>
        <v>0</v>
      </c>
      <c r="CA175" s="826" t="e">
        <f t="shared" ref="CA175" si="446">+(BY175/BW175)</f>
        <v>#DIV/0!</v>
      </c>
      <c r="CB175" s="826">
        <f t="shared" ref="CB175" si="447">+(BD175+AT175+BN175+BX175)/AM175</f>
        <v>0.51238582389477527</v>
      </c>
      <c r="CC175" s="826" t="e">
        <f t="shared" ref="CC175" si="448">+(BE175+AU175+BO175+BY175)/AO175</f>
        <v>#DIV/0!</v>
      </c>
      <c r="CD175" s="826"/>
      <c r="CE175" s="640" t="e">
        <f t="shared" ref="CE175" si="449">IF(AND(AQ175=0,AT175=0),"No Prog ni Ejec",IF(AQ175=0,CONCATENATE("No Prog, Ejec=  ",AT175),AT175/AQ175))</f>
        <v>#VALUE!</v>
      </c>
      <c r="CF175" s="640" t="str">
        <f t="shared" ref="CF175" si="450">IF(AND(AS175=0,AU175=0),"No Prog ni Ejec",IF(AS175=0,CONCATENATE("No Prog, Ejec=  ",AU175),AU175/AS175))</f>
        <v>No Prog ni Ejec</v>
      </c>
      <c r="CG175" s="640">
        <f t="shared" ref="CG175" si="451">IF(AND(BA175=0,BD175=0),"No Prog ni Ejec",IF(BA175=0,CONCATENATE("No Prog, Ejec=  ",BD175),BD175/BA175))</f>
        <v>0.70186335403726707</v>
      </c>
      <c r="CH175" s="640" t="str">
        <f t="shared" ref="CH175" si="452">IF(AND(BC175=0,BE175=0),"No Prog ni Ejec",IF(BC175=0,CONCATENATE("No Prog, Ejec=  ",BE175),BE175/BC175))</f>
        <v>No Prog ni Ejec</v>
      </c>
      <c r="CI175" s="640">
        <f t="shared" ref="CI175" si="453">IF(AND(BK175=0,BN175=0),"No Prog ni Ejec",IF(BK175=0,CONCATENATE("No Prog, Ejec=  ",BN175),BN175/BK175))</f>
        <v>0.83529411764705885</v>
      </c>
      <c r="CJ175" s="640" t="str">
        <f t="shared" ref="CJ175" si="454">IF(AND(BM175=0,BO175=0),"No Prog ni Ejec",IF(BM175=0,CONCATENATE("No Prog, Ejec=  ",BO175),BO175/BM175))</f>
        <v>No Prog ni Ejec</v>
      </c>
      <c r="CK175" s="640">
        <f t="shared" ref="CK175" si="455">IF(AND(BU175=0,BX175=0),"No Prog ni Ejec",IF(BU175=0,CONCATENATE("No Prog, Ejec=  ",BX175),BX175/BU175))</f>
        <v>0</v>
      </c>
      <c r="CL175" s="698" t="str">
        <f t="shared" ref="CL175" si="456">IF(AND(BW175=0,BY175=0),"No Prog ni Ejec",IF(BW175=0,CONCATENATE("No Prog, Ejec=  ",BY175),BY175/BW175))</f>
        <v>No Prog ni Ejec</v>
      </c>
      <c r="CM175" s="128"/>
    </row>
    <row r="176" spans="1:107" s="78" customFormat="1" ht="89.25" x14ac:dyDescent="0.2">
      <c r="A176" s="834">
        <v>11400</v>
      </c>
      <c r="B176" s="827" t="s">
        <v>12</v>
      </c>
      <c r="C176" s="827" t="s">
        <v>336</v>
      </c>
      <c r="D176" s="845" t="s">
        <v>1020</v>
      </c>
      <c r="E176" s="845"/>
      <c r="F176" s="845"/>
      <c r="G176" s="845"/>
      <c r="H176" s="845"/>
      <c r="I176" s="845"/>
      <c r="J176" s="845"/>
      <c r="K176" s="845"/>
      <c r="L176" s="845"/>
      <c r="M176" s="845"/>
      <c r="N176" s="845"/>
      <c r="O176" s="845"/>
      <c r="P176" s="845"/>
      <c r="Q176" s="827" t="s">
        <v>1127</v>
      </c>
      <c r="R176" s="827" t="s">
        <v>1785</v>
      </c>
      <c r="S176" s="835" t="s">
        <v>68</v>
      </c>
      <c r="T176" s="827" t="s">
        <v>94</v>
      </c>
      <c r="U176" s="827" t="s">
        <v>204</v>
      </c>
      <c r="V176" s="827" t="s">
        <v>204</v>
      </c>
      <c r="W176" s="835" t="s">
        <v>86</v>
      </c>
      <c r="X176" s="827" t="s">
        <v>1065</v>
      </c>
      <c r="Y176" s="838" t="s">
        <v>391</v>
      </c>
      <c r="Z176" s="67">
        <v>1</v>
      </c>
      <c r="AA176" s="835" t="s">
        <v>69</v>
      </c>
      <c r="AB176" s="827" t="s">
        <v>1064</v>
      </c>
      <c r="AC176" s="831">
        <v>0</v>
      </c>
      <c r="AD176" s="832">
        <v>1</v>
      </c>
      <c r="AE176" s="827" t="s">
        <v>17</v>
      </c>
      <c r="AF176" s="827" t="s">
        <v>299</v>
      </c>
      <c r="AG176" s="827" t="s">
        <v>204</v>
      </c>
      <c r="AH176" s="827" t="s">
        <v>635</v>
      </c>
      <c r="AI176" s="827" t="s">
        <v>80</v>
      </c>
      <c r="AJ176" s="827" t="s">
        <v>204</v>
      </c>
      <c r="AK176" s="827" t="s">
        <v>1066</v>
      </c>
      <c r="AL176" s="827" t="s">
        <v>42</v>
      </c>
      <c r="AM176" s="832">
        <v>1</v>
      </c>
      <c r="AN176" s="827" t="str">
        <f t="shared" si="418"/>
        <v xml:space="preserve">Racionalizar el trámite de Solicitud compra de cartera a través del cambio en la Resolución 4373 de 2017 del ministerio de salud </v>
      </c>
      <c r="AO176" s="833">
        <f t="shared" ref="AO176:AO183" si="457">+AC176</f>
        <v>0</v>
      </c>
      <c r="AP176" s="860" t="s">
        <v>46</v>
      </c>
      <c r="AQ176" s="835">
        <v>0</v>
      </c>
      <c r="AR176" s="827" t="str">
        <f t="shared" si="340"/>
        <v xml:space="preserve">Racionalizar el trámite de Solicitud compra de cartera a través del cambio en la Resolución 4373 de 2017 del ministerio de salud </v>
      </c>
      <c r="AS176" s="831">
        <f t="shared" si="419"/>
        <v>0</v>
      </c>
      <c r="AT176" s="835">
        <v>0</v>
      </c>
      <c r="AU176" s="831">
        <v>0</v>
      </c>
      <c r="AV176" s="828" t="e">
        <f t="shared" si="341"/>
        <v>#DIV/0!</v>
      </c>
      <c r="AW176" s="828" t="e">
        <f t="shared" si="342"/>
        <v>#DIV/0!</v>
      </c>
      <c r="AX176" s="828">
        <f t="shared" si="343"/>
        <v>0</v>
      </c>
      <c r="AY176" s="828" t="e">
        <f t="shared" si="344"/>
        <v>#DIV/0!</v>
      </c>
      <c r="AZ176" s="860" t="s">
        <v>1378</v>
      </c>
      <c r="BA176" s="835">
        <v>0</v>
      </c>
      <c r="BB176" s="827" t="str">
        <f t="shared" si="345"/>
        <v xml:space="preserve">Racionalizar el trámite de Solicitud compra de cartera a través del cambio en la Resolución 4373 de 2017 del ministerio de salud </v>
      </c>
      <c r="BC176" s="831">
        <f t="shared" si="420"/>
        <v>0</v>
      </c>
      <c r="BD176" s="838">
        <v>0</v>
      </c>
      <c r="BE176" s="831">
        <v>0</v>
      </c>
      <c r="BF176" s="828" t="e">
        <f t="shared" si="346"/>
        <v>#DIV/0!</v>
      </c>
      <c r="BG176" s="828" t="e">
        <f t="shared" si="347"/>
        <v>#DIV/0!</v>
      </c>
      <c r="BH176" s="828">
        <f t="shared" si="348"/>
        <v>0</v>
      </c>
      <c r="BI176" s="828" t="e">
        <f t="shared" si="349"/>
        <v>#DIV/0!</v>
      </c>
      <c r="BJ176" s="830" t="s">
        <v>1681</v>
      </c>
      <c r="BK176" s="835">
        <v>0</v>
      </c>
      <c r="BL176" s="827" t="str">
        <f t="shared" si="350"/>
        <v xml:space="preserve">Racionalizar el trámite de Solicitud compra de cartera a través del cambio en la Resolución 4373 de 2017 del ministerio de salud </v>
      </c>
      <c r="BM176" s="831">
        <f t="shared" si="421"/>
        <v>0</v>
      </c>
      <c r="BN176" s="990">
        <v>0</v>
      </c>
      <c r="BO176" s="989">
        <v>0</v>
      </c>
      <c r="BP176" s="828" t="e">
        <f t="shared" si="351"/>
        <v>#DIV/0!</v>
      </c>
      <c r="BQ176" s="828" t="e">
        <f t="shared" si="352"/>
        <v>#DIV/0!</v>
      </c>
      <c r="BR176" s="828">
        <f t="shared" si="353"/>
        <v>0</v>
      </c>
      <c r="BS176" s="828" t="e">
        <f t="shared" si="354"/>
        <v>#DIV/0!</v>
      </c>
      <c r="BT176" s="991" t="s">
        <v>1378</v>
      </c>
      <c r="BU176" s="835">
        <v>1</v>
      </c>
      <c r="BV176" s="827" t="str">
        <f t="shared" si="355"/>
        <v xml:space="preserve">Racionalizar el trámite de Solicitud compra de cartera a través del cambio en la Resolución 4373 de 2017 del ministerio de salud </v>
      </c>
      <c r="BW176" s="831">
        <f t="shared" si="422"/>
        <v>0</v>
      </c>
      <c r="BX176" s="835"/>
      <c r="BY176" s="835"/>
      <c r="BZ176" s="826">
        <f t="shared" si="356"/>
        <v>0</v>
      </c>
      <c r="CA176" s="826" t="e">
        <f t="shared" si="357"/>
        <v>#DIV/0!</v>
      </c>
      <c r="CB176" s="826">
        <f t="shared" si="358"/>
        <v>0</v>
      </c>
      <c r="CC176" s="826" t="e">
        <f t="shared" si="359"/>
        <v>#DIV/0!</v>
      </c>
      <c r="CD176" s="69"/>
      <c r="CE176" s="640" t="str">
        <f t="shared" si="331"/>
        <v>No Prog ni Ejec</v>
      </c>
      <c r="CF176" s="640" t="str">
        <f t="shared" si="332"/>
        <v>No Prog ni Ejec</v>
      </c>
      <c r="CG176" s="640" t="str">
        <f t="shared" si="333"/>
        <v>No Prog ni Ejec</v>
      </c>
      <c r="CH176" s="640" t="str">
        <f t="shared" si="334"/>
        <v>No Prog ni Ejec</v>
      </c>
      <c r="CI176" s="640" t="str">
        <f t="shared" si="335"/>
        <v>No Prog ni Ejec</v>
      </c>
      <c r="CJ176" s="640" t="str">
        <f t="shared" si="336"/>
        <v>No Prog ni Ejec</v>
      </c>
      <c r="CK176" s="640">
        <f t="shared" si="337"/>
        <v>0</v>
      </c>
      <c r="CL176" s="698" t="str">
        <f t="shared" si="338"/>
        <v>No Prog ni Ejec</v>
      </c>
      <c r="CM176" s="128">
        <f t="shared" si="272"/>
        <v>0</v>
      </c>
    </row>
    <row r="177" spans="1:107" s="70" customFormat="1" ht="114.75" x14ac:dyDescent="0.2">
      <c r="A177" s="834">
        <v>11400</v>
      </c>
      <c r="B177" s="827" t="s">
        <v>12</v>
      </c>
      <c r="C177" s="827" t="s">
        <v>336</v>
      </c>
      <c r="D177" s="845" t="s">
        <v>1020</v>
      </c>
      <c r="E177" s="845"/>
      <c r="F177" s="845"/>
      <c r="G177" s="845"/>
      <c r="H177" s="845"/>
      <c r="I177" s="845"/>
      <c r="J177" s="845"/>
      <c r="K177" s="845"/>
      <c r="L177" s="845"/>
      <c r="M177" s="845"/>
      <c r="N177" s="845"/>
      <c r="O177" s="845"/>
      <c r="P177" s="845"/>
      <c r="Q177" s="827" t="s">
        <v>1126</v>
      </c>
      <c r="R177" s="827" t="s">
        <v>1132</v>
      </c>
      <c r="S177" s="835" t="s">
        <v>68</v>
      </c>
      <c r="T177" s="827" t="s">
        <v>94</v>
      </c>
      <c r="U177" s="827" t="s">
        <v>204</v>
      </c>
      <c r="V177" s="827" t="s">
        <v>204</v>
      </c>
      <c r="W177" s="835" t="s">
        <v>144</v>
      </c>
      <c r="X177" s="827" t="s">
        <v>1058</v>
      </c>
      <c r="Y177" s="838" t="s">
        <v>391</v>
      </c>
      <c r="Z177" s="66">
        <v>3</v>
      </c>
      <c r="AA177" s="835" t="s">
        <v>143</v>
      </c>
      <c r="AB177" s="827" t="s">
        <v>1057</v>
      </c>
      <c r="AC177" s="831">
        <v>0</v>
      </c>
      <c r="AD177" s="832">
        <v>1</v>
      </c>
      <c r="AE177" s="827" t="s">
        <v>17</v>
      </c>
      <c r="AF177" s="827" t="s">
        <v>295</v>
      </c>
      <c r="AG177" s="827" t="s">
        <v>204</v>
      </c>
      <c r="AH177" s="827" t="s">
        <v>635</v>
      </c>
      <c r="AI177" s="827" t="s">
        <v>1048</v>
      </c>
      <c r="AJ177" s="827" t="s">
        <v>1277</v>
      </c>
      <c r="AK177" s="827" t="s">
        <v>1059</v>
      </c>
      <c r="AL177" s="827" t="s">
        <v>204</v>
      </c>
      <c r="AM177" s="67">
        <v>3</v>
      </c>
      <c r="AN177" s="827" t="str">
        <f t="shared" si="418"/>
        <v>Realizar reuniones de autocontrol y seguimiento a los procesos que evidencien el monitoreo a los riesgos, indicadores, planes de mejoramiento, manuales y documentos asociados</v>
      </c>
      <c r="AO177" s="833">
        <f t="shared" si="457"/>
        <v>0</v>
      </c>
      <c r="AP177" s="860" t="s">
        <v>48</v>
      </c>
      <c r="AQ177" s="67">
        <v>0</v>
      </c>
      <c r="AR177" s="827" t="str">
        <f t="shared" si="340"/>
        <v>Realizar reuniones de autocontrol y seguimiento a los procesos que evidencien el monitoreo a los riesgos, indicadores, planes de mejoramiento, manuales y documentos asociados</v>
      </c>
      <c r="AS177" s="831">
        <f t="shared" si="419"/>
        <v>0</v>
      </c>
      <c r="AT177" s="835">
        <v>0</v>
      </c>
      <c r="AU177" s="831">
        <v>0</v>
      </c>
      <c r="AV177" s="828" t="e">
        <f t="shared" si="341"/>
        <v>#DIV/0!</v>
      </c>
      <c r="AW177" s="828" t="e">
        <f t="shared" si="342"/>
        <v>#DIV/0!</v>
      </c>
      <c r="AX177" s="828">
        <f t="shared" si="343"/>
        <v>0</v>
      </c>
      <c r="AY177" s="828" t="e">
        <f t="shared" si="344"/>
        <v>#DIV/0!</v>
      </c>
      <c r="AZ177" s="830" t="s">
        <v>1378</v>
      </c>
      <c r="BA177" s="67">
        <v>1</v>
      </c>
      <c r="BB177" s="827" t="str">
        <f t="shared" si="345"/>
        <v>Realizar reuniones de autocontrol y seguimiento a los procesos que evidencien el monitoreo a los riesgos, indicadores, planes de mejoramiento, manuales y documentos asociados</v>
      </c>
      <c r="BC177" s="831">
        <f t="shared" si="420"/>
        <v>0</v>
      </c>
      <c r="BD177" s="838">
        <v>1</v>
      </c>
      <c r="BE177" s="831">
        <v>0</v>
      </c>
      <c r="BF177" s="828">
        <f t="shared" si="346"/>
        <v>1</v>
      </c>
      <c r="BG177" s="828" t="e">
        <f t="shared" si="347"/>
        <v>#DIV/0!</v>
      </c>
      <c r="BH177" s="828">
        <f t="shared" si="348"/>
        <v>0.33333333333333331</v>
      </c>
      <c r="BI177" s="828" t="e">
        <f t="shared" si="349"/>
        <v>#DIV/0!</v>
      </c>
      <c r="BJ177" s="829" t="s">
        <v>1682</v>
      </c>
      <c r="BK177" s="67">
        <v>1</v>
      </c>
      <c r="BL177" s="827" t="str">
        <f t="shared" si="350"/>
        <v>Realizar reuniones de autocontrol y seguimiento a los procesos que evidencien el monitoreo a los riesgos, indicadores, planes de mejoramiento, manuales y documentos asociados</v>
      </c>
      <c r="BM177" s="831">
        <f t="shared" si="421"/>
        <v>0</v>
      </c>
      <c r="BN177" s="990">
        <v>1</v>
      </c>
      <c r="BO177" s="989">
        <v>0</v>
      </c>
      <c r="BP177" s="828">
        <f t="shared" si="351"/>
        <v>1</v>
      </c>
      <c r="BQ177" s="828" t="e">
        <f t="shared" si="352"/>
        <v>#DIV/0!</v>
      </c>
      <c r="BR177" s="828">
        <f t="shared" si="353"/>
        <v>0.66666666666666663</v>
      </c>
      <c r="BS177" s="828" t="e">
        <f t="shared" si="354"/>
        <v>#DIV/0!</v>
      </c>
      <c r="BT177" s="988" t="s">
        <v>1378</v>
      </c>
      <c r="BU177" s="67">
        <v>1</v>
      </c>
      <c r="BV177" s="827" t="str">
        <f t="shared" si="355"/>
        <v>Realizar reuniones de autocontrol y seguimiento a los procesos que evidencien el monitoreo a los riesgos, indicadores, planes de mejoramiento, manuales y documentos asociados</v>
      </c>
      <c r="BW177" s="831">
        <f t="shared" si="422"/>
        <v>0</v>
      </c>
      <c r="BX177" s="835"/>
      <c r="BY177" s="835"/>
      <c r="BZ177" s="826">
        <f t="shared" si="356"/>
        <v>0</v>
      </c>
      <c r="CA177" s="826" t="e">
        <f t="shared" si="357"/>
        <v>#DIV/0!</v>
      </c>
      <c r="CB177" s="826">
        <f t="shared" si="358"/>
        <v>0.66666666666666663</v>
      </c>
      <c r="CC177" s="826" t="e">
        <f t="shared" si="359"/>
        <v>#DIV/0!</v>
      </c>
      <c r="CD177" s="826"/>
      <c r="CE177" s="640" t="str">
        <f t="shared" si="331"/>
        <v>No Prog ni Ejec</v>
      </c>
      <c r="CF177" s="640" t="str">
        <f t="shared" si="332"/>
        <v>No Prog ni Ejec</v>
      </c>
      <c r="CG177" s="640">
        <f t="shared" si="333"/>
        <v>1</v>
      </c>
      <c r="CH177" s="640" t="str">
        <f t="shared" si="334"/>
        <v>No Prog ni Ejec</v>
      </c>
      <c r="CI177" s="640">
        <f t="shared" si="335"/>
        <v>1</v>
      </c>
      <c r="CJ177" s="640" t="str">
        <f t="shared" si="336"/>
        <v>No Prog ni Ejec</v>
      </c>
      <c r="CK177" s="640">
        <f t="shared" si="337"/>
        <v>0</v>
      </c>
      <c r="CL177" s="698" t="str">
        <f t="shared" si="338"/>
        <v>No Prog ni Ejec</v>
      </c>
      <c r="CM177" s="128">
        <f t="shared" si="272"/>
        <v>0</v>
      </c>
      <c r="CW177" s="122"/>
    </row>
    <row r="178" spans="1:107" s="70" customFormat="1" ht="99.75" customHeight="1" x14ac:dyDescent="0.2">
      <c r="A178" s="834">
        <v>11500</v>
      </c>
      <c r="B178" s="827" t="s">
        <v>13</v>
      </c>
      <c r="C178" s="827" t="s">
        <v>336</v>
      </c>
      <c r="D178" s="845" t="s">
        <v>1020</v>
      </c>
      <c r="E178" s="845"/>
      <c r="F178" s="845"/>
      <c r="G178" s="845"/>
      <c r="H178" s="845"/>
      <c r="I178" s="845"/>
      <c r="J178" s="845"/>
      <c r="K178" s="845"/>
      <c r="L178" s="845"/>
      <c r="M178" s="845"/>
      <c r="N178" s="845"/>
      <c r="O178" s="845"/>
      <c r="P178" s="845"/>
      <c r="Q178" s="827" t="s">
        <v>1126</v>
      </c>
      <c r="R178" s="827" t="s">
        <v>1132</v>
      </c>
      <c r="S178" s="835" t="s">
        <v>96</v>
      </c>
      <c r="T178" s="827" t="s">
        <v>94</v>
      </c>
      <c r="U178" s="827" t="s">
        <v>204</v>
      </c>
      <c r="V178" s="827" t="s">
        <v>204</v>
      </c>
      <c r="W178" s="835" t="s">
        <v>108</v>
      </c>
      <c r="X178" s="827" t="s">
        <v>1058</v>
      </c>
      <c r="Y178" s="838" t="s">
        <v>391</v>
      </c>
      <c r="Z178" s="66">
        <v>3</v>
      </c>
      <c r="AA178" s="835" t="s">
        <v>98</v>
      </c>
      <c r="AB178" s="827" t="s">
        <v>1057</v>
      </c>
      <c r="AC178" s="831">
        <v>0</v>
      </c>
      <c r="AD178" s="832">
        <v>1</v>
      </c>
      <c r="AE178" s="827" t="s">
        <v>17</v>
      </c>
      <c r="AF178" s="827" t="s">
        <v>295</v>
      </c>
      <c r="AG178" s="827" t="s">
        <v>204</v>
      </c>
      <c r="AH178" s="827" t="s">
        <v>635</v>
      </c>
      <c r="AI178" s="827" t="s">
        <v>1048</v>
      </c>
      <c r="AJ178" s="827" t="s">
        <v>1277</v>
      </c>
      <c r="AK178" s="827" t="s">
        <v>1059</v>
      </c>
      <c r="AL178" s="827" t="s">
        <v>204</v>
      </c>
      <c r="AM178" s="67">
        <v>3</v>
      </c>
      <c r="AN178" s="827" t="str">
        <f t="shared" si="418"/>
        <v>Realizar reuniones de autocontrol y seguimiento a los procesos que evidencien el monitoreo a los riesgos, indicadores, planes de mejoramiento, manuales y documentos asociados</v>
      </c>
      <c r="AO178" s="833">
        <f t="shared" si="457"/>
        <v>0</v>
      </c>
      <c r="AP178" s="860" t="s">
        <v>48</v>
      </c>
      <c r="AQ178" s="67">
        <v>0</v>
      </c>
      <c r="AR178" s="827" t="str">
        <f t="shared" si="340"/>
        <v>Realizar reuniones de autocontrol y seguimiento a los procesos que evidencien el monitoreo a los riesgos, indicadores, planes de mejoramiento, manuales y documentos asociados</v>
      </c>
      <c r="AS178" s="831">
        <f t="shared" si="419"/>
        <v>0</v>
      </c>
      <c r="AT178" s="473">
        <v>0</v>
      </c>
      <c r="AU178" s="864">
        <v>0</v>
      </c>
      <c r="AV178" s="828" t="e">
        <f t="shared" si="341"/>
        <v>#DIV/0!</v>
      </c>
      <c r="AW178" s="828" t="e">
        <f t="shared" si="342"/>
        <v>#DIV/0!</v>
      </c>
      <c r="AX178" s="828">
        <f t="shared" si="343"/>
        <v>0</v>
      </c>
      <c r="AY178" s="828" t="e">
        <f t="shared" si="344"/>
        <v>#DIV/0!</v>
      </c>
      <c r="AZ178" s="472" t="s">
        <v>1329</v>
      </c>
      <c r="BA178" s="67">
        <v>1</v>
      </c>
      <c r="BB178" s="827" t="str">
        <f t="shared" si="345"/>
        <v>Realizar reuniones de autocontrol y seguimiento a los procesos que evidencien el monitoreo a los riesgos, indicadores, planes de mejoramiento, manuales y documentos asociados</v>
      </c>
      <c r="BC178" s="831">
        <f t="shared" si="420"/>
        <v>0</v>
      </c>
      <c r="BD178" s="838">
        <v>1</v>
      </c>
      <c r="BE178" s="831">
        <v>0</v>
      </c>
      <c r="BF178" s="828">
        <f t="shared" si="346"/>
        <v>1</v>
      </c>
      <c r="BG178" s="828" t="e">
        <f t="shared" si="347"/>
        <v>#DIV/0!</v>
      </c>
      <c r="BH178" s="828">
        <f t="shared" si="348"/>
        <v>0.33333333333333331</v>
      </c>
      <c r="BI178" s="828" t="e">
        <f t="shared" si="349"/>
        <v>#DIV/0!</v>
      </c>
      <c r="BJ178" s="827" t="s">
        <v>1694</v>
      </c>
      <c r="BK178" s="67">
        <v>1</v>
      </c>
      <c r="BL178" s="827" t="str">
        <f t="shared" si="350"/>
        <v>Realizar reuniones de autocontrol y seguimiento a los procesos que evidencien el monitoreo a los riesgos, indicadores, planes de mejoramiento, manuales y documentos asociados</v>
      </c>
      <c r="BM178" s="831">
        <f t="shared" si="421"/>
        <v>0</v>
      </c>
      <c r="BN178" s="967">
        <v>1</v>
      </c>
      <c r="BO178" s="835"/>
      <c r="BP178" s="828">
        <f t="shared" si="351"/>
        <v>1</v>
      </c>
      <c r="BQ178" s="828" t="e">
        <f t="shared" si="352"/>
        <v>#DIV/0!</v>
      </c>
      <c r="BR178" s="828">
        <f t="shared" si="353"/>
        <v>0.66666666666666663</v>
      </c>
      <c r="BS178" s="828" t="e">
        <f t="shared" si="354"/>
        <v>#DIV/0!</v>
      </c>
      <c r="BT178" s="466" t="s">
        <v>1850</v>
      </c>
      <c r="BU178" s="67">
        <v>1</v>
      </c>
      <c r="BV178" s="827" t="str">
        <f t="shared" si="355"/>
        <v>Realizar reuniones de autocontrol y seguimiento a los procesos que evidencien el monitoreo a los riesgos, indicadores, planes de mejoramiento, manuales y documentos asociados</v>
      </c>
      <c r="BW178" s="831">
        <f t="shared" si="422"/>
        <v>0</v>
      </c>
      <c r="BX178" s="835"/>
      <c r="BY178" s="835"/>
      <c r="BZ178" s="826">
        <f t="shared" si="356"/>
        <v>0</v>
      </c>
      <c r="CA178" s="826" t="e">
        <f t="shared" si="357"/>
        <v>#DIV/0!</v>
      </c>
      <c r="CB178" s="826">
        <f t="shared" si="358"/>
        <v>0.66666666666666663</v>
      </c>
      <c r="CC178" s="826" t="e">
        <f t="shared" si="359"/>
        <v>#DIV/0!</v>
      </c>
      <c r="CD178" s="826"/>
      <c r="CE178" s="640" t="str">
        <f t="shared" si="331"/>
        <v>No Prog ni Ejec</v>
      </c>
      <c r="CF178" s="640" t="str">
        <f t="shared" si="332"/>
        <v>No Prog ni Ejec</v>
      </c>
      <c r="CG178" s="640">
        <f t="shared" si="333"/>
        <v>1</v>
      </c>
      <c r="CH178" s="640" t="str">
        <f t="shared" si="334"/>
        <v>No Prog ni Ejec</v>
      </c>
      <c r="CI178" s="640">
        <f t="shared" si="335"/>
        <v>1</v>
      </c>
      <c r="CJ178" s="640" t="str">
        <f t="shared" si="336"/>
        <v>No Prog ni Ejec</v>
      </c>
      <c r="CK178" s="640">
        <f t="shared" si="337"/>
        <v>0</v>
      </c>
      <c r="CL178" s="698" t="str">
        <f t="shared" si="338"/>
        <v>No Prog ni Ejec</v>
      </c>
      <c r="CM178" s="128">
        <f t="shared" si="272"/>
        <v>0</v>
      </c>
      <c r="CW178" s="122"/>
    </row>
    <row r="179" spans="1:107" s="78" customFormat="1" ht="89.25" customHeight="1" x14ac:dyDescent="0.2">
      <c r="A179" s="834">
        <v>12000</v>
      </c>
      <c r="B179" s="827" t="s">
        <v>15</v>
      </c>
      <c r="C179" s="827" t="s">
        <v>336</v>
      </c>
      <c r="D179" s="845"/>
      <c r="E179" s="845" t="s">
        <v>1020</v>
      </c>
      <c r="F179" s="845"/>
      <c r="G179" s="845"/>
      <c r="H179" s="845"/>
      <c r="I179" s="845"/>
      <c r="J179" s="845"/>
      <c r="K179" s="845"/>
      <c r="L179" s="845"/>
      <c r="M179" s="845"/>
      <c r="N179" s="845"/>
      <c r="O179" s="845"/>
      <c r="P179" s="845"/>
      <c r="Q179" s="827" t="s">
        <v>1128</v>
      </c>
      <c r="R179" s="827" t="s">
        <v>1130</v>
      </c>
      <c r="S179" s="835" t="s">
        <v>53</v>
      </c>
      <c r="T179" s="827" t="s">
        <v>94</v>
      </c>
      <c r="U179" s="827" t="s">
        <v>204</v>
      </c>
      <c r="V179" s="827" t="s">
        <v>204</v>
      </c>
      <c r="W179" s="835" t="s">
        <v>1121</v>
      </c>
      <c r="X179" s="827" t="s">
        <v>1083</v>
      </c>
      <c r="Y179" s="842" t="s">
        <v>391</v>
      </c>
      <c r="Z179" s="835">
        <v>1</v>
      </c>
      <c r="AA179" s="835" t="s">
        <v>1120</v>
      </c>
      <c r="AB179" s="827" t="s">
        <v>1082</v>
      </c>
      <c r="AC179" s="831">
        <v>0</v>
      </c>
      <c r="AD179" s="832">
        <v>1</v>
      </c>
      <c r="AE179" s="827" t="s">
        <v>17</v>
      </c>
      <c r="AF179" s="827" t="s">
        <v>295</v>
      </c>
      <c r="AG179" s="827" t="s">
        <v>204</v>
      </c>
      <c r="AH179" s="827" t="s">
        <v>635</v>
      </c>
      <c r="AI179" s="827" t="s">
        <v>1048</v>
      </c>
      <c r="AJ179" s="827" t="s">
        <v>1282</v>
      </c>
      <c r="AK179" s="827" t="s">
        <v>1085</v>
      </c>
      <c r="AL179" s="827" t="s">
        <v>44</v>
      </c>
      <c r="AM179" s="835">
        <v>1</v>
      </c>
      <c r="AN179" s="827" t="str">
        <f>+AB179</f>
        <v>Hacer seguimiento a la implementación de MIPG</v>
      </c>
      <c r="AO179" s="833">
        <f t="shared" si="457"/>
        <v>0</v>
      </c>
      <c r="AP179" s="860" t="s">
        <v>48</v>
      </c>
      <c r="AQ179" s="826">
        <v>0.25</v>
      </c>
      <c r="AR179" s="827" t="str">
        <f t="shared" si="340"/>
        <v>Hacer seguimiento a la implementación de MIPG</v>
      </c>
      <c r="AS179" s="831">
        <f>+AO179/4</f>
        <v>0</v>
      </c>
      <c r="AT179" s="832">
        <f>1*25%</f>
        <v>0.25</v>
      </c>
      <c r="AU179" s="841">
        <v>0</v>
      </c>
      <c r="AV179" s="828">
        <f t="shared" si="341"/>
        <v>1</v>
      </c>
      <c r="AW179" s="828" t="e">
        <f t="shared" si="342"/>
        <v>#DIV/0!</v>
      </c>
      <c r="AX179" s="828">
        <f t="shared" si="343"/>
        <v>0.25</v>
      </c>
      <c r="AY179" s="828" t="e">
        <f t="shared" si="344"/>
        <v>#DIV/0!</v>
      </c>
      <c r="AZ179" s="829" t="s">
        <v>1609</v>
      </c>
      <c r="BA179" s="826">
        <v>0</v>
      </c>
      <c r="BB179" s="827" t="str">
        <f t="shared" si="345"/>
        <v>Hacer seguimiento a la implementación de MIPG</v>
      </c>
      <c r="BC179" s="831">
        <f>+AO179/4</f>
        <v>0</v>
      </c>
      <c r="BD179" s="848">
        <v>0</v>
      </c>
      <c r="BE179" s="831">
        <v>0</v>
      </c>
      <c r="BF179" s="828" t="e">
        <f t="shared" si="346"/>
        <v>#DIV/0!</v>
      </c>
      <c r="BG179" s="828" t="e">
        <f t="shared" si="347"/>
        <v>#DIV/0!</v>
      </c>
      <c r="BH179" s="828">
        <f t="shared" si="348"/>
        <v>0.25</v>
      </c>
      <c r="BI179" s="828" t="e">
        <f t="shared" si="349"/>
        <v>#DIV/0!</v>
      </c>
      <c r="BJ179" s="830" t="s">
        <v>1334</v>
      </c>
      <c r="BK179" s="826">
        <v>0.75</v>
      </c>
      <c r="BL179" s="827" t="str">
        <f t="shared" si="350"/>
        <v>Hacer seguimiento a la implementación de MIPG</v>
      </c>
      <c r="BM179" s="831">
        <f>+AO179/4</f>
        <v>0</v>
      </c>
      <c r="BN179" s="963">
        <f>16/16*75%</f>
        <v>0.75</v>
      </c>
      <c r="BO179" s="962">
        <v>0</v>
      </c>
      <c r="BP179" s="828">
        <f t="shared" si="351"/>
        <v>1</v>
      </c>
      <c r="BQ179" s="828" t="e">
        <f t="shared" si="352"/>
        <v>#DIV/0!</v>
      </c>
      <c r="BR179" s="828">
        <f t="shared" si="353"/>
        <v>1</v>
      </c>
      <c r="BS179" s="828" t="e">
        <f t="shared" si="354"/>
        <v>#DIV/0!</v>
      </c>
      <c r="BT179" s="961" t="s">
        <v>1839</v>
      </c>
      <c r="BU179" s="826">
        <v>0</v>
      </c>
      <c r="BV179" s="827" t="str">
        <f t="shared" si="355"/>
        <v>Hacer seguimiento a la implementación de MIPG</v>
      </c>
      <c r="BW179" s="831">
        <f>+AO179/4</f>
        <v>0</v>
      </c>
      <c r="BX179" s="835"/>
      <c r="BY179" s="835"/>
      <c r="BZ179" s="826" t="e">
        <f t="shared" si="356"/>
        <v>#DIV/0!</v>
      </c>
      <c r="CA179" s="826" t="e">
        <f t="shared" si="357"/>
        <v>#DIV/0!</v>
      </c>
      <c r="CB179" s="826">
        <f t="shared" si="358"/>
        <v>1</v>
      </c>
      <c r="CC179" s="826" t="e">
        <f t="shared" si="359"/>
        <v>#DIV/0!</v>
      </c>
      <c r="CD179" s="826"/>
      <c r="CE179" s="640">
        <f t="shared" si="331"/>
        <v>1</v>
      </c>
      <c r="CF179" s="640" t="str">
        <f t="shared" si="332"/>
        <v>No Prog ni Ejec</v>
      </c>
      <c r="CG179" s="640" t="str">
        <f t="shared" si="333"/>
        <v>No Prog ni Ejec</v>
      </c>
      <c r="CH179" s="640" t="str">
        <f t="shared" si="334"/>
        <v>No Prog ni Ejec</v>
      </c>
      <c r="CI179" s="640">
        <f t="shared" si="335"/>
        <v>1</v>
      </c>
      <c r="CJ179" s="640" t="str">
        <f t="shared" si="336"/>
        <v>No Prog ni Ejec</v>
      </c>
      <c r="CK179" s="640" t="str">
        <f t="shared" si="337"/>
        <v>No Prog ni Ejec</v>
      </c>
      <c r="CL179" s="698" t="str">
        <f t="shared" si="338"/>
        <v>No Prog ni Ejec</v>
      </c>
      <c r="CM179" s="128">
        <f t="shared" si="272"/>
        <v>0</v>
      </c>
    </row>
    <row r="180" spans="1:107" ht="242.25" x14ac:dyDescent="0.25">
      <c r="A180" s="834" t="s">
        <v>1226</v>
      </c>
      <c r="B180" s="827" t="s">
        <v>1225</v>
      </c>
      <c r="C180" s="827" t="s">
        <v>332</v>
      </c>
      <c r="D180" s="902"/>
      <c r="E180" s="845" t="s">
        <v>1020</v>
      </c>
      <c r="F180" s="902"/>
      <c r="G180" s="902"/>
      <c r="H180" s="902"/>
      <c r="I180" s="902"/>
      <c r="J180" s="902"/>
      <c r="K180" s="902"/>
      <c r="L180" s="902"/>
      <c r="M180" s="902"/>
      <c r="N180" s="902"/>
      <c r="O180" s="845" t="s">
        <v>1020</v>
      </c>
      <c r="P180" s="902"/>
      <c r="Q180" s="827" t="s">
        <v>204</v>
      </c>
      <c r="R180" s="827" t="s">
        <v>204</v>
      </c>
      <c r="S180" s="835" t="s">
        <v>1227</v>
      </c>
      <c r="T180" s="827" t="s">
        <v>94</v>
      </c>
      <c r="U180" s="827" t="s">
        <v>204</v>
      </c>
      <c r="V180" s="827" t="s">
        <v>204</v>
      </c>
      <c r="W180" s="836" t="s">
        <v>1230</v>
      </c>
      <c r="X180" s="827" t="s">
        <v>1237</v>
      </c>
      <c r="Y180" s="340" t="s">
        <v>391</v>
      </c>
      <c r="Z180" s="835">
        <v>1</v>
      </c>
      <c r="AA180" s="836" t="s">
        <v>1231</v>
      </c>
      <c r="AB180" s="827" t="s">
        <v>1234</v>
      </c>
      <c r="AC180" s="831">
        <v>0</v>
      </c>
      <c r="AD180" s="832">
        <v>1</v>
      </c>
      <c r="AE180" s="827" t="s">
        <v>17</v>
      </c>
      <c r="AF180" s="827" t="s">
        <v>297</v>
      </c>
      <c r="AG180" s="827" t="s">
        <v>204</v>
      </c>
      <c r="AH180" s="827" t="s">
        <v>635</v>
      </c>
      <c r="AI180" s="827" t="s">
        <v>81</v>
      </c>
      <c r="AJ180" s="827" t="s">
        <v>1269</v>
      </c>
      <c r="AK180" s="827" t="s">
        <v>1238</v>
      </c>
      <c r="AL180" s="827" t="s">
        <v>204</v>
      </c>
      <c r="AM180" s="67">
        <f>+Z180</f>
        <v>1</v>
      </c>
      <c r="AN180" s="827" t="str">
        <f>+AB180</f>
        <v>Realizar autodiagnóstico frente al cumplimiento del Régimen de protección de datos personales</v>
      </c>
      <c r="AO180" s="833">
        <f t="shared" si="457"/>
        <v>0</v>
      </c>
      <c r="AP180" s="860" t="s">
        <v>48</v>
      </c>
      <c r="AQ180" s="835">
        <v>1</v>
      </c>
      <c r="AR180" s="827" t="str">
        <f t="shared" si="340"/>
        <v>Realizar autodiagnóstico frente al cumplimiento del Régimen de protección de datos personales</v>
      </c>
      <c r="AS180" s="831">
        <v>0</v>
      </c>
      <c r="AT180" s="835">
        <v>1</v>
      </c>
      <c r="AU180" s="850">
        <v>0</v>
      </c>
      <c r="AV180" s="828">
        <f t="shared" si="341"/>
        <v>1</v>
      </c>
      <c r="AW180" s="828" t="e">
        <f t="shared" si="342"/>
        <v>#DIV/0!</v>
      </c>
      <c r="AX180" s="828">
        <f t="shared" si="343"/>
        <v>1</v>
      </c>
      <c r="AY180" s="828" t="e">
        <f t="shared" si="344"/>
        <v>#DIV/0!</v>
      </c>
      <c r="AZ180" s="466" t="s">
        <v>1382</v>
      </c>
      <c r="BA180" s="462">
        <v>0</v>
      </c>
      <c r="BB180" s="827" t="str">
        <f t="shared" si="345"/>
        <v>Realizar autodiagnóstico frente al cumplimiento del Régimen de protección de datos personales</v>
      </c>
      <c r="BC180" s="831">
        <v>0</v>
      </c>
      <c r="BD180" s="743">
        <v>0</v>
      </c>
      <c r="BE180" s="850">
        <v>0</v>
      </c>
      <c r="BF180" s="828" t="e">
        <f t="shared" si="346"/>
        <v>#DIV/0!</v>
      </c>
      <c r="BG180" s="828" t="e">
        <f t="shared" si="347"/>
        <v>#DIV/0!</v>
      </c>
      <c r="BH180" s="828">
        <f t="shared" si="348"/>
        <v>1</v>
      </c>
      <c r="BI180" s="870" t="e">
        <f t="shared" si="349"/>
        <v>#DIV/0!</v>
      </c>
      <c r="BJ180" s="829" t="s">
        <v>1668</v>
      </c>
      <c r="BK180" s="835">
        <v>0</v>
      </c>
      <c r="BL180" s="827" t="str">
        <f t="shared" si="350"/>
        <v>Realizar autodiagnóstico frente al cumplimiento del Régimen de protección de datos personales</v>
      </c>
      <c r="BM180" s="831">
        <v>0</v>
      </c>
      <c r="BN180" s="976">
        <v>0</v>
      </c>
      <c r="BO180" s="975">
        <v>0</v>
      </c>
      <c r="BP180" s="828" t="e">
        <f t="shared" si="351"/>
        <v>#DIV/0!</v>
      </c>
      <c r="BQ180" s="828" t="e">
        <f t="shared" si="352"/>
        <v>#DIV/0!</v>
      </c>
      <c r="BR180" s="828">
        <f t="shared" si="353"/>
        <v>1</v>
      </c>
      <c r="BS180" s="870" t="e">
        <f t="shared" si="354"/>
        <v>#DIV/0!</v>
      </c>
      <c r="BT180" s="828"/>
      <c r="BU180" s="900">
        <v>0</v>
      </c>
      <c r="BV180" s="827" t="str">
        <f t="shared" si="355"/>
        <v>Realizar autodiagnóstico frente al cumplimiento del Régimen de protección de datos personales</v>
      </c>
      <c r="BW180" s="831">
        <v>0</v>
      </c>
      <c r="BX180" s="835"/>
      <c r="BY180" s="835"/>
      <c r="BZ180" s="826" t="e">
        <f t="shared" si="356"/>
        <v>#DIV/0!</v>
      </c>
      <c r="CA180" s="826" t="e">
        <f>+(#REF!/#REF!)</f>
        <v>#REF!</v>
      </c>
      <c r="CB180" s="826">
        <f t="shared" si="358"/>
        <v>1</v>
      </c>
      <c r="CC180" s="865" t="e">
        <f>+(#REF!+#REF!+#REF!+#REF!)/#REF!</f>
        <v>#REF!</v>
      </c>
      <c r="CD180" s="826"/>
      <c r="CE180" s="640">
        <f t="shared" si="331"/>
        <v>1</v>
      </c>
      <c r="CF180" s="640" t="str">
        <f t="shared" si="332"/>
        <v>No Prog ni Ejec</v>
      </c>
      <c r="CG180" s="640" t="str">
        <f t="shared" si="333"/>
        <v>No Prog ni Ejec</v>
      </c>
      <c r="CH180" s="640" t="str">
        <f t="shared" si="334"/>
        <v>No Prog ni Ejec</v>
      </c>
      <c r="CI180" s="640" t="str">
        <f t="shared" si="335"/>
        <v>No Prog ni Ejec</v>
      </c>
      <c r="CJ180" s="640" t="str">
        <f t="shared" si="336"/>
        <v>No Prog ni Ejec</v>
      </c>
      <c r="CK180" s="640" t="str">
        <f t="shared" si="337"/>
        <v>No Prog ni Ejec</v>
      </c>
      <c r="CL180" s="698" t="str">
        <f t="shared" si="338"/>
        <v>No Prog ni Ejec</v>
      </c>
      <c r="CM180" s="128">
        <f>+AC180-AS180-BC180-BM180-BW180</f>
        <v>0</v>
      </c>
    </row>
    <row r="181" spans="1:107" ht="114.75" x14ac:dyDescent="0.25">
      <c r="A181" s="834" t="s">
        <v>1226</v>
      </c>
      <c r="B181" s="827" t="s">
        <v>1225</v>
      </c>
      <c r="C181" s="827" t="s">
        <v>332</v>
      </c>
      <c r="D181" s="902"/>
      <c r="E181" s="845" t="s">
        <v>1020</v>
      </c>
      <c r="F181" s="902"/>
      <c r="G181" s="902"/>
      <c r="H181" s="902"/>
      <c r="I181" s="902"/>
      <c r="J181" s="902"/>
      <c r="K181" s="902"/>
      <c r="L181" s="902"/>
      <c r="M181" s="902"/>
      <c r="N181" s="902"/>
      <c r="O181" s="845" t="s">
        <v>1020</v>
      </c>
      <c r="P181" s="902"/>
      <c r="Q181" s="827" t="s">
        <v>204</v>
      </c>
      <c r="R181" s="827" t="s">
        <v>204</v>
      </c>
      <c r="S181" s="835" t="s">
        <v>1227</v>
      </c>
      <c r="T181" s="827" t="s">
        <v>94</v>
      </c>
      <c r="U181" s="827" t="s">
        <v>204</v>
      </c>
      <c r="V181" s="827" t="s">
        <v>204</v>
      </c>
      <c r="W181" s="836" t="s">
        <v>1233</v>
      </c>
      <c r="X181" s="827" t="s">
        <v>1228</v>
      </c>
      <c r="Y181" s="340" t="s">
        <v>391</v>
      </c>
      <c r="Z181" s="835">
        <v>1</v>
      </c>
      <c r="AA181" s="836" t="s">
        <v>1232</v>
      </c>
      <c r="AB181" s="827" t="s">
        <v>1235</v>
      </c>
      <c r="AC181" s="831">
        <v>0</v>
      </c>
      <c r="AD181" s="832">
        <v>1</v>
      </c>
      <c r="AE181" s="827" t="s">
        <v>17</v>
      </c>
      <c r="AF181" s="827" t="s">
        <v>297</v>
      </c>
      <c r="AG181" s="827" t="s">
        <v>204</v>
      </c>
      <c r="AH181" s="827" t="s">
        <v>635</v>
      </c>
      <c r="AI181" s="827" t="s">
        <v>81</v>
      </c>
      <c r="AJ181" s="827" t="s">
        <v>1269</v>
      </c>
      <c r="AK181" s="827" t="s">
        <v>1239</v>
      </c>
      <c r="AL181" s="827" t="s">
        <v>204</v>
      </c>
      <c r="AM181" s="67">
        <f>+Z181</f>
        <v>1</v>
      </c>
      <c r="AN181" s="827" t="str">
        <f>+AB181</f>
        <v>Realizar registro de las bases de datos con datos personales ante la Superintendencia de Industria y Comercio - SIC</v>
      </c>
      <c r="AO181" s="833">
        <f t="shared" si="457"/>
        <v>0</v>
      </c>
      <c r="AP181" s="860" t="s">
        <v>48</v>
      </c>
      <c r="AQ181" s="835">
        <v>1</v>
      </c>
      <c r="AR181" s="827" t="str">
        <f t="shared" si="340"/>
        <v>Realizar registro de las bases de datos con datos personales ante la Superintendencia de Industria y Comercio - SIC</v>
      </c>
      <c r="AS181" s="831">
        <v>0</v>
      </c>
      <c r="AT181" s="835">
        <v>1</v>
      </c>
      <c r="AU181" s="850">
        <v>0</v>
      </c>
      <c r="AV181" s="828">
        <f t="shared" si="341"/>
        <v>1</v>
      </c>
      <c r="AW181" s="828" t="e">
        <f t="shared" si="342"/>
        <v>#DIV/0!</v>
      </c>
      <c r="AX181" s="828">
        <f t="shared" si="343"/>
        <v>1</v>
      </c>
      <c r="AY181" s="828" t="e">
        <f t="shared" si="344"/>
        <v>#DIV/0!</v>
      </c>
      <c r="AZ181" s="466" t="s">
        <v>1383</v>
      </c>
      <c r="BA181" s="462">
        <v>0</v>
      </c>
      <c r="BB181" s="827" t="str">
        <f t="shared" si="345"/>
        <v>Realizar registro de las bases de datos con datos personales ante la Superintendencia de Industria y Comercio - SIC</v>
      </c>
      <c r="BC181" s="831">
        <v>0</v>
      </c>
      <c r="BD181" s="743">
        <v>0</v>
      </c>
      <c r="BE181" s="850">
        <v>0</v>
      </c>
      <c r="BF181" s="828" t="e">
        <f t="shared" si="346"/>
        <v>#DIV/0!</v>
      </c>
      <c r="BG181" s="828" t="e">
        <f t="shared" si="347"/>
        <v>#DIV/0!</v>
      </c>
      <c r="BH181" s="828">
        <f t="shared" si="348"/>
        <v>1</v>
      </c>
      <c r="BI181" s="870" t="e">
        <f t="shared" si="349"/>
        <v>#DIV/0!</v>
      </c>
      <c r="BJ181" s="829" t="s">
        <v>1669</v>
      </c>
      <c r="BK181" s="835">
        <v>0</v>
      </c>
      <c r="BL181" s="827" t="str">
        <f t="shared" si="350"/>
        <v>Realizar registro de las bases de datos con datos personales ante la Superintendencia de Industria y Comercio - SIC</v>
      </c>
      <c r="BM181" s="831">
        <v>0</v>
      </c>
      <c r="BN181" s="976">
        <v>0</v>
      </c>
      <c r="BO181" s="975">
        <v>0</v>
      </c>
      <c r="BP181" s="828" t="e">
        <f t="shared" si="351"/>
        <v>#DIV/0!</v>
      </c>
      <c r="BQ181" s="828" t="e">
        <f t="shared" si="352"/>
        <v>#DIV/0!</v>
      </c>
      <c r="BR181" s="828">
        <f t="shared" si="353"/>
        <v>1</v>
      </c>
      <c r="BS181" s="870" t="e">
        <f t="shared" si="354"/>
        <v>#DIV/0!</v>
      </c>
      <c r="BT181" s="828"/>
      <c r="BU181" s="900">
        <v>0</v>
      </c>
      <c r="BV181" s="827" t="str">
        <f t="shared" si="355"/>
        <v>Realizar registro de las bases de datos con datos personales ante la Superintendencia de Industria y Comercio - SIC</v>
      </c>
      <c r="BW181" s="831">
        <v>0</v>
      </c>
      <c r="BX181" s="835"/>
      <c r="BY181" s="835"/>
      <c r="BZ181" s="826" t="e">
        <f t="shared" si="356"/>
        <v>#DIV/0!</v>
      </c>
      <c r="CA181" s="826" t="e">
        <f>+(BY159/BW159)</f>
        <v>#DIV/0!</v>
      </c>
      <c r="CB181" s="826">
        <f t="shared" si="358"/>
        <v>1</v>
      </c>
      <c r="CC181" s="865" t="e">
        <f>+(BE159+AU159+BO159+BY159)/AO159</f>
        <v>#DIV/0!</v>
      </c>
      <c r="CD181" s="826"/>
      <c r="CE181" s="640">
        <f t="shared" si="331"/>
        <v>1</v>
      </c>
      <c r="CF181" s="640" t="str">
        <f t="shared" si="332"/>
        <v>No Prog ni Ejec</v>
      </c>
      <c r="CG181" s="640" t="str">
        <f t="shared" si="333"/>
        <v>No Prog ni Ejec</v>
      </c>
      <c r="CH181" s="640" t="str">
        <f t="shared" si="334"/>
        <v>No Prog ni Ejec</v>
      </c>
      <c r="CI181" s="640" t="str">
        <f t="shared" si="335"/>
        <v>No Prog ni Ejec</v>
      </c>
      <c r="CJ181" s="640" t="str">
        <f t="shared" si="336"/>
        <v>No Prog ni Ejec</v>
      </c>
      <c r="CK181" s="640" t="str">
        <f t="shared" si="337"/>
        <v>No Prog ni Ejec</v>
      </c>
      <c r="CL181" s="698" t="str">
        <f t="shared" si="338"/>
        <v>No Prog ni Ejec</v>
      </c>
      <c r="CM181" s="128">
        <f>+AC181-AS181-BC181-BM181-BW181</f>
        <v>0</v>
      </c>
    </row>
    <row r="182" spans="1:107" ht="89.25" x14ac:dyDescent="0.25">
      <c r="A182" s="697">
        <v>11700</v>
      </c>
      <c r="B182" s="827" t="s">
        <v>14</v>
      </c>
      <c r="C182" s="636" t="s">
        <v>332</v>
      </c>
      <c r="D182" s="461"/>
      <c r="E182" s="124" t="s">
        <v>1020</v>
      </c>
      <c r="F182" s="461"/>
      <c r="G182" s="461"/>
      <c r="H182" s="461"/>
      <c r="I182" s="461"/>
      <c r="J182" s="461"/>
      <c r="K182" s="461"/>
      <c r="L182" s="461"/>
      <c r="M182" s="461"/>
      <c r="N182" s="461"/>
      <c r="O182" s="124" t="s">
        <v>1020</v>
      </c>
      <c r="P182" s="461"/>
      <c r="Q182" s="827" t="s">
        <v>204</v>
      </c>
      <c r="R182" s="636" t="s">
        <v>204</v>
      </c>
      <c r="S182" s="638" t="s">
        <v>238</v>
      </c>
      <c r="T182" s="636" t="s">
        <v>94</v>
      </c>
      <c r="U182" s="636" t="s">
        <v>204</v>
      </c>
      <c r="V182" s="636" t="s">
        <v>204</v>
      </c>
      <c r="W182" s="835" t="s">
        <v>1497</v>
      </c>
      <c r="X182" s="654" t="s">
        <v>1229</v>
      </c>
      <c r="Y182" s="97" t="s">
        <v>51</v>
      </c>
      <c r="Z182" s="826">
        <v>1</v>
      </c>
      <c r="AA182" s="835" t="s">
        <v>1496</v>
      </c>
      <c r="AB182" s="827" t="s">
        <v>1236</v>
      </c>
      <c r="AC182" s="831">
        <v>0</v>
      </c>
      <c r="AD182" s="832">
        <v>1</v>
      </c>
      <c r="AE182" s="827" t="s">
        <v>17</v>
      </c>
      <c r="AF182" s="827" t="s">
        <v>297</v>
      </c>
      <c r="AG182" s="827" t="s">
        <v>204</v>
      </c>
      <c r="AH182" s="827" t="s">
        <v>635</v>
      </c>
      <c r="AI182" s="827" t="s">
        <v>81</v>
      </c>
      <c r="AJ182" s="827" t="s">
        <v>1269</v>
      </c>
      <c r="AK182" s="827" t="s">
        <v>1296</v>
      </c>
      <c r="AL182" s="636" t="s">
        <v>204</v>
      </c>
      <c r="AM182" s="832">
        <f>+Z182</f>
        <v>1</v>
      </c>
      <c r="AN182" s="827" t="str">
        <f>+AB182</f>
        <v>Desarrollar e implementar solicitudes de autorización para el tratamiento de datos personales</v>
      </c>
      <c r="AO182" s="833">
        <f t="shared" si="457"/>
        <v>0</v>
      </c>
      <c r="AP182" s="860" t="s">
        <v>48</v>
      </c>
      <c r="AQ182" s="826">
        <v>0</v>
      </c>
      <c r="AR182" s="827" t="str">
        <f t="shared" si="340"/>
        <v>Desarrollar e implementar solicitudes de autorización para el tratamiento de datos personales</v>
      </c>
      <c r="AS182" s="831">
        <v>0</v>
      </c>
      <c r="AT182" s="835">
        <v>0</v>
      </c>
      <c r="AU182" s="850">
        <v>0</v>
      </c>
      <c r="AV182" s="828" t="e">
        <f t="shared" si="341"/>
        <v>#DIV/0!</v>
      </c>
      <c r="AW182" s="828" t="e">
        <f t="shared" si="342"/>
        <v>#DIV/0!</v>
      </c>
      <c r="AX182" s="828">
        <f t="shared" si="343"/>
        <v>0</v>
      </c>
      <c r="AY182" s="828" t="e">
        <f t="shared" si="344"/>
        <v>#DIV/0!</v>
      </c>
      <c r="AZ182" s="466" t="s">
        <v>1314</v>
      </c>
      <c r="BA182" s="463">
        <v>0</v>
      </c>
      <c r="BB182" s="827" t="str">
        <f t="shared" si="345"/>
        <v>Desarrollar e implementar solicitudes de autorización para el tratamiento de datos personales</v>
      </c>
      <c r="BC182" s="831">
        <v>0</v>
      </c>
      <c r="BD182" s="848">
        <v>0</v>
      </c>
      <c r="BE182" s="831">
        <v>0</v>
      </c>
      <c r="BF182" s="828" t="e">
        <f t="shared" si="346"/>
        <v>#DIV/0!</v>
      </c>
      <c r="BG182" s="828" t="e">
        <f t="shared" si="347"/>
        <v>#DIV/0!</v>
      </c>
      <c r="BH182" s="828">
        <f t="shared" si="348"/>
        <v>0</v>
      </c>
      <c r="BI182" s="870" t="e">
        <f t="shared" si="349"/>
        <v>#DIV/0!</v>
      </c>
      <c r="BJ182" s="830"/>
      <c r="BK182" s="826">
        <v>0.4</v>
      </c>
      <c r="BL182" s="827" t="str">
        <f>+AN182</f>
        <v>Desarrollar e implementar solicitudes de autorización para el tratamiento de datos personales</v>
      </c>
      <c r="BM182" s="831">
        <v>0</v>
      </c>
      <c r="BN182" s="998">
        <v>0</v>
      </c>
      <c r="BO182" s="995">
        <v>0</v>
      </c>
      <c r="BP182" s="828">
        <f t="shared" si="351"/>
        <v>0</v>
      </c>
      <c r="BQ182" s="828" t="e">
        <f t="shared" si="352"/>
        <v>#DIV/0!</v>
      </c>
      <c r="BR182" s="828">
        <f t="shared" si="353"/>
        <v>0</v>
      </c>
      <c r="BS182" s="870" t="e">
        <f t="shared" si="354"/>
        <v>#DIV/0!</v>
      </c>
      <c r="BT182" s="828"/>
      <c r="BU182" s="84">
        <v>0.6</v>
      </c>
      <c r="BV182" s="827" t="str">
        <f t="shared" si="355"/>
        <v>Desarrollar e implementar solicitudes de autorización para el tratamiento de datos personales</v>
      </c>
      <c r="BW182" s="831">
        <v>0</v>
      </c>
      <c r="BX182" s="835"/>
      <c r="BY182" s="835"/>
      <c r="BZ182" s="826">
        <f t="shared" si="356"/>
        <v>0</v>
      </c>
      <c r="CA182" s="826" t="e">
        <f>+(BY160/BW160)</f>
        <v>#DIV/0!</v>
      </c>
      <c r="CB182" s="826">
        <f t="shared" si="358"/>
        <v>0</v>
      </c>
      <c r="CC182" s="865" t="e">
        <f>+(BE160+AU160+BO160+BY160)/AO160</f>
        <v>#DIV/0!</v>
      </c>
      <c r="CD182" s="826"/>
      <c r="CE182" s="640" t="str">
        <f t="shared" si="331"/>
        <v>No Prog ni Ejec</v>
      </c>
      <c r="CF182" s="640" t="str">
        <f t="shared" si="332"/>
        <v>No Prog ni Ejec</v>
      </c>
      <c r="CG182" s="640" t="str">
        <f t="shared" si="333"/>
        <v>No Prog ni Ejec</v>
      </c>
      <c r="CH182" s="640" t="str">
        <f t="shared" si="334"/>
        <v>No Prog ni Ejec</v>
      </c>
      <c r="CI182" s="640">
        <f t="shared" si="335"/>
        <v>0</v>
      </c>
      <c r="CJ182" s="640" t="str">
        <f t="shared" si="336"/>
        <v>No Prog ni Ejec</v>
      </c>
      <c r="CK182" s="640">
        <f t="shared" si="337"/>
        <v>0</v>
      </c>
      <c r="CL182" s="698" t="str">
        <f t="shared" si="338"/>
        <v>No Prog ni Ejec</v>
      </c>
      <c r="CM182" s="128">
        <f>+AC182-AS182-BC182-BM182-BW182</f>
        <v>0</v>
      </c>
    </row>
    <row r="183" spans="1:107" s="567" customFormat="1" ht="89.25" x14ac:dyDescent="0.25">
      <c r="A183" s="834">
        <v>11200</v>
      </c>
      <c r="B183" s="827" t="s">
        <v>1</v>
      </c>
      <c r="C183" s="827" t="s">
        <v>330</v>
      </c>
      <c r="D183" s="903"/>
      <c r="E183" s="903" t="s">
        <v>1020</v>
      </c>
      <c r="F183" s="903"/>
      <c r="G183" s="903"/>
      <c r="H183" s="903"/>
      <c r="I183" s="903"/>
      <c r="J183" s="903"/>
      <c r="K183" s="903"/>
      <c r="L183" s="903"/>
      <c r="M183" s="903"/>
      <c r="N183" s="903"/>
      <c r="O183" s="903"/>
      <c r="P183" s="903"/>
      <c r="Q183" s="827" t="s">
        <v>204</v>
      </c>
      <c r="R183" s="827" t="s">
        <v>204</v>
      </c>
      <c r="S183" s="835" t="s">
        <v>111</v>
      </c>
      <c r="T183" s="827" t="s">
        <v>94</v>
      </c>
      <c r="U183" s="827" t="s">
        <v>204</v>
      </c>
      <c r="V183" s="827" t="s">
        <v>204</v>
      </c>
      <c r="W183" s="835" t="s">
        <v>1442</v>
      </c>
      <c r="X183" s="827" t="s">
        <v>1443</v>
      </c>
      <c r="Y183" s="838" t="s">
        <v>52</v>
      </c>
      <c r="Z183" s="66">
        <v>1</v>
      </c>
      <c r="AA183" s="835" t="s">
        <v>1441</v>
      </c>
      <c r="AB183" s="827" t="s">
        <v>1440</v>
      </c>
      <c r="AC183" s="831">
        <v>0</v>
      </c>
      <c r="AD183" s="832">
        <v>1</v>
      </c>
      <c r="AE183" s="827" t="s">
        <v>18</v>
      </c>
      <c r="AF183" s="827" t="s">
        <v>24</v>
      </c>
      <c r="AG183" s="827" t="s">
        <v>204</v>
      </c>
      <c r="AH183" s="827" t="s">
        <v>635</v>
      </c>
      <c r="AI183" s="827" t="s">
        <v>204</v>
      </c>
      <c r="AJ183" s="827" t="s">
        <v>204</v>
      </c>
      <c r="AK183" s="827" t="s">
        <v>1444</v>
      </c>
      <c r="AL183" s="827" t="s">
        <v>296</v>
      </c>
      <c r="AM183" s="903">
        <v>1</v>
      </c>
      <c r="AN183" s="827" t="str">
        <f>+AB183</f>
        <v>Establecer las políticas y lineamientos en las comunicaciones externas e internas de la ADRES</v>
      </c>
      <c r="AO183" s="833">
        <f t="shared" si="457"/>
        <v>0</v>
      </c>
      <c r="AP183" s="860" t="s">
        <v>48</v>
      </c>
      <c r="AQ183" s="66">
        <v>0</v>
      </c>
      <c r="AR183" s="827" t="str">
        <f t="shared" ref="AR183" si="458">+AN183</f>
        <v>Establecer las políticas y lineamientos en las comunicaciones externas e internas de la ADRES</v>
      </c>
      <c r="AS183" s="831">
        <f>+AO183/4</f>
        <v>0</v>
      </c>
      <c r="AT183" s="473"/>
      <c r="AU183" s="831"/>
      <c r="AV183" s="828" t="e">
        <f t="shared" ref="AV183" si="459">+(AT183/AQ183)</f>
        <v>#DIV/0!</v>
      </c>
      <c r="AW183" s="828" t="e">
        <f t="shared" ref="AW183" si="460">+(AU183/AS183)</f>
        <v>#DIV/0!</v>
      </c>
      <c r="AX183" s="828">
        <f t="shared" ref="AX183" si="461">+(AT183/AM183)</f>
        <v>0</v>
      </c>
      <c r="AY183" s="828" t="e">
        <f t="shared" ref="AY183" si="462">+(AU183/AO183)</f>
        <v>#DIV/0!</v>
      </c>
      <c r="AZ183" s="497"/>
      <c r="BA183" s="66">
        <v>0</v>
      </c>
      <c r="BB183" s="827" t="str">
        <f t="shared" ref="BB183" si="463">+AN183</f>
        <v>Establecer las políticas y lineamientos en las comunicaciones externas e internas de la ADRES</v>
      </c>
      <c r="BC183" s="831">
        <f>+AO183/4</f>
        <v>0</v>
      </c>
      <c r="BD183" s="838">
        <v>0</v>
      </c>
      <c r="BE183" s="831">
        <v>0</v>
      </c>
      <c r="BF183" s="828" t="e">
        <f t="shared" ref="BF183" si="464">+(BD183/BA183)</f>
        <v>#DIV/0!</v>
      </c>
      <c r="BG183" s="828" t="e">
        <f t="shared" ref="BG183" si="465">+(BE183/BC183)</f>
        <v>#DIV/0!</v>
      </c>
      <c r="BH183" s="828">
        <f t="shared" ref="BH183" si="466">+(BD183+AT183)/AM183</f>
        <v>0</v>
      </c>
      <c r="BI183" s="828" t="e">
        <f t="shared" ref="BI183" si="467">+(BE183+AU183)/AO183</f>
        <v>#DIV/0!</v>
      </c>
      <c r="BJ183" s="830"/>
      <c r="BK183" s="66">
        <v>0</v>
      </c>
      <c r="BL183" s="827" t="str">
        <f t="shared" ref="BL183" si="468">+AN183</f>
        <v>Establecer las políticas y lineamientos en las comunicaciones externas e internas de la ADRES</v>
      </c>
      <c r="BM183" s="831">
        <f>+AO183/4</f>
        <v>0</v>
      </c>
      <c r="BN183" s="982">
        <v>0</v>
      </c>
      <c r="BO183" s="981">
        <v>0</v>
      </c>
      <c r="BP183" s="828" t="e">
        <f t="shared" ref="BP183" si="469">+(BN183/BK183)</f>
        <v>#DIV/0!</v>
      </c>
      <c r="BQ183" s="828" t="e">
        <f t="shared" ref="BQ183" si="470">+(BO183/BM183)</f>
        <v>#DIV/0!</v>
      </c>
      <c r="BR183" s="828">
        <f t="shared" ref="BR183" si="471">+(BD183+AT183+BN183)/AM183</f>
        <v>0</v>
      </c>
      <c r="BS183" s="828" t="e">
        <f t="shared" ref="BS183" si="472">+(BE183+AU183+BO183)/AO183</f>
        <v>#DIV/0!</v>
      </c>
      <c r="BT183" s="984" t="s">
        <v>1870</v>
      </c>
      <c r="BU183" s="66">
        <v>1</v>
      </c>
      <c r="BV183" s="827" t="str">
        <f t="shared" ref="BV183" si="473">+AN183</f>
        <v>Establecer las políticas y lineamientos en las comunicaciones externas e internas de la ADRES</v>
      </c>
      <c r="BW183" s="831">
        <f>+AO183/4</f>
        <v>0</v>
      </c>
      <c r="BX183" s="835"/>
      <c r="BY183" s="835"/>
      <c r="BZ183" s="826">
        <f t="shared" ref="BZ183" si="474">+(BX183/BU183)</f>
        <v>0</v>
      </c>
      <c r="CA183" s="826" t="e">
        <f t="shared" ref="CA183" si="475">+(BY183/BW183)</f>
        <v>#DIV/0!</v>
      </c>
      <c r="CB183" s="826">
        <f t="shared" ref="CB183" si="476">+(BD183+AT183+BN183+BX183)/AM183</f>
        <v>0</v>
      </c>
      <c r="CC183" s="826" t="e">
        <f t="shared" ref="CC183" si="477">+(BE183+AU183+BO183+BY183)/AO183</f>
        <v>#DIV/0!</v>
      </c>
      <c r="CD183" s="826"/>
      <c r="CE183" s="640" t="str">
        <f t="shared" ref="CE183" si="478">IF(AND(AQ183=0,AT183=0),"No Prog ni Ejec",IF(AQ183=0,CONCATENATE("No Prog, Ejec=  ",AT183),AT183/AQ183))</f>
        <v>No Prog ni Ejec</v>
      </c>
      <c r="CF183" s="640" t="str">
        <f t="shared" ref="CF183" si="479">IF(AND(AS183=0,AU183=0),"No Prog ni Ejec",IF(AS183=0,CONCATENATE("No Prog, Ejec=  ",AU183),AU183/AS183))</f>
        <v>No Prog ni Ejec</v>
      </c>
      <c r="CG183" s="640" t="str">
        <f t="shared" ref="CG183" si="480">IF(AND(BA183=0,BD183=0),"No Prog ni Ejec",IF(BA183=0,CONCATENATE("No Prog, Ejec=  ",BD183),BD183/BA183))</f>
        <v>No Prog ni Ejec</v>
      </c>
      <c r="CH183" s="640" t="str">
        <f t="shared" ref="CH183" si="481">IF(AND(BC183=0,BE183=0),"No Prog ni Ejec",IF(BC183=0,CONCATENATE("No Prog, Ejec=  ",BE183),BE183/BC183))</f>
        <v>No Prog ni Ejec</v>
      </c>
      <c r="CI183" s="640" t="str">
        <f t="shared" ref="CI183" si="482">IF(AND(BK183=0,BN183=0),"No Prog ni Ejec",IF(BK183=0,CONCATENATE("No Prog, Ejec=  ",BN183),BN183/BK183))</f>
        <v>No Prog ni Ejec</v>
      </c>
      <c r="CJ183" s="640" t="str">
        <f t="shared" ref="CJ183" si="483">IF(AND(BM183=0,BO183=0),"No Prog ni Ejec",IF(BM183=0,CONCATENATE("No Prog, Ejec=  ",BO183),BO183/BM183))</f>
        <v>No Prog ni Ejec</v>
      </c>
      <c r="CK183" s="640">
        <f t="shared" ref="CK183" si="484">IF(AND(BU183=0,BX183=0),"No Prog ni Ejec",IF(BU183=0,CONCATENATE("No Prog, Ejec=  ",BX183),BX183/BU183))</f>
        <v>0</v>
      </c>
      <c r="CL183" s="698" t="str">
        <f t="shared" ref="CL183" si="485">IF(AND(BW183=0,BY183=0),"No Prog ni Ejec",IF(BW183=0,CONCATENATE("No Prog, Ejec=  ",BY183),BY183/BW183))</f>
        <v>No Prog ni Ejec</v>
      </c>
      <c r="CM183" s="128">
        <f t="shared" ref="CM183" si="486">+AC183-AS183-BC183-BM183-BW183</f>
        <v>0</v>
      </c>
      <c r="CR183" s="6"/>
      <c r="CS183" s="6"/>
      <c r="CT183" s="6"/>
      <c r="CU183" s="6"/>
      <c r="CV183" s="6"/>
      <c r="CW183" s="6"/>
      <c r="CX183" s="6"/>
      <c r="CY183" s="6"/>
      <c r="CZ183" s="6"/>
      <c r="DA183" s="6"/>
      <c r="DB183" s="6"/>
      <c r="DC183" s="6"/>
    </row>
    <row r="184" spans="1:107" s="567" customFormat="1" ht="89.25" x14ac:dyDescent="0.25">
      <c r="A184" s="834">
        <v>11200</v>
      </c>
      <c r="B184" s="827" t="s">
        <v>1</v>
      </c>
      <c r="C184" s="827" t="s">
        <v>330</v>
      </c>
      <c r="D184" s="903"/>
      <c r="E184" s="903" t="s">
        <v>1020</v>
      </c>
      <c r="F184" s="903"/>
      <c r="G184" s="903"/>
      <c r="H184" s="903"/>
      <c r="I184" s="903"/>
      <c r="J184" s="903"/>
      <c r="K184" s="903"/>
      <c r="L184" s="903"/>
      <c r="M184" s="903"/>
      <c r="N184" s="903"/>
      <c r="O184" s="903"/>
      <c r="P184" s="903"/>
      <c r="Q184" s="827" t="s">
        <v>204</v>
      </c>
      <c r="R184" s="827" t="s">
        <v>204</v>
      </c>
      <c r="S184" s="835" t="s">
        <v>111</v>
      </c>
      <c r="T184" s="827" t="s">
        <v>94</v>
      </c>
      <c r="U184" s="827" t="s">
        <v>204</v>
      </c>
      <c r="V184" s="827" t="s">
        <v>204</v>
      </c>
      <c r="W184" s="835" t="s">
        <v>1450</v>
      </c>
      <c r="X184" s="827" t="s">
        <v>1452</v>
      </c>
      <c r="Y184" s="838" t="s">
        <v>52</v>
      </c>
      <c r="Z184" s="66">
        <v>3</v>
      </c>
      <c r="AA184" s="835" t="s">
        <v>1461</v>
      </c>
      <c r="AB184" s="827" t="s">
        <v>1451</v>
      </c>
      <c r="AC184" s="831">
        <v>0</v>
      </c>
      <c r="AD184" s="832">
        <v>1</v>
      </c>
      <c r="AE184" s="827" t="s">
        <v>18</v>
      </c>
      <c r="AF184" s="827" t="s">
        <v>24</v>
      </c>
      <c r="AG184" s="827" t="s">
        <v>204</v>
      </c>
      <c r="AH184" s="827" t="s">
        <v>635</v>
      </c>
      <c r="AI184" s="827" t="s">
        <v>204</v>
      </c>
      <c r="AJ184" s="827" t="s">
        <v>204</v>
      </c>
      <c r="AK184" s="827" t="s">
        <v>1453</v>
      </c>
      <c r="AL184" s="827" t="s">
        <v>296</v>
      </c>
      <c r="AM184" s="903">
        <v>3</v>
      </c>
      <c r="AN184" s="827" t="s">
        <v>1440</v>
      </c>
      <c r="AO184" s="833">
        <v>0</v>
      </c>
      <c r="AP184" s="66">
        <v>0</v>
      </c>
      <c r="AQ184" s="66">
        <v>0</v>
      </c>
      <c r="AR184" s="827" t="str">
        <f t="shared" ref="AR184" si="487">+AN184</f>
        <v>Establecer las políticas y lineamientos en las comunicaciones externas e internas de la ADRES</v>
      </c>
      <c r="AS184" s="831">
        <f>+AO184/4</f>
        <v>0</v>
      </c>
      <c r="AT184" s="473"/>
      <c r="AU184" s="831"/>
      <c r="AV184" s="828" t="e">
        <f t="shared" ref="AV184" si="488">+(AT184/AQ184)</f>
        <v>#DIV/0!</v>
      </c>
      <c r="AW184" s="828" t="e">
        <f t="shared" ref="AW184" si="489">+(AU184/AS184)</f>
        <v>#DIV/0!</v>
      </c>
      <c r="AX184" s="828">
        <f t="shared" ref="AX184" si="490">+(AT184/AM184)</f>
        <v>0</v>
      </c>
      <c r="AY184" s="828" t="e">
        <f t="shared" ref="AY184" si="491">+(AU184/AO184)</f>
        <v>#DIV/0!</v>
      </c>
      <c r="AZ184" s="497"/>
      <c r="BA184" s="66">
        <v>1</v>
      </c>
      <c r="BB184" s="827" t="str">
        <f t="shared" ref="BB184" si="492">+AN184</f>
        <v>Establecer las políticas y lineamientos en las comunicaciones externas e internas de la ADRES</v>
      </c>
      <c r="BC184" s="831">
        <f>+AO184/4</f>
        <v>0</v>
      </c>
      <c r="BD184" s="838">
        <v>2</v>
      </c>
      <c r="BE184" s="831">
        <v>0</v>
      </c>
      <c r="BF184" s="828">
        <f t="shared" ref="BF184" si="493">+(BD184/BA184)</f>
        <v>2</v>
      </c>
      <c r="BG184" s="828" t="e">
        <f t="shared" ref="BG184" si="494">+(BE184/BC184)</f>
        <v>#DIV/0!</v>
      </c>
      <c r="BH184" s="828">
        <f t="shared" ref="BH184" si="495">+(BD184+AT184)/AM184</f>
        <v>0.66666666666666663</v>
      </c>
      <c r="BI184" s="828" t="e">
        <f t="shared" ref="BI184" si="496">+(BE184+AU184)/AO184</f>
        <v>#DIV/0!</v>
      </c>
      <c r="BJ184" s="830"/>
      <c r="BK184" s="66">
        <v>1</v>
      </c>
      <c r="BL184" s="827" t="str">
        <f t="shared" ref="BL184" si="497">+AN184</f>
        <v>Establecer las políticas y lineamientos en las comunicaciones externas e internas de la ADRES</v>
      </c>
      <c r="BM184" s="831">
        <f>+AO184/4</f>
        <v>0</v>
      </c>
      <c r="BN184" s="982">
        <v>1</v>
      </c>
      <c r="BO184" s="981">
        <v>0</v>
      </c>
      <c r="BP184" s="828">
        <f t="shared" ref="BP184" si="498">+(BN184/BK184)</f>
        <v>1</v>
      </c>
      <c r="BQ184" s="828" t="e">
        <f t="shared" ref="BQ184" si="499">+(BO184/BM184)</f>
        <v>#DIV/0!</v>
      </c>
      <c r="BR184" s="828">
        <f t="shared" ref="BR184" si="500">+(BD184+AT184+BN184)/AM184</f>
        <v>1</v>
      </c>
      <c r="BS184" s="828" t="e">
        <f t="shared" ref="BS184" si="501">+(BE184+AU184+BO184)/AO184</f>
        <v>#DIV/0!</v>
      </c>
      <c r="BT184" s="984" t="s">
        <v>1871</v>
      </c>
      <c r="BU184" s="66">
        <v>1</v>
      </c>
      <c r="BV184" s="827" t="str">
        <f t="shared" ref="BV184" si="502">+AN184</f>
        <v>Establecer las políticas y lineamientos en las comunicaciones externas e internas de la ADRES</v>
      </c>
      <c r="BW184" s="831">
        <f>+AO184/4</f>
        <v>0</v>
      </c>
      <c r="BX184" s="835"/>
      <c r="BY184" s="835"/>
      <c r="BZ184" s="826">
        <f t="shared" ref="BZ184" si="503">+(BX184/BU184)</f>
        <v>0</v>
      </c>
      <c r="CA184" s="826" t="e">
        <f t="shared" ref="CA184" si="504">+(BY184/BW184)</f>
        <v>#DIV/0!</v>
      </c>
      <c r="CB184" s="826">
        <f t="shared" ref="CB184" si="505">+(BD184+AT184+BN184+BX184)/AM184</f>
        <v>1</v>
      </c>
      <c r="CC184" s="826" t="e">
        <f t="shared" ref="CC184" si="506">+(BE184+AU184+BO184+BY184)/AO184</f>
        <v>#DIV/0!</v>
      </c>
      <c r="CD184" s="826"/>
      <c r="CE184" s="640" t="str">
        <f t="shared" ref="CE184" si="507">IF(AND(AQ184=0,AT184=0),"No Prog ni Ejec",IF(AQ184=0,CONCATENATE("No Prog, Ejec=  ",AT184),AT184/AQ184))</f>
        <v>No Prog ni Ejec</v>
      </c>
      <c r="CF184" s="640" t="str">
        <f t="shared" ref="CF184" si="508">IF(AND(AS184=0,AU184=0),"No Prog ni Ejec",IF(AS184=0,CONCATENATE("No Prog, Ejec=  ",AU184),AU184/AS184))</f>
        <v>No Prog ni Ejec</v>
      </c>
      <c r="CG184" s="640">
        <f t="shared" ref="CG184" si="509">IF(AND(BA184=0,BD184=0),"No Prog ni Ejec",IF(BA184=0,CONCATENATE("No Prog, Ejec=  ",BD184),BD184/BA184))</f>
        <v>2</v>
      </c>
      <c r="CH184" s="640" t="str">
        <f t="shared" ref="CH184" si="510">IF(AND(BC184=0,BE184=0),"No Prog ni Ejec",IF(BC184=0,CONCATENATE("No Prog, Ejec=  ",BE184),BE184/BC184))</f>
        <v>No Prog ni Ejec</v>
      </c>
      <c r="CI184" s="640">
        <f t="shared" ref="CI184" si="511">IF(AND(BK184=0,BN184=0),"No Prog ni Ejec",IF(BK184=0,CONCATENATE("No Prog, Ejec=  ",BN184),BN184/BK184))</f>
        <v>1</v>
      </c>
      <c r="CJ184" s="640" t="str">
        <f t="shared" ref="CJ184" si="512">IF(AND(BM184=0,BO184=0),"No Prog ni Ejec",IF(BM184=0,CONCATENATE("No Prog, Ejec=  ",BO184),BO184/BM184))</f>
        <v>No Prog ni Ejec</v>
      </c>
      <c r="CK184" s="640">
        <f t="shared" ref="CK184" si="513">IF(AND(BU184=0,BX184=0),"No Prog ni Ejec",IF(BU184=0,CONCATENATE("No Prog, Ejec=  ",BX184),BX184/BU184))</f>
        <v>0</v>
      </c>
      <c r="CL184" s="698" t="str">
        <f t="shared" ref="CL184" si="514">IF(AND(BW184=0,BY184=0),"No Prog ni Ejec",IF(BW184=0,CONCATENATE("No Prog, Ejec=  ",BY184),BY184/BW184))</f>
        <v>No Prog ni Ejec</v>
      </c>
      <c r="CM184" s="128">
        <f t="shared" ref="CM184" si="515">+AC184-AS184-BC184-BM184-BW184</f>
        <v>0</v>
      </c>
      <c r="CR184" s="6"/>
      <c r="CS184" s="6"/>
      <c r="CT184" s="6"/>
      <c r="CU184" s="6"/>
      <c r="CV184" s="6"/>
      <c r="CW184" s="6"/>
      <c r="CX184" s="6"/>
      <c r="CY184" s="6"/>
      <c r="CZ184" s="6"/>
      <c r="DA184" s="6"/>
      <c r="DB184" s="6"/>
      <c r="DC184" s="6"/>
    </row>
    <row r="185" spans="1:107" ht="89.25" x14ac:dyDescent="0.25">
      <c r="A185" s="834">
        <v>11200</v>
      </c>
      <c r="B185" s="827" t="s">
        <v>1</v>
      </c>
      <c r="C185" s="827" t="s">
        <v>330</v>
      </c>
      <c r="D185" s="904"/>
      <c r="E185" s="904" t="s">
        <v>1020</v>
      </c>
      <c r="F185" s="904"/>
      <c r="G185" s="904"/>
      <c r="H185" s="904"/>
      <c r="I185" s="904"/>
      <c r="J185" s="904"/>
      <c r="K185" s="904"/>
      <c r="L185" s="904"/>
      <c r="M185" s="904"/>
      <c r="N185" s="904"/>
      <c r="O185" s="904"/>
      <c r="P185" s="904"/>
      <c r="Q185" s="904" t="s">
        <v>204</v>
      </c>
      <c r="R185" s="827" t="s">
        <v>204</v>
      </c>
      <c r="S185" s="835" t="s">
        <v>111</v>
      </c>
      <c r="T185" s="827" t="s">
        <v>94</v>
      </c>
      <c r="U185" s="827" t="s">
        <v>204</v>
      </c>
      <c r="V185" s="827" t="s">
        <v>204</v>
      </c>
      <c r="W185" s="835" t="s">
        <v>1457</v>
      </c>
      <c r="X185" s="827" t="s">
        <v>1448</v>
      </c>
      <c r="Y185" s="838" t="s">
        <v>52</v>
      </c>
      <c r="Z185" s="66">
        <v>1</v>
      </c>
      <c r="AA185" s="835" t="s">
        <v>1460</v>
      </c>
      <c r="AB185" s="827" t="s">
        <v>1447</v>
      </c>
      <c r="AC185" s="831">
        <v>0</v>
      </c>
      <c r="AD185" s="832">
        <v>1</v>
      </c>
      <c r="AE185" s="827" t="s">
        <v>18</v>
      </c>
      <c r="AF185" s="827" t="s">
        <v>24</v>
      </c>
      <c r="AG185" s="827" t="s">
        <v>204</v>
      </c>
      <c r="AH185" s="827" t="s">
        <v>635</v>
      </c>
      <c r="AI185" s="827" t="s">
        <v>204</v>
      </c>
      <c r="AJ185" s="827" t="s">
        <v>204</v>
      </c>
      <c r="AK185" s="827" t="s">
        <v>1449</v>
      </c>
      <c r="AL185" s="827" t="s">
        <v>204</v>
      </c>
      <c r="AM185" s="66">
        <v>1</v>
      </c>
      <c r="AN185" s="827" t="str">
        <f>+AB185</f>
        <v>Establecer los canales, actividades, lenguajes, y demás requerimientos para fortalecer la comunicación al interior del talento humano institucional</v>
      </c>
      <c r="AO185" s="833">
        <f t="shared" ref="AO185" si="516">+AC185</f>
        <v>0</v>
      </c>
      <c r="AP185" s="860" t="s">
        <v>48</v>
      </c>
      <c r="AQ185" s="66">
        <v>0</v>
      </c>
      <c r="AR185" s="827" t="str">
        <f t="shared" ref="AR185" si="517">+AN185</f>
        <v>Establecer los canales, actividades, lenguajes, y demás requerimientos para fortalecer la comunicación al interior del talento humano institucional</v>
      </c>
      <c r="AS185" s="831">
        <f>+AO185/4</f>
        <v>0</v>
      </c>
      <c r="AT185" s="473"/>
      <c r="AU185" s="831"/>
      <c r="AV185" s="828" t="e">
        <f t="shared" ref="AV185" si="518">+(AT185/AQ185)</f>
        <v>#DIV/0!</v>
      </c>
      <c r="AW185" s="828" t="e">
        <f t="shared" ref="AW185" si="519">+(AU185/AS185)</f>
        <v>#DIV/0!</v>
      </c>
      <c r="AX185" s="828">
        <f t="shared" ref="AX185" si="520">+(AT185/AM185)</f>
        <v>0</v>
      </c>
      <c r="AY185" s="828" t="e">
        <f t="shared" ref="AY185" si="521">+(AU185/AO185)</f>
        <v>#DIV/0!</v>
      </c>
      <c r="AZ185" s="497"/>
      <c r="BA185" s="66">
        <v>0</v>
      </c>
      <c r="BB185" s="827" t="str">
        <f t="shared" ref="BB185" si="522">+AN185</f>
        <v>Establecer los canales, actividades, lenguajes, y demás requerimientos para fortalecer la comunicación al interior del talento humano institucional</v>
      </c>
      <c r="BC185" s="831">
        <f>+AO185/4</f>
        <v>0</v>
      </c>
      <c r="BD185" s="838">
        <v>0</v>
      </c>
      <c r="BE185" s="831">
        <v>0</v>
      </c>
      <c r="BF185" s="828" t="e">
        <f t="shared" ref="BF185" si="523">+(BD185/BA185)</f>
        <v>#DIV/0!</v>
      </c>
      <c r="BG185" s="828" t="e">
        <f t="shared" ref="BG185" si="524">+(BE185/BC185)</f>
        <v>#DIV/0!</v>
      </c>
      <c r="BH185" s="828">
        <f t="shared" ref="BH185" si="525">+(BD185+AT185)/AM185</f>
        <v>0</v>
      </c>
      <c r="BI185" s="828" t="e">
        <f t="shared" ref="BI185" si="526">+(BE185+AU185)/AO185</f>
        <v>#DIV/0!</v>
      </c>
      <c r="BJ185" s="830"/>
      <c r="BK185" s="66">
        <v>0</v>
      </c>
      <c r="BL185" s="827" t="str">
        <f t="shared" ref="BL185" si="527">+AN185</f>
        <v>Establecer los canales, actividades, lenguajes, y demás requerimientos para fortalecer la comunicación al interior del talento humano institucional</v>
      </c>
      <c r="BM185" s="831">
        <f>+AO185/4</f>
        <v>0</v>
      </c>
      <c r="BN185" s="982">
        <v>0</v>
      </c>
      <c r="BO185" s="981">
        <v>0</v>
      </c>
      <c r="BP185" s="828" t="e">
        <f t="shared" ref="BP185" si="528">+(BN185/BK185)</f>
        <v>#DIV/0!</v>
      </c>
      <c r="BQ185" s="828" t="e">
        <f t="shared" ref="BQ185" si="529">+(BO185/BM185)</f>
        <v>#DIV/0!</v>
      </c>
      <c r="BR185" s="828">
        <f t="shared" ref="BR185" si="530">+(BD185+AT185+BN185)/AM185</f>
        <v>0</v>
      </c>
      <c r="BS185" s="828" t="e">
        <f t="shared" ref="BS185" si="531">+(BE185+AU185+BO185)/AO185</f>
        <v>#DIV/0!</v>
      </c>
      <c r="BT185" s="984" t="s">
        <v>1872</v>
      </c>
      <c r="BU185" s="66">
        <v>1</v>
      </c>
      <c r="BV185" s="827" t="str">
        <f t="shared" ref="BV185" si="532">+AN185</f>
        <v>Establecer los canales, actividades, lenguajes, y demás requerimientos para fortalecer la comunicación al interior del talento humano institucional</v>
      </c>
      <c r="BW185" s="831">
        <f>+AO185/4</f>
        <v>0</v>
      </c>
      <c r="BX185" s="835"/>
      <c r="BY185" s="835"/>
      <c r="BZ185" s="826">
        <f t="shared" ref="BZ185" si="533">+(BX185/BU185)</f>
        <v>0</v>
      </c>
      <c r="CA185" s="826" t="e">
        <f t="shared" ref="CA185" si="534">+(BY185/BW185)</f>
        <v>#DIV/0!</v>
      </c>
      <c r="CB185" s="826">
        <f t="shared" ref="CB185" si="535">+(BD185+AT185+BN185+BX185)/AM185</f>
        <v>0</v>
      </c>
      <c r="CC185" s="826" t="e">
        <f t="shared" ref="CC185" si="536">+(BE185+AU185+BO185+BY185)/AO185</f>
        <v>#DIV/0!</v>
      </c>
      <c r="CD185" s="826"/>
      <c r="CE185" s="640" t="str">
        <f t="shared" ref="CE185" si="537">IF(AND(AQ185=0,AT185=0),"No Prog ni Ejec",IF(AQ185=0,CONCATENATE("No Prog, Ejec=  ",AT185),AT185/AQ185))</f>
        <v>No Prog ni Ejec</v>
      </c>
      <c r="CF185" s="640" t="str">
        <f t="shared" ref="CF185" si="538">IF(AND(AS185=0,AU185=0),"No Prog ni Ejec",IF(AS185=0,CONCATENATE("No Prog, Ejec=  ",AU185),AU185/AS185))</f>
        <v>No Prog ni Ejec</v>
      </c>
      <c r="CG185" s="640" t="str">
        <f t="shared" ref="CG185" si="539">IF(AND(BA185=0,BD185=0),"No Prog ni Ejec",IF(BA185=0,CONCATENATE("No Prog, Ejec=  ",BD185),BD185/BA185))</f>
        <v>No Prog ni Ejec</v>
      </c>
      <c r="CH185" s="640" t="str">
        <f t="shared" ref="CH185" si="540">IF(AND(BC185=0,BE185=0),"No Prog ni Ejec",IF(BC185=0,CONCATENATE("No Prog, Ejec=  ",BE185),BE185/BC185))</f>
        <v>No Prog ni Ejec</v>
      </c>
      <c r="CI185" s="640" t="str">
        <f t="shared" ref="CI185" si="541">IF(AND(BK185=0,BN185=0),"No Prog ni Ejec",IF(BK185=0,CONCATENATE("No Prog, Ejec=  ",BN185),BN185/BK185))</f>
        <v>No Prog ni Ejec</v>
      </c>
      <c r="CJ185" s="640" t="str">
        <f t="shared" ref="CJ185" si="542">IF(AND(BM185=0,BO185=0),"No Prog ni Ejec",IF(BM185=0,CONCATENATE("No Prog, Ejec=  ",BO185),BO185/BM185))</f>
        <v>No Prog ni Ejec</v>
      </c>
      <c r="CK185" s="640">
        <f t="shared" ref="CK185" si="543">IF(AND(BU185=0,BX185=0),"No Prog ni Ejec",IF(BU185=0,CONCATENATE("No Prog, Ejec=  ",BX185),BX185/BU185))</f>
        <v>0</v>
      </c>
      <c r="CL185" s="698" t="str">
        <f t="shared" ref="CL185" si="544">IF(AND(BW185=0,BY185=0),"No Prog ni Ejec",IF(BW185=0,CONCATENATE("No Prog, Ejec=  ",BY185),BY185/BW185))</f>
        <v>No Prog ni Ejec</v>
      </c>
    </row>
    <row r="186" spans="1:107" ht="89.25" x14ac:dyDescent="0.25">
      <c r="A186" s="834">
        <v>11200</v>
      </c>
      <c r="B186" s="827" t="s">
        <v>1</v>
      </c>
      <c r="C186" s="827" t="s">
        <v>330</v>
      </c>
      <c r="D186" s="904"/>
      <c r="E186" s="904" t="s">
        <v>1020</v>
      </c>
      <c r="F186" s="904"/>
      <c r="G186" s="904"/>
      <c r="H186" s="904"/>
      <c r="I186" s="904"/>
      <c r="J186" s="904"/>
      <c r="K186" s="904"/>
      <c r="L186" s="904"/>
      <c r="M186" s="904"/>
      <c r="N186" s="904"/>
      <c r="O186" s="904"/>
      <c r="P186" s="904"/>
      <c r="Q186" s="904" t="s">
        <v>204</v>
      </c>
      <c r="R186" s="827" t="s">
        <v>204</v>
      </c>
      <c r="S186" s="835" t="s">
        <v>111</v>
      </c>
      <c r="T186" s="827" t="s">
        <v>94</v>
      </c>
      <c r="U186" s="827" t="s">
        <v>204</v>
      </c>
      <c r="V186" s="827" t="s">
        <v>204</v>
      </c>
      <c r="W186" s="835" t="s">
        <v>1458</v>
      </c>
      <c r="X186" s="827" t="s">
        <v>1455</v>
      </c>
      <c r="Y186" s="838" t="s">
        <v>52</v>
      </c>
      <c r="Z186" s="66">
        <v>1</v>
      </c>
      <c r="AA186" s="835" t="s">
        <v>1459</v>
      </c>
      <c r="AB186" s="827" t="s">
        <v>1454</v>
      </c>
      <c r="AC186" s="831">
        <v>0</v>
      </c>
      <c r="AD186" s="832">
        <v>1</v>
      </c>
      <c r="AE186" s="827" t="s">
        <v>18</v>
      </c>
      <c r="AF186" s="827" t="s">
        <v>24</v>
      </c>
      <c r="AG186" s="827" t="s">
        <v>204</v>
      </c>
      <c r="AH186" s="827" t="s">
        <v>635</v>
      </c>
      <c r="AI186" s="827" t="s">
        <v>204</v>
      </c>
      <c r="AJ186" s="827" t="s">
        <v>204</v>
      </c>
      <c r="AK186" s="827" t="s">
        <v>1456</v>
      </c>
      <c r="AL186" s="827" t="s">
        <v>204</v>
      </c>
      <c r="AM186" s="66">
        <v>1</v>
      </c>
      <c r="AN186" s="827" t="str">
        <f>+AB186</f>
        <v>Establecer los canales, actividades, temáticas y lenguajes, y demás requerimientos para fortalecer la comunicación digital de la entidad.</v>
      </c>
      <c r="AO186" s="833">
        <f t="shared" ref="AO186" si="545">+AC186</f>
        <v>0</v>
      </c>
      <c r="AP186" s="860" t="s">
        <v>48</v>
      </c>
      <c r="AQ186" s="66">
        <v>0</v>
      </c>
      <c r="AR186" s="827" t="str">
        <f t="shared" ref="AR186:AR188" si="546">+AN186</f>
        <v>Establecer los canales, actividades, temáticas y lenguajes, y demás requerimientos para fortalecer la comunicación digital de la entidad.</v>
      </c>
      <c r="AS186" s="831">
        <f>+AO186/4</f>
        <v>0</v>
      </c>
      <c r="AT186" s="473"/>
      <c r="AU186" s="831"/>
      <c r="AV186" s="828" t="e">
        <f t="shared" ref="AV186:AV188" si="547">+(AT186/AQ186)</f>
        <v>#DIV/0!</v>
      </c>
      <c r="AW186" s="828" t="e">
        <f t="shared" ref="AW186:AW188" si="548">+(AU186/AS186)</f>
        <v>#DIV/0!</v>
      </c>
      <c r="AX186" s="828">
        <f t="shared" ref="AX186:AX188" si="549">+(AT186/AM186)</f>
        <v>0</v>
      </c>
      <c r="AY186" s="828" t="e">
        <f t="shared" ref="AY186:AY188" si="550">+(AU186/AO186)</f>
        <v>#DIV/0!</v>
      </c>
      <c r="AZ186" s="497"/>
      <c r="BA186" s="66">
        <v>0</v>
      </c>
      <c r="BB186" s="827" t="str">
        <f t="shared" ref="BB186:BB188" si="551">+AN186</f>
        <v>Establecer los canales, actividades, temáticas y lenguajes, y demás requerimientos para fortalecer la comunicación digital de la entidad.</v>
      </c>
      <c r="BC186" s="831">
        <f>+AO186/4</f>
        <v>0</v>
      </c>
      <c r="BD186" s="838">
        <v>0</v>
      </c>
      <c r="BE186" s="831">
        <v>0</v>
      </c>
      <c r="BF186" s="828" t="e">
        <f t="shared" ref="BF186:BF188" si="552">+(BD186/BA186)</f>
        <v>#DIV/0!</v>
      </c>
      <c r="BG186" s="828" t="e">
        <f t="shared" ref="BG186:BG188" si="553">+(BE186/BC186)</f>
        <v>#DIV/0!</v>
      </c>
      <c r="BH186" s="828">
        <f t="shared" ref="BH186:BH188" si="554">+(BD186+AT186)/AM186</f>
        <v>0</v>
      </c>
      <c r="BI186" s="828" t="e">
        <f t="shared" ref="BI186:BI188" si="555">+(BE186+AU186)/AO186</f>
        <v>#DIV/0!</v>
      </c>
      <c r="BJ186" s="830"/>
      <c r="BK186" s="66">
        <v>1</v>
      </c>
      <c r="BL186" s="827" t="str">
        <f t="shared" ref="BL186:BL188" si="556">+AN186</f>
        <v>Establecer los canales, actividades, temáticas y lenguajes, y demás requerimientos para fortalecer la comunicación digital de la entidad.</v>
      </c>
      <c r="BM186" s="831">
        <f>+AO186/4</f>
        <v>0</v>
      </c>
      <c r="BN186" s="982">
        <v>1</v>
      </c>
      <c r="BO186" s="981">
        <v>0</v>
      </c>
      <c r="BP186" s="828">
        <f t="shared" ref="BP186:BP188" si="557">+(BN186/BK186)</f>
        <v>1</v>
      </c>
      <c r="BQ186" s="828" t="e">
        <f t="shared" ref="BQ186:BQ188" si="558">+(BO186/BM186)</f>
        <v>#DIV/0!</v>
      </c>
      <c r="BR186" s="828">
        <f t="shared" ref="BR186:BR188" si="559">+(BD186+AT186+BN186)/AM186</f>
        <v>1</v>
      </c>
      <c r="BS186" s="828" t="e">
        <f t="shared" ref="BS186:BS188" si="560">+(BE186+AU186+BO186)/AO186</f>
        <v>#DIV/0!</v>
      </c>
      <c r="BT186" s="984" t="s">
        <v>1873</v>
      </c>
      <c r="BU186" s="66">
        <v>0</v>
      </c>
      <c r="BV186" s="827" t="str">
        <f t="shared" ref="BV186:BV188" si="561">+AN186</f>
        <v>Establecer los canales, actividades, temáticas y lenguajes, y demás requerimientos para fortalecer la comunicación digital de la entidad.</v>
      </c>
      <c r="BW186" s="831">
        <f>+AO186/4</f>
        <v>0</v>
      </c>
      <c r="BX186" s="835"/>
      <c r="BY186" s="835"/>
      <c r="BZ186" s="826" t="e">
        <f t="shared" ref="BZ186:BZ188" si="562">+(BX186/BU186)</f>
        <v>#DIV/0!</v>
      </c>
      <c r="CA186" s="826" t="e">
        <f t="shared" ref="CA186:CA187" si="563">+(BY186/BW186)</f>
        <v>#DIV/0!</v>
      </c>
      <c r="CB186" s="826">
        <f t="shared" ref="CB186:CB188" si="564">+(BD186+AT186+BN186+BX186)/AM186</f>
        <v>1</v>
      </c>
      <c r="CC186" s="826" t="e">
        <f t="shared" ref="CC186:CC187" si="565">+(BE186+AU186+BO186+BY186)/AO186</f>
        <v>#DIV/0!</v>
      </c>
      <c r="CD186" s="826"/>
      <c r="CE186" s="640" t="str">
        <f t="shared" ref="CE186:CE188" si="566">IF(AND(AQ186=0,AT186=0),"No Prog ni Ejec",IF(AQ186=0,CONCATENATE("No Prog, Ejec=  ",AT186),AT186/AQ186))</f>
        <v>No Prog ni Ejec</v>
      </c>
      <c r="CF186" s="640" t="str">
        <f t="shared" ref="CF186:CF188" si="567">IF(AND(AS186=0,AU186=0),"No Prog ni Ejec",IF(AS186=0,CONCATENATE("No Prog, Ejec=  ",AU186),AU186/AS186))</f>
        <v>No Prog ni Ejec</v>
      </c>
      <c r="CG186" s="640" t="str">
        <f t="shared" ref="CG186:CG188" si="568">IF(AND(BA186=0,BD186=0),"No Prog ni Ejec",IF(BA186=0,CONCATENATE("No Prog, Ejec=  ",BD186),BD186/BA186))</f>
        <v>No Prog ni Ejec</v>
      </c>
      <c r="CH186" s="640" t="str">
        <f t="shared" ref="CH186:CH188" si="569">IF(AND(BC186=0,BE186=0),"No Prog ni Ejec",IF(BC186=0,CONCATENATE("No Prog, Ejec=  ",BE186),BE186/BC186))</f>
        <v>No Prog ni Ejec</v>
      </c>
      <c r="CI186" s="640">
        <f t="shared" ref="CI186:CI188" si="570">IF(AND(BK186=0,BN186=0),"No Prog ni Ejec",IF(BK186=0,CONCATENATE("No Prog, Ejec=  ",BN186),BN186/BK186))</f>
        <v>1</v>
      </c>
      <c r="CJ186" s="640" t="str">
        <f t="shared" ref="CJ186:CJ188" si="571">IF(AND(BM186=0,BO186=0),"No Prog ni Ejec",IF(BM186=0,CONCATENATE("No Prog, Ejec=  ",BO186),BO186/BM186))</f>
        <v>No Prog ni Ejec</v>
      </c>
      <c r="CK186" s="640" t="str">
        <f t="shared" ref="CK186:CK188" si="572">IF(AND(BU186=0,BX186=0),"No Prog ni Ejec",IF(BU186=0,CONCATENATE("No Prog, Ejec=  ",BX186),BX186/BU186))</f>
        <v>No Prog ni Ejec</v>
      </c>
      <c r="CL186" s="698" t="str">
        <f t="shared" ref="CL186:CL188" si="573">IF(AND(BW186=0,BY186=0),"No Prog ni Ejec",IF(BW186=0,CONCATENATE("No Prog, Ejec=  ",BY186),BY186/BW186))</f>
        <v>No Prog ni Ejec</v>
      </c>
    </row>
    <row r="187" spans="1:107" ht="102" x14ac:dyDescent="0.25">
      <c r="A187" s="834">
        <v>11500</v>
      </c>
      <c r="B187" s="827" t="s">
        <v>13</v>
      </c>
      <c r="C187" s="827" t="s">
        <v>336</v>
      </c>
      <c r="D187" s="905" t="s">
        <v>1020</v>
      </c>
      <c r="E187" s="905"/>
      <c r="F187" s="905"/>
      <c r="G187" s="905"/>
      <c r="H187" s="905"/>
      <c r="I187" s="905"/>
      <c r="J187" s="905"/>
      <c r="K187" s="905"/>
      <c r="L187" s="905"/>
      <c r="M187" s="905"/>
      <c r="N187" s="905"/>
      <c r="O187" s="905"/>
      <c r="P187" s="905"/>
      <c r="Q187" s="827" t="s">
        <v>1127</v>
      </c>
      <c r="R187" s="827" t="s">
        <v>1785</v>
      </c>
      <c r="S187" s="835" t="s">
        <v>96</v>
      </c>
      <c r="T187" s="827" t="s">
        <v>94</v>
      </c>
      <c r="U187" s="827" t="s">
        <v>204</v>
      </c>
      <c r="V187" s="827" t="s">
        <v>204</v>
      </c>
      <c r="W187" s="835" t="s">
        <v>107</v>
      </c>
      <c r="X187" s="827" t="s">
        <v>1069</v>
      </c>
      <c r="Y187" s="838" t="s">
        <v>408</v>
      </c>
      <c r="Z187" s="66">
        <v>1</v>
      </c>
      <c r="AA187" s="835" t="s">
        <v>97</v>
      </c>
      <c r="AB187" s="827" t="s">
        <v>1068</v>
      </c>
      <c r="AC187" s="831">
        <v>0</v>
      </c>
      <c r="AD187" s="832">
        <v>1</v>
      </c>
      <c r="AE187" s="827" t="s">
        <v>17</v>
      </c>
      <c r="AF187" s="827" t="s">
        <v>299</v>
      </c>
      <c r="AG187" s="827" t="s">
        <v>204</v>
      </c>
      <c r="AH187" s="827" t="s">
        <v>635</v>
      </c>
      <c r="AI187" s="827" t="s">
        <v>71</v>
      </c>
      <c r="AJ187" s="827" t="s">
        <v>204</v>
      </c>
      <c r="AK187" s="827" t="s">
        <v>1067</v>
      </c>
      <c r="AL187" s="827" t="s">
        <v>42</v>
      </c>
      <c r="AM187" s="835">
        <v>1</v>
      </c>
      <c r="AN187" s="860" t="str">
        <f>+AB187</f>
        <v>Racionalizar el trámite “Reconocimiento y pago de prestaciones por concepto de atenciones médico-quirúrgicas a víctimas de eventos catastróficos, terroristas y de accidentes de tránsito” a través de la revisión y mejoramiento del formato FURPEN.</v>
      </c>
      <c r="AO187" s="833">
        <f>+AC187</f>
        <v>0</v>
      </c>
      <c r="AP187" s="860" t="s">
        <v>48</v>
      </c>
      <c r="AQ187" s="835">
        <v>0</v>
      </c>
      <c r="AR187" s="827" t="str">
        <f t="shared" si="546"/>
        <v>Racionalizar el trámite “Reconocimiento y pago de prestaciones por concepto de atenciones médico-quirúrgicas a víctimas de eventos catastróficos, terroristas y de accidentes de tránsito” a través de la revisión y mejoramiento del formato FURPEN.</v>
      </c>
      <c r="AS187" s="831">
        <f>+AO187/4</f>
        <v>0</v>
      </c>
      <c r="AT187" s="473">
        <v>0</v>
      </c>
      <c r="AU187" s="864">
        <v>0</v>
      </c>
      <c r="AV187" s="828" t="e">
        <f t="shared" si="547"/>
        <v>#DIV/0!</v>
      </c>
      <c r="AW187" s="828" t="e">
        <f t="shared" si="548"/>
        <v>#DIV/0!</v>
      </c>
      <c r="AX187" s="828">
        <f t="shared" si="549"/>
        <v>0</v>
      </c>
      <c r="AY187" s="828" t="e">
        <f t="shared" si="550"/>
        <v>#DIV/0!</v>
      </c>
      <c r="AZ187" s="493"/>
      <c r="BA187" s="835">
        <v>0</v>
      </c>
      <c r="BB187" s="827" t="str">
        <f t="shared" si="551"/>
        <v>Racionalizar el trámite “Reconocimiento y pago de prestaciones por concepto de atenciones médico-quirúrgicas a víctimas de eventos catastróficos, terroristas y de accidentes de tránsito” a través de la revisión y mejoramiento del formato FURPEN.</v>
      </c>
      <c r="BC187" s="831">
        <f>+AO187/4</f>
        <v>0</v>
      </c>
      <c r="BD187" s="838">
        <v>0</v>
      </c>
      <c r="BE187" s="831">
        <v>0</v>
      </c>
      <c r="BF187" s="828" t="e">
        <f t="shared" si="552"/>
        <v>#DIV/0!</v>
      </c>
      <c r="BG187" s="828" t="e">
        <f t="shared" si="553"/>
        <v>#DIV/0!</v>
      </c>
      <c r="BH187" s="828">
        <f t="shared" si="554"/>
        <v>0</v>
      </c>
      <c r="BI187" s="828" t="e">
        <f t="shared" si="555"/>
        <v>#DIV/0!</v>
      </c>
      <c r="BJ187" s="827" t="s">
        <v>1695</v>
      </c>
      <c r="BK187" s="835">
        <v>0</v>
      </c>
      <c r="BL187" s="827" t="str">
        <f t="shared" si="556"/>
        <v>Racionalizar el trámite “Reconocimiento y pago de prestaciones por concepto de atenciones médico-quirúrgicas a víctimas de eventos catastróficos, terroristas y de accidentes de tránsito” a través de la revisión y mejoramiento del formato FURPEN.</v>
      </c>
      <c r="BM187" s="831">
        <f>+AO187/4</f>
        <v>0</v>
      </c>
      <c r="BN187" s="835"/>
      <c r="BO187" s="835"/>
      <c r="BP187" s="828" t="e">
        <f t="shared" si="557"/>
        <v>#DIV/0!</v>
      </c>
      <c r="BQ187" s="828" t="e">
        <f t="shared" si="558"/>
        <v>#DIV/0!</v>
      </c>
      <c r="BR187" s="828">
        <f t="shared" si="559"/>
        <v>0</v>
      </c>
      <c r="BS187" s="828" t="e">
        <f t="shared" si="560"/>
        <v>#DIV/0!</v>
      </c>
      <c r="BT187" s="969" t="s">
        <v>1851</v>
      </c>
      <c r="BU187" s="835">
        <v>1</v>
      </c>
      <c r="BV187" s="827" t="str">
        <f t="shared" si="561"/>
        <v>Racionalizar el trámite “Reconocimiento y pago de prestaciones por concepto de atenciones médico-quirúrgicas a víctimas de eventos catastróficos, terroristas y de accidentes de tránsito” a través de la revisión y mejoramiento del formato FURPEN.</v>
      </c>
      <c r="BW187" s="831">
        <f>+AO187/4</f>
        <v>0</v>
      </c>
      <c r="BX187" s="835"/>
      <c r="BY187" s="835"/>
      <c r="BZ187" s="826">
        <f t="shared" si="562"/>
        <v>0</v>
      </c>
      <c r="CA187" s="826" t="e">
        <f t="shared" si="563"/>
        <v>#DIV/0!</v>
      </c>
      <c r="CB187" s="826">
        <f t="shared" si="564"/>
        <v>0</v>
      </c>
      <c r="CC187" s="826" t="e">
        <f t="shared" si="565"/>
        <v>#DIV/0!</v>
      </c>
      <c r="CD187" s="69"/>
      <c r="CE187" s="640" t="str">
        <f t="shared" si="566"/>
        <v>No Prog ni Ejec</v>
      </c>
      <c r="CF187" s="640" t="str">
        <f t="shared" si="567"/>
        <v>No Prog ni Ejec</v>
      </c>
      <c r="CG187" s="640" t="str">
        <f t="shared" si="568"/>
        <v>No Prog ni Ejec</v>
      </c>
      <c r="CH187" s="640" t="str">
        <f t="shared" si="569"/>
        <v>No Prog ni Ejec</v>
      </c>
      <c r="CI187" s="640" t="str">
        <f t="shared" si="570"/>
        <v>No Prog ni Ejec</v>
      </c>
      <c r="CJ187" s="640" t="str">
        <f t="shared" si="571"/>
        <v>No Prog ni Ejec</v>
      </c>
      <c r="CK187" s="640">
        <f t="shared" si="572"/>
        <v>0</v>
      </c>
      <c r="CL187" s="698" t="str">
        <f t="shared" si="573"/>
        <v>No Prog ni Ejec</v>
      </c>
      <c r="CM187" s="128">
        <f t="shared" ref="CM187:CM188" si="574">+AC187-AS187-BC187-BM187-BW187</f>
        <v>0</v>
      </c>
    </row>
    <row r="188" spans="1:107" s="567" customFormat="1" ht="141" thickBot="1" x14ac:dyDescent="0.3">
      <c r="A188" s="700">
        <v>11700</v>
      </c>
      <c r="B188" s="701" t="s">
        <v>14</v>
      </c>
      <c r="C188" s="701" t="s">
        <v>672</v>
      </c>
      <c r="D188" s="764"/>
      <c r="E188" s="764"/>
      <c r="F188" s="764"/>
      <c r="G188" s="764" t="s">
        <v>1020</v>
      </c>
      <c r="H188" s="764"/>
      <c r="I188" s="764" t="s">
        <v>1020</v>
      </c>
      <c r="J188" s="764"/>
      <c r="K188" s="764"/>
      <c r="L188" s="764" t="s">
        <v>1020</v>
      </c>
      <c r="M188" s="764"/>
      <c r="N188" s="764"/>
      <c r="O188" s="764"/>
      <c r="P188" s="764"/>
      <c r="Q188" s="893" t="s">
        <v>204</v>
      </c>
      <c r="R188" s="705" t="s">
        <v>204</v>
      </c>
      <c r="S188" s="731" t="s">
        <v>111</v>
      </c>
      <c r="T188" s="705" t="s">
        <v>94</v>
      </c>
      <c r="U188" s="705" t="s">
        <v>204</v>
      </c>
      <c r="V188" s="705" t="s">
        <v>204</v>
      </c>
      <c r="W188" s="702" t="s">
        <v>742</v>
      </c>
      <c r="X188" s="701" t="s">
        <v>694</v>
      </c>
      <c r="Y188" s="703" t="s">
        <v>391</v>
      </c>
      <c r="Z188" s="767">
        <v>1</v>
      </c>
      <c r="AA188" s="731" t="s">
        <v>720</v>
      </c>
      <c r="AB188" s="705" t="s">
        <v>687</v>
      </c>
      <c r="AC188" s="894">
        <v>0</v>
      </c>
      <c r="AD188" s="704">
        <v>1</v>
      </c>
      <c r="AE188" s="705" t="s">
        <v>18</v>
      </c>
      <c r="AF188" s="705" t="s">
        <v>24</v>
      </c>
      <c r="AG188" s="705" t="s">
        <v>204</v>
      </c>
      <c r="AH188" s="705" t="s">
        <v>635</v>
      </c>
      <c r="AI188" s="705" t="s">
        <v>204</v>
      </c>
      <c r="AJ188" s="705" t="s">
        <v>1279</v>
      </c>
      <c r="AK188" s="705" t="s">
        <v>703</v>
      </c>
      <c r="AL188" s="705" t="s">
        <v>43</v>
      </c>
      <c r="AM188" s="767">
        <v>1</v>
      </c>
      <c r="AN188" s="705" t="str">
        <f>+AB188</f>
        <v>Divulgar el Plan de Emergencias</v>
      </c>
      <c r="AO188" s="735">
        <f t="shared" ref="AO188" si="575">+AC188</f>
        <v>0</v>
      </c>
      <c r="AP188" s="733" t="s">
        <v>48</v>
      </c>
      <c r="AQ188" s="896">
        <v>0</v>
      </c>
      <c r="AR188" s="705" t="str">
        <f t="shared" si="546"/>
        <v>Divulgar el Plan de Emergencias</v>
      </c>
      <c r="AS188" s="734">
        <v>0</v>
      </c>
      <c r="AT188" s="731">
        <v>0</v>
      </c>
      <c r="AU188" s="765">
        <v>0</v>
      </c>
      <c r="AV188" s="736" t="e">
        <f t="shared" si="547"/>
        <v>#DIV/0!</v>
      </c>
      <c r="AW188" s="736" t="e">
        <f t="shared" si="548"/>
        <v>#DIV/0!</v>
      </c>
      <c r="AX188" s="736">
        <f t="shared" si="549"/>
        <v>0</v>
      </c>
      <c r="AY188" s="736" t="e">
        <f t="shared" si="550"/>
        <v>#DIV/0!</v>
      </c>
      <c r="AZ188" s="766" t="s">
        <v>1314</v>
      </c>
      <c r="BA188" s="896">
        <v>0</v>
      </c>
      <c r="BB188" s="705" t="str">
        <f t="shared" si="551"/>
        <v>Divulgar el Plan de Emergencias</v>
      </c>
      <c r="BC188" s="734">
        <v>0</v>
      </c>
      <c r="BD188" s="732">
        <v>0</v>
      </c>
      <c r="BE188" s="734">
        <v>0</v>
      </c>
      <c r="BF188" s="736" t="e">
        <f t="shared" si="552"/>
        <v>#DIV/0!</v>
      </c>
      <c r="BG188" s="736" t="e">
        <f t="shared" si="553"/>
        <v>#DIV/0!</v>
      </c>
      <c r="BH188" s="736">
        <f t="shared" si="554"/>
        <v>0</v>
      </c>
      <c r="BI188" s="767" t="e">
        <f t="shared" si="555"/>
        <v>#DIV/0!</v>
      </c>
      <c r="BJ188" s="768" t="s">
        <v>1656</v>
      </c>
      <c r="BK188" s="896">
        <v>1</v>
      </c>
      <c r="BL188" s="705" t="str">
        <f t="shared" si="556"/>
        <v>Divulgar el Plan de Emergencias</v>
      </c>
      <c r="BM188" s="734">
        <v>0</v>
      </c>
      <c r="BN188" s="731">
        <v>0</v>
      </c>
      <c r="BO188" s="734">
        <v>4430407</v>
      </c>
      <c r="BP188" s="736">
        <f t="shared" si="557"/>
        <v>0</v>
      </c>
      <c r="BQ188" s="736" t="e">
        <f t="shared" si="558"/>
        <v>#DIV/0!</v>
      </c>
      <c r="BR188" s="736">
        <f t="shared" si="559"/>
        <v>0</v>
      </c>
      <c r="BS188" s="767" t="e">
        <f t="shared" si="560"/>
        <v>#DIV/0!</v>
      </c>
      <c r="BT188" s="770" t="s">
        <v>1933</v>
      </c>
      <c r="BU188" s="897">
        <v>0</v>
      </c>
      <c r="BV188" s="705" t="str">
        <f t="shared" si="561"/>
        <v>Divulgar el Plan de Emergencias</v>
      </c>
      <c r="BW188" s="734">
        <v>0</v>
      </c>
      <c r="BX188" s="731"/>
      <c r="BY188" s="731"/>
      <c r="BZ188" s="738" t="e">
        <f t="shared" si="562"/>
        <v>#DIV/0!</v>
      </c>
      <c r="CA188" s="738" t="e">
        <f>+(BY166/BW166)</f>
        <v>#DIV/0!</v>
      </c>
      <c r="CB188" s="738">
        <f t="shared" si="564"/>
        <v>0</v>
      </c>
      <c r="CC188" s="769" t="e">
        <f>+(BE166+AU166+BO166+BY166)/AO166</f>
        <v>#DIV/0!</v>
      </c>
      <c r="CD188" s="738"/>
      <c r="CE188" s="770" t="str">
        <f t="shared" si="566"/>
        <v>No Prog ni Ejec</v>
      </c>
      <c r="CF188" s="770" t="str">
        <f t="shared" si="567"/>
        <v>No Prog ni Ejec</v>
      </c>
      <c r="CG188" s="770" t="str">
        <f t="shared" si="568"/>
        <v>No Prog ni Ejec</v>
      </c>
      <c r="CH188" s="770" t="str">
        <f t="shared" si="569"/>
        <v>No Prog ni Ejec</v>
      </c>
      <c r="CI188" s="770">
        <f t="shared" si="570"/>
        <v>0</v>
      </c>
      <c r="CJ188" s="770" t="str">
        <f t="shared" si="571"/>
        <v>No Prog, Ejec=  4430407</v>
      </c>
      <c r="CK188" s="770" t="str">
        <f t="shared" si="572"/>
        <v>No Prog ni Ejec</v>
      </c>
      <c r="CL188" s="771" t="str">
        <f t="shared" si="573"/>
        <v>No Prog ni Ejec</v>
      </c>
      <c r="CM188" s="567">
        <f t="shared" si="574"/>
        <v>0</v>
      </c>
      <c r="CR188" s="6"/>
      <c r="CS188" s="6"/>
      <c r="CT188" s="6"/>
      <c r="CU188" s="6"/>
      <c r="CV188" s="6"/>
      <c r="CW188" s="6"/>
      <c r="CX188" s="6"/>
      <c r="CY188" s="6"/>
      <c r="CZ188" s="6"/>
      <c r="DA188" s="6"/>
      <c r="DB188" s="6"/>
      <c r="DC188" s="6"/>
    </row>
    <row r="189" spans="1:107" s="567" customFormat="1" x14ac:dyDescent="0.25">
      <c r="A189" s="599"/>
      <c r="B189" s="456"/>
      <c r="C189" s="456"/>
      <c r="D189"/>
      <c r="E189"/>
      <c r="F189"/>
      <c r="G189"/>
      <c r="H189"/>
      <c r="I189"/>
      <c r="J189"/>
      <c r="K189"/>
      <c r="L189"/>
      <c r="M189"/>
      <c r="N189"/>
      <c r="O189"/>
      <c r="P189"/>
      <c r="Q189"/>
      <c r="R189"/>
      <c r="S189"/>
      <c r="T189"/>
      <c r="U189"/>
      <c r="V189" s="739"/>
      <c r="W189" s="599"/>
      <c r="X189" s="456"/>
      <c r="Y189" s="600"/>
      <c r="Z189" s="601"/>
      <c r="AA189" s="599"/>
      <c r="AB189" s="456"/>
      <c r="AC189" s="602"/>
      <c r="AD189"/>
      <c r="AE189"/>
      <c r="AF189"/>
      <c r="AG189"/>
      <c r="AH189"/>
      <c r="AI189"/>
      <c r="AJ189"/>
      <c r="AK189" s="603"/>
      <c r="AL189"/>
      <c r="AM189" s="601"/>
      <c r="AN189" s="603"/>
      <c r="AO189" s="604"/>
      <c r="AP189"/>
      <c r="AQ189" s="605"/>
      <c r="AR189" s="603"/>
      <c r="AS189" s="606"/>
      <c r="AT189" s="607"/>
      <c r="AU189" s="608"/>
      <c r="AV189" s="609"/>
      <c r="AW189" s="609"/>
      <c r="AX189" s="609"/>
      <c r="AY189" s="609"/>
      <c r="AZ189" s="610"/>
      <c r="BA189" s="605"/>
      <c r="BB189" s="603"/>
      <c r="BC189" s="606"/>
      <c r="BD189" s="611"/>
      <c r="BE189" s="612"/>
      <c r="BF189" s="609"/>
      <c r="BG189" s="609"/>
      <c r="BH189" s="609"/>
      <c r="BI189" s="613"/>
      <c r="BJ189" s="609"/>
      <c r="BK189" s="605"/>
      <c r="BL189" s="603"/>
      <c r="BM189" s="606"/>
      <c r="BN189" s="607"/>
      <c r="BO189" s="607"/>
      <c r="BP189" s="609"/>
      <c r="BQ189" s="609"/>
      <c r="BR189" s="609"/>
      <c r="BS189" s="613"/>
      <c r="BT189" s="609"/>
      <c r="BU189" s="614"/>
      <c r="BV189" s="603"/>
      <c r="BW189" s="606"/>
      <c r="BX189" s="607"/>
      <c r="BY189" s="607"/>
      <c r="BZ189" s="615"/>
      <c r="CA189" s="615"/>
      <c r="CB189" s="615"/>
      <c r="CC189" s="616"/>
      <c r="CD189" s="615"/>
      <c r="CE189" s="617"/>
      <c r="CF189" s="617"/>
      <c r="CG189" s="617"/>
      <c r="CH189" s="617"/>
      <c r="CI189" s="617"/>
      <c r="CJ189" s="617"/>
      <c r="CK189" s="617"/>
      <c r="CL189" s="617"/>
      <c r="CR189" s="6"/>
      <c r="CS189" s="6"/>
      <c r="CT189" s="6"/>
      <c r="CU189" s="6"/>
      <c r="CV189" s="6"/>
      <c r="CW189" s="6"/>
      <c r="CX189" s="6"/>
      <c r="CY189" s="6"/>
      <c r="CZ189" s="6"/>
      <c r="DA189" s="6"/>
      <c r="DB189" s="6"/>
      <c r="DC189" s="6"/>
    </row>
    <row r="190" spans="1:107" x14ac:dyDescent="0.25">
      <c r="Y190" s="59"/>
      <c r="AC190" s="880">
        <f>SUM(AC9:AC188)-AC73-AC113-AC115</f>
        <v>9081019846.004715</v>
      </c>
      <c r="AN190">
        <v>131</v>
      </c>
      <c r="AO190" s="880">
        <f>SUM(AO9:AO188)-AO73-AO113-AO115</f>
        <v>9081019846.004715</v>
      </c>
      <c r="AS190" s="880">
        <f>SUM(AS9:AS188)-AS73-AS113-AS115</f>
        <v>3896936505.4503775</v>
      </c>
      <c r="AU190" s="880">
        <f>SUM(AU9:AU188)-AU73-AU113-AU115</f>
        <v>4492615565.0100002</v>
      </c>
      <c r="BC190" s="880">
        <f>SUM(BC9:BC188)-BC73-BC113-BC115</f>
        <v>1133172485.4928544</v>
      </c>
      <c r="BE190" s="880">
        <f>SUM(BE9:BE188)-BE73-BE113-BE115</f>
        <v>713609441.71000004</v>
      </c>
      <c r="BM190" s="880">
        <f>SUM(BM9:BM188)-BM73-BM113-BM115</f>
        <v>1886640496.2630932</v>
      </c>
      <c r="BO190" s="880">
        <f>SUM(BO9:BO188)-BO73-BO113-BO115</f>
        <v>802372596.27272725</v>
      </c>
      <c r="BW190" s="880">
        <f>SUM(BW9:BW188)-BW73-BW113-BW115</f>
        <v>2164270358.7983885</v>
      </c>
      <c r="BY190" s="880">
        <f>SUM(BY9:BY188)-BY73-BY113-BY115</f>
        <v>0</v>
      </c>
      <c r="CM190" s="881">
        <f>+AC190-AS190-BC190-BM190-BW190</f>
        <v>0</v>
      </c>
    </row>
    <row r="191" spans="1:107" ht="36" customHeight="1" x14ac:dyDescent="0.25">
      <c r="A191" s="596" t="s">
        <v>1593</v>
      </c>
      <c r="B191" s="596"/>
      <c r="C191" s="596"/>
      <c r="D191" s="583"/>
      <c r="E191" s="583"/>
      <c r="F191" s="583"/>
      <c r="G191" s="583"/>
      <c r="H191" s="583"/>
      <c r="I191" s="583"/>
      <c r="J191" s="583"/>
      <c r="K191" s="583"/>
      <c r="L191" s="583"/>
      <c r="M191" s="583"/>
      <c r="N191" s="583"/>
      <c r="O191" s="583"/>
      <c r="P191" s="583"/>
      <c r="Q191" s="583"/>
      <c r="R191" s="583"/>
      <c r="S191" s="583"/>
      <c r="T191" s="583"/>
      <c r="U191" s="583"/>
      <c r="V191" s="583"/>
      <c r="W191" s="596"/>
      <c r="X191" s="596"/>
      <c r="Y191" s="596"/>
      <c r="Z191" s="596"/>
      <c r="AA191" s="596"/>
      <c r="AB191" s="596"/>
      <c r="AC191" s="596"/>
      <c r="AD191" s="583"/>
      <c r="AE191" s="583"/>
      <c r="AF191" s="583"/>
      <c r="AG191" s="583"/>
      <c r="AH191" s="583"/>
      <c r="AI191" s="583"/>
      <c r="AJ191" s="583"/>
      <c r="AK191" s="596"/>
      <c r="AL191" s="583"/>
      <c r="AM191" s="596"/>
      <c r="AN191" s="596">
        <v>13</v>
      </c>
    </row>
    <row r="192" spans="1:107" x14ac:dyDescent="0.25">
      <c r="AN192">
        <f>+AN190-AN191</f>
        <v>118</v>
      </c>
      <c r="AS192" s="882"/>
      <c r="AU192" s="882"/>
      <c r="BE192" s="883"/>
    </row>
    <row r="193" spans="1:47" x14ac:dyDescent="0.25">
      <c r="A193" s="582"/>
      <c r="B193" s="22" t="s">
        <v>1494</v>
      </c>
    </row>
    <row r="195" spans="1:47" x14ac:dyDescent="0.25">
      <c r="AU195" s="883"/>
    </row>
  </sheetData>
  <sheetProtection algorithmName="SHA-512" hashValue="JYNaRb0z1y54cMQ2xkihDbW0+YgfVU77SWDNy25m+7SAZqlwQ7cSy7L7c0K7QPcYH7u1H+bBeX0CH5I9MjC2oA==" saltValue="WYtEmbTPebnuBlsUexGGZg==" spinCount="100000" sheet="1" objects="1" scenarios="1"/>
  <autoFilter ref="A8:DC188" xr:uid="{412ED375-6F68-4700-90D0-1430FB214649}">
    <filterColumn colId="19">
      <filters>
        <filter val="Garantizar la adecuación institucional mediante actividades transversales que complementen y sustenten el desempeño de los procesos misionales y estratégicos, así como el seguimiento continuo al cumplimiento de los objetivos de la Entidad."/>
      </filters>
    </filterColumn>
  </autoFilter>
  <mergeCells count="511">
    <mergeCell ref="S168:S169"/>
    <mergeCell ref="T168:T169"/>
    <mergeCell ref="S166:S167"/>
    <mergeCell ref="T166:T167"/>
    <mergeCell ref="AE94:AE112"/>
    <mergeCell ref="AF94:AF112"/>
    <mergeCell ref="AG94:AG112"/>
    <mergeCell ref="AH94:AH112"/>
    <mergeCell ref="AN115:AN117"/>
    <mergeCell ref="AG155:AG158"/>
    <mergeCell ref="AI155:AI157"/>
    <mergeCell ref="AJ155:AJ157"/>
    <mergeCell ref="AA155:AA158"/>
    <mergeCell ref="AB155:AB158"/>
    <mergeCell ref="AC155:AC158"/>
    <mergeCell ref="AE155:AE158"/>
    <mergeCell ref="AI153:AI154"/>
    <mergeCell ref="AL153:AL154"/>
    <mergeCell ref="AD155:AD158"/>
    <mergeCell ref="AL155:AL158"/>
    <mergeCell ref="AH155:AH158"/>
    <mergeCell ref="AG153:AG154"/>
    <mergeCell ref="AH153:AH154"/>
    <mergeCell ref="AB153:AB154"/>
    <mergeCell ref="AW153:AW154"/>
    <mergeCell ref="AS153:AS154"/>
    <mergeCell ref="AP7:AP8"/>
    <mergeCell ref="AM7:AM8"/>
    <mergeCell ref="AN7:AN8"/>
    <mergeCell ref="AO7:AO8"/>
    <mergeCell ref="AY29:AY30"/>
    <mergeCell ref="AW35:AW36"/>
    <mergeCell ref="AY35:AY36"/>
    <mergeCell ref="AR26:AR28"/>
    <mergeCell ref="AS26:AS28"/>
    <mergeCell ref="AP99:AP112"/>
    <mergeCell ref="AR153:AR154"/>
    <mergeCell ref="AO153:AO154"/>
    <mergeCell ref="AL7:AL8"/>
    <mergeCell ref="W7:W8"/>
    <mergeCell ref="X7:X8"/>
    <mergeCell ref="Y7:Y8"/>
    <mergeCell ref="Z7:Z8"/>
    <mergeCell ref="AA7:AA8"/>
    <mergeCell ref="AB7:AB8"/>
    <mergeCell ref="AC7:AC8"/>
    <mergeCell ref="AD7:AD8"/>
    <mergeCell ref="AE7:AE8"/>
    <mergeCell ref="X6:AI6"/>
    <mergeCell ref="Q4:R4"/>
    <mergeCell ref="Q5:R5"/>
    <mergeCell ref="AF7:AF8"/>
    <mergeCell ref="AG7:AG8"/>
    <mergeCell ref="AH7:AH8"/>
    <mergeCell ref="AI7:AI8"/>
    <mergeCell ref="AK7:AK8"/>
    <mergeCell ref="T5:AE5"/>
    <mergeCell ref="A11:A13"/>
    <mergeCell ref="B11:B13"/>
    <mergeCell ref="C11:C13"/>
    <mergeCell ref="T11:T13"/>
    <mergeCell ref="U11:U13"/>
    <mergeCell ref="AA10:AA13"/>
    <mergeCell ref="S10:S13"/>
    <mergeCell ref="AB31:AB34"/>
    <mergeCell ref="A7:A8"/>
    <mergeCell ref="B7:B8"/>
    <mergeCell ref="C7:C8"/>
    <mergeCell ref="Q7:Q8"/>
    <mergeCell ref="R7:R8"/>
    <mergeCell ref="S7:S8"/>
    <mergeCell ref="T7:T8"/>
    <mergeCell ref="U7:U8"/>
    <mergeCell ref="V7:V8"/>
    <mergeCell ref="D7:P7"/>
    <mergeCell ref="X11:X13"/>
    <mergeCell ref="V11:V13"/>
    <mergeCell ref="AA31:AA34"/>
    <mergeCell ref="AA26:AA28"/>
    <mergeCell ref="BU7:CD7"/>
    <mergeCell ref="BS10:BS13"/>
    <mergeCell ref="BV10:BV13"/>
    <mergeCell ref="BW10:BW13"/>
    <mergeCell ref="BY10:BY13"/>
    <mergeCell ref="CA10:CA13"/>
    <mergeCell ref="AU10:AU13"/>
    <mergeCell ref="CC10:CC13"/>
    <mergeCell ref="BO10:BO13"/>
    <mergeCell ref="BQ10:BQ13"/>
    <mergeCell ref="AQ7:AZ7"/>
    <mergeCell ref="BK7:BT7"/>
    <mergeCell ref="BB10:BB13"/>
    <mergeCell ref="BC10:BC13"/>
    <mergeCell ref="BG10:BG13"/>
    <mergeCell ref="BI10:BI13"/>
    <mergeCell ref="AW10:AW13"/>
    <mergeCell ref="AY10:AY13"/>
    <mergeCell ref="AR10:AR13"/>
    <mergeCell ref="CL26:CL28"/>
    <mergeCell ref="CC26:CC28"/>
    <mergeCell ref="CF26:CF28"/>
    <mergeCell ref="CH26:CH28"/>
    <mergeCell ref="BO29:BO30"/>
    <mergeCell ref="BQ29:BQ30"/>
    <mergeCell ref="BS29:BS30"/>
    <mergeCell ref="BV31:BV34"/>
    <mergeCell ref="BW31:BW34"/>
    <mergeCell ref="CJ26:CJ28"/>
    <mergeCell ref="CF31:CF34"/>
    <mergeCell ref="CH31:CH34"/>
    <mergeCell ref="BQ31:BQ34"/>
    <mergeCell ref="BO31:BO34"/>
    <mergeCell ref="CJ31:CJ34"/>
    <mergeCell ref="CL31:CL34"/>
    <mergeCell ref="BY26:BY28"/>
    <mergeCell ref="CA26:CA28"/>
    <mergeCell ref="AJ26:AJ28"/>
    <mergeCell ref="CH10:CH13"/>
    <mergeCell ref="AH10:AH13"/>
    <mergeCell ref="AI10:AI13"/>
    <mergeCell ref="AL10:AL13"/>
    <mergeCell ref="AB26:AB28"/>
    <mergeCell ref="AC26:AC28"/>
    <mergeCell ref="W29:W30"/>
    <mergeCell ref="X29:X30"/>
    <mergeCell ref="AB10:AB13"/>
    <mergeCell ref="AN10:AN13"/>
    <mergeCell ref="AO10:AO13"/>
    <mergeCell ref="AS10:AS13"/>
    <mergeCell ref="AY26:AY28"/>
    <mergeCell ref="AC10:AC13"/>
    <mergeCell ref="CA29:CA30"/>
    <mergeCell ref="AU29:AU30"/>
    <mergeCell ref="AE10:AE13"/>
    <mergeCell ref="AF10:AF13"/>
    <mergeCell ref="AG10:AG13"/>
    <mergeCell ref="AD10:AD13"/>
    <mergeCell ref="AD29:AD30"/>
    <mergeCell ref="BQ26:BQ28"/>
    <mergeCell ref="BS26:BS28"/>
    <mergeCell ref="AC31:AC34"/>
    <mergeCell ref="AU31:AU34"/>
    <mergeCell ref="AW31:AW34"/>
    <mergeCell ref="AY31:AY34"/>
    <mergeCell ref="BE31:BE34"/>
    <mergeCell ref="BG31:BG34"/>
    <mergeCell ref="BI31:BI34"/>
    <mergeCell ref="AJ29:AJ30"/>
    <mergeCell ref="AJ31:AJ34"/>
    <mergeCell ref="CF10:CF13"/>
    <mergeCell ref="BS31:BS34"/>
    <mergeCell ref="BB31:BB34"/>
    <mergeCell ref="BC31:BC34"/>
    <mergeCell ref="BL31:BL34"/>
    <mergeCell ref="BM31:BM34"/>
    <mergeCell ref="AW29:AW30"/>
    <mergeCell ref="AU26:AU28"/>
    <mergeCell ref="AW26:AW28"/>
    <mergeCell ref="A1:B3"/>
    <mergeCell ref="CI1:CL3"/>
    <mergeCell ref="X1:CH1"/>
    <mergeCell ref="Y2:CF3"/>
    <mergeCell ref="CG2:CG3"/>
    <mergeCell ref="CH2:CH3"/>
    <mergeCell ref="X2:X3"/>
    <mergeCell ref="C1:W1"/>
    <mergeCell ref="C2:W2"/>
    <mergeCell ref="C3:W3"/>
    <mergeCell ref="CE7:CL7"/>
    <mergeCell ref="BC29:BC30"/>
    <mergeCell ref="BE29:BE30"/>
    <mergeCell ref="BG29:BG30"/>
    <mergeCell ref="BI29:BI30"/>
    <mergeCell ref="BL29:BL30"/>
    <mergeCell ref="BM29:BM30"/>
    <mergeCell ref="BB26:BB28"/>
    <mergeCell ref="BC26:BC28"/>
    <mergeCell ref="BL26:BL28"/>
    <mergeCell ref="BM26:BM28"/>
    <mergeCell ref="BV26:BV28"/>
    <mergeCell ref="BW26:BW28"/>
    <mergeCell ref="BE26:BE28"/>
    <mergeCell ref="BG26:BG28"/>
    <mergeCell ref="BI26:BI28"/>
    <mergeCell ref="CF29:CF30"/>
    <mergeCell ref="CJ10:CJ13"/>
    <mergeCell ref="CL10:CL13"/>
    <mergeCell ref="BL10:BL13"/>
    <mergeCell ref="BM10:BM13"/>
    <mergeCell ref="BB29:BB30"/>
    <mergeCell ref="BA7:BJ7"/>
    <mergeCell ref="BO26:BO28"/>
    <mergeCell ref="BM35:BM36"/>
    <mergeCell ref="BW35:BW36"/>
    <mergeCell ref="BB35:BB36"/>
    <mergeCell ref="BL35:BL36"/>
    <mergeCell ref="BV35:BV36"/>
    <mergeCell ref="CF35:CF36"/>
    <mergeCell ref="CH35:CH36"/>
    <mergeCell ref="CJ35:CJ36"/>
    <mergeCell ref="BG35:BG36"/>
    <mergeCell ref="BI35:BI36"/>
    <mergeCell ref="BC35:BC36"/>
    <mergeCell ref="CL35:CL36"/>
    <mergeCell ref="BY35:BY36"/>
    <mergeCell ref="CA35:CA36"/>
    <mergeCell ref="CC35:CC36"/>
    <mergeCell ref="CH39:CH40"/>
    <mergeCell ref="CJ39:CJ40"/>
    <mergeCell ref="CL39:CL40"/>
    <mergeCell ref="BW39:BW40"/>
    <mergeCell ref="CA39:CA40"/>
    <mergeCell ref="CC39:CC40"/>
    <mergeCell ref="BY39:BY40"/>
    <mergeCell ref="CF39:CF40"/>
    <mergeCell ref="BV39:BV40"/>
    <mergeCell ref="CJ56:CJ72"/>
    <mergeCell ref="CL56:CL72"/>
    <mergeCell ref="BW56:BW72"/>
    <mergeCell ref="CF56:CF72"/>
    <mergeCell ref="CH56:CH72"/>
    <mergeCell ref="BY56:BY72"/>
    <mergeCell ref="BW115:BW117"/>
    <mergeCell ref="AR94:AR113"/>
    <mergeCell ref="AR115:AR117"/>
    <mergeCell ref="BB94:BB113"/>
    <mergeCell ref="BB115:BB117"/>
    <mergeCell ref="BC56:BC72"/>
    <mergeCell ref="BE56:BE72"/>
    <mergeCell ref="AW56:AW72"/>
    <mergeCell ref="AY56:AY72"/>
    <mergeCell ref="AU56:AU72"/>
    <mergeCell ref="AR92:AR93"/>
    <mergeCell ref="BQ56:BQ72"/>
    <mergeCell ref="BL80:BL85"/>
    <mergeCell ref="BM80:BM85"/>
    <mergeCell ref="BN80:BN85"/>
    <mergeCell ref="BO80:BO85"/>
    <mergeCell ref="BP80:BP85"/>
    <mergeCell ref="CC155:CC158"/>
    <mergeCell ref="CF155:CF158"/>
    <mergeCell ref="CH155:CH158"/>
    <mergeCell ref="CJ155:CJ158"/>
    <mergeCell ref="AY153:AY154"/>
    <mergeCell ref="BB155:BB158"/>
    <mergeCell ref="BC155:BC158"/>
    <mergeCell ref="BE155:BE158"/>
    <mergeCell ref="BG155:BG158"/>
    <mergeCell ref="BQ153:BQ154"/>
    <mergeCell ref="BM153:BM154"/>
    <mergeCell ref="BO153:BO154"/>
    <mergeCell ref="CC153:CC154"/>
    <mergeCell ref="CA153:CA154"/>
    <mergeCell ref="BY153:BY154"/>
    <mergeCell ref="BW153:BW154"/>
    <mergeCell ref="BS153:BS154"/>
    <mergeCell ref="BB153:BB154"/>
    <mergeCell ref="BG153:BG154"/>
    <mergeCell ref="BE153:BE154"/>
    <mergeCell ref="BS155:BS158"/>
    <mergeCell ref="BV155:BV158"/>
    <mergeCell ref="BW155:BW158"/>
    <mergeCell ref="AZ153:AZ154"/>
    <mergeCell ref="CL153:CL154"/>
    <mergeCell ref="CH153:CH154"/>
    <mergeCell ref="CJ153:CJ154"/>
    <mergeCell ref="Y29:Y30"/>
    <mergeCell ref="Z29:Z30"/>
    <mergeCell ref="AA29:AA30"/>
    <mergeCell ref="AB29:AB30"/>
    <mergeCell ref="AC29:AC30"/>
    <mergeCell ref="AN29:AN30"/>
    <mergeCell ref="AO29:AO30"/>
    <mergeCell ref="AR29:AR30"/>
    <mergeCell ref="AS29:AS30"/>
    <mergeCell ref="AL29:AL30"/>
    <mergeCell ref="AI29:AI30"/>
    <mergeCell ref="AH29:AH30"/>
    <mergeCell ref="AG29:AG30"/>
    <mergeCell ref="AF29:AF30"/>
    <mergeCell ref="AE29:AE30"/>
    <mergeCell ref="AA136:AA137"/>
    <mergeCell ref="AA153:AA154"/>
    <mergeCell ref="AB136:AB137"/>
    <mergeCell ref="BB39:BB40"/>
    <mergeCell ref="AW39:AW40"/>
    <mergeCell ref="BS56:BS72"/>
    <mergeCell ref="BY155:BY158"/>
    <mergeCell ref="CA155:CA158"/>
    <mergeCell ref="BC153:BC154"/>
    <mergeCell ref="AF153:AF154"/>
    <mergeCell ref="AD94:AD98"/>
    <mergeCell ref="AO56:AO72"/>
    <mergeCell ref="AN136:AN137"/>
    <mergeCell ref="AS56:AS72"/>
    <mergeCell ref="BG56:BG72"/>
    <mergeCell ref="BO56:BO72"/>
    <mergeCell ref="BV92:BV93"/>
    <mergeCell ref="BB92:BB93"/>
    <mergeCell ref="BC115:BC117"/>
    <mergeCell ref="BL115:BL117"/>
    <mergeCell ref="BV94:BV113"/>
    <mergeCell ref="AN92:AN93"/>
    <mergeCell ref="AS155:AS158"/>
    <mergeCell ref="AW155:AW158"/>
    <mergeCell ref="AY155:AY158"/>
    <mergeCell ref="AN155:AN158"/>
    <mergeCell ref="AO155:AO158"/>
    <mergeCell ref="AR155:AR158"/>
    <mergeCell ref="AJ153:AJ154"/>
    <mergeCell ref="AF155:AF158"/>
    <mergeCell ref="CL155:CL158"/>
    <mergeCell ref="CH29:CH30"/>
    <mergeCell ref="CJ29:CJ30"/>
    <mergeCell ref="CL29:CL30"/>
    <mergeCell ref="BI155:BI158"/>
    <mergeCell ref="BL155:BL158"/>
    <mergeCell ref="BM155:BM158"/>
    <mergeCell ref="BO155:BO158"/>
    <mergeCell ref="BL153:BL154"/>
    <mergeCell ref="BI153:BI154"/>
    <mergeCell ref="CF153:CF154"/>
    <mergeCell ref="CA56:CA72"/>
    <mergeCell ref="CC56:CC72"/>
    <mergeCell ref="BV153:BV154"/>
    <mergeCell ref="CC31:CC34"/>
    <mergeCell ref="CC29:CC30"/>
    <mergeCell ref="BQ155:BQ158"/>
    <mergeCell ref="BQ39:BQ40"/>
    <mergeCell ref="BS39:BS40"/>
    <mergeCell ref="BO39:BO40"/>
    <mergeCell ref="BM56:BM72"/>
    <mergeCell ref="BQ35:BQ36"/>
    <mergeCell ref="BS35:BS36"/>
    <mergeCell ref="BO35:BO36"/>
    <mergeCell ref="AA39:AA40"/>
    <mergeCell ref="AA92:AA93"/>
    <mergeCell ref="AO115:AO117"/>
    <mergeCell ref="AB92:AB93"/>
    <mergeCell ref="AD116:AD117"/>
    <mergeCell ref="AB94:AB113"/>
    <mergeCell ref="AI94:AI112"/>
    <mergeCell ref="AL94:AL112"/>
    <mergeCell ref="AA86:AA91"/>
    <mergeCell ref="AB35:AB36"/>
    <mergeCell ref="AC35:AC36"/>
    <mergeCell ref="AN35:AN36"/>
    <mergeCell ref="AO35:AO36"/>
    <mergeCell ref="AR35:AR36"/>
    <mergeCell ref="AS35:AS36"/>
    <mergeCell ref="AU35:AU36"/>
    <mergeCell ref="AY80:AY85"/>
    <mergeCell ref="AB86:AB91"/>
    <mergeCell ref="AR86:AR91"/>
    <mergeCell ref="AB39:AB40"/>
    <mergeCell ref="AC39:AC40"/>
    <mergeCell ref="AN39:AN40"/>
    <mergeCell ref="AO39:AO40"/>
    <mergeCell ref="AR39:AR40"/>
    <mergeCell ref="AS39:AS40"/>
    <mergeCell ref="W155:W157"/>
    <mergeCell ref="BV29:BV30"/>
    <mergeCell ref="BW29:BW30"/>
    <mergeCell ref="BY29:BY30"/>
    <mergeCell ref="BV115:BV117"/>
    <mergeCell ref="X155:X157"/>
    <mergeCell ref="Y155:Y157"/>
    <mergeCell ref="Z155:Z157"/>
    <mergeCell ref="AC153:AC154"/>
    <mergeCell ref="AN153:AN154"/>
    <mergeCell ref="AB115:AB117"/>
    <mergeCell ref="AA115:AA117"/>
    <mergeCell ref="AC115:AC117"/>
    <mergeCell ref="AD153:AD154"/>
    <mergeCell ref="AE153:AE154"/>
    <mergeCell ref="BL92:BL93"/>
    <mergeCell ref="BI56:BI72"/>
    <mergeCell ref="AU155:AU158"/>
    <mergeCell ref="AA35:AA36"/>
    <mergeCell ref="AC56:AC72"/>
    <mergeCell ref="AJ35:AJ36"/>
    <mergeCell ref="AJ39:AJ40"/>
    <mergeCell ref="AY39:AY40"/>
    <mergeCell ref="AJ136:AJ137"/>
    <mergeCell ref="AJ10:AJ13"/>
    <mergeCell ref="CA31:CA34"/>
    <mergeCell ref="AR136:AR137"/>
    <mergeCell ref="BB136:BB137"/>
    <mergeCell ref="BL136:BL137"/>
    <mergeCell ref="BV136:BV137"/>
    <mergeCell ref="BI39:BI40"/>
    <mergeCell ref="BY31:BY34"/>
    <mergeCell ref="AN26:AN28"/>
    <mergeCell ref="AO26:AO28"/>
    <mergeCell ref="AN31:AN34"/>
    <mergeCell ref="AO31:AO34"/>
    <mergeCell ref="AR31:AR34"/>
    <mergeCell ref="AS31:AS34"/>
    <mergeCell ref="BC39:BC40"/>
    <mergeCell ref="BE35:BE36"/>
    <mergeCell ref="BE39:BE40"/>
    <mergeCell ref="BL39:BL40"/>
    <mergeCell ref="BM39:BM40"/>
    <mergeCell ref="BG39:BG40"/>
    <mergeCell ref="BL94:BL113"/>
    <mergeCell ref="AU39:AU40"/>
    <mergeCell ref="AN94:AN113"/>
    <mergeCell ref="AN86:AN91"/>
    <mergeCell ref="Z80:Z85"/>
    <mergeCell ref="AK80:AK85"/>
    <mergeCell ref="AM80:AM85"/>
    <mergeCell ref="AN80:AN85"/>
    <mergeCell ref="AO80:AO85"/>
    <mergeCell ref="AQ80:AQ85"/>
    <mergeCell ref="AR80:AR85"/>
    <mergeCell ref="AS80:AS85"/>
    <mergeCell ref="AT80:AT85"/>
    <mergeCell ref="BB86:BB91"/>
    <mergeCell ref="BL86:BL91"/>
    <mergeCell ref="BV86:BV91"/>
    <mergeCell ref="AB80:AB85"/>
    <mergeCell ref="AA80:AA85"/>
    <mergeCell ref="AC80:AC85"/>
    <mergeCell ref="AU80:AU85"/>
    <mergeCell ref="AV80:AV85"/>
    <mergeCell ref="AW80:AW85"/>
    <mergeCell ref="AX80:AX85"/>
    <mergeCell ref="AZ80:AZ85"/>
    <mergeCell ref="BA80:BA85"/>
    <mergeCell ref="BB80:BB85"/>
    <mergeCell ref="BC80:BC85"/>
    <mergeCell ref="BD80:BD85"/>
    <mergeCell ref="BE80:BE85"/>
    <mergeCell ref="BF80:BF85"/>
    <mergeCell ref="BG80:BG85"/>
    <mergeCell ref="BH80:BH85"/>
    <mergeCell ref="BI80:BI85"/>
    <mergeCell ref="BK80:BK85"/>
    <mergeCell ref="BQ80:BQ85"/>
    <mergeCell ref="BR80:BR85"/>
    <mergeCell ref="CF80:CF85"/>
    <mergeCell ref="CG80:CG85"/>
    <mergeCell ref="CH80:CH85"/>
    <mergeCell ref="CI80:CI85"/>
    <mergeCell ref="CJ80:CJ85"/>
    <mergeCell ref="BS80:BS85"/>
    <mergeCell ref="BT80:BT85"/>
    <mergeCell ref="BU80:BU85"/>
    <mergeCell ref="BV80:BV85"/>
    <mergeCell ref="BW80:BW85"/>
    <mergeCell ref="BX80:BX85"/>
    <mergeCell ref="BY80:BY85"/>
    <mergeCell ref="BZ80:BZ85"/>
    <mergeCell ref="CA80:CA85"/>
    <mergeCell ref="CL80:CL85"/>
    <mergeCell ref="AA94:AA113"/>
    <mergeCell ref="AK94:AK113"/>
    <mergeCell ref="Z94:Z112"/>
    <mergeCell ref="AM94:AM112"/>
    <mergeCell ref="AO94:AO112"/>
    <mergeCell ref="AC94:AC112"/>
    <mergeCell ref="AQ94:AQ112"/>
    <mergeCell ref="AS94:AS112"/>
    <mergeCell ref="AT94:AT112"/>
    <mergeCell ref="AU94:AU112"/>
    <mergeCell ref="AV94:AV112"/>
    <mergeCell ref="AW94:AW112"/>
    <mergeCell ref="AX94:AX112"/>
    <mergeCell ref="AY94:AY112"/>
    <mergeCell ref="AZ94:AZ112"/>
    <mergeCell ref="BA94:BA112"/>
    <mergeCell ref="BC94:BC112"/>
    <mergeCell ref="BD94:BD112"/>
    <mergeCell ref="BE94:BE112"/>
    <mergeCell ref="CB80:CB85"/>
    <mergeCell ref="CC80:CC85"/>
    <mergeCell ref="CD80:CD85"/>
    <mergeCell ref="CE80:CE85"/>
    <mergeCell ref="BF94:BF112"/>
    <mergeCell ref="BG94:BG112"/>
    <mergeCell ref="BH94:BH112"/>
    <mergeCell ref="BI94:BI112"/>
    <mergeCell ref="BJ94:BJ112"/>
    <mergeCell ref="BK94:BK112"/>
    <mergeCell ref="BM94:BM112"/>
    <mergeCell ref="BN94:BN112"/>
    <mergeCell ref="BO94:BO112"/>
    <mergeCell ref="CI94:CI112"/>
    <mergeCell ref="CJ94:CJ112"/>
    <mergeCell ref="CK94:CK112"/>
    <mergeCell ref="CL94:CL112"/>
    <mergeCell ref="BJ80:BJ85"/>
    <mergeCell ref="BZ94:BZ112"/>
    <mergeCell ref="CA94:CA112"/>
    <mergeCell ref="CB94:CB112"/>
    <mergeCell ref="CC94:CC112"/>
    <mergeCell ref="CD94:CD112"/>
    <mergeCell ref="CE94:CE112"/>
    <mergeCell ref="CF94:CF112"/>
    <mergeCell ref="CG94:CG112"/>
    <mergeCell ref="CH94:CH112"/>
    <mergeCell ref="BP94:BP112"/>
    <mergeCell ref="BQ94:BQ112"/>
    <mergeCell ref="BR94:BR112"/>
    <mergeCell ref="BS94:BS112"/>
    <mergeCell ref="BT94:BT112"/>
    <mergeCell ref="BU94:BU112"/>
    <mergeCell ref="BW94:BW112"/>
    <mergeCell ref="BX94:BX112"/>
    <mergeCell ref="BY94:BY112"/>
    <mergeCell ref="CK80:CK85"/>
  </mergeCells>
  <conditionalFormatting 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
    <cfRule type="cellIs" dxfId="13229" priority="391" operator="equal">
      <formula>#REF!</formula>
    </cfRule>
    <cfRule type="cellIs" dxfId="13228" priority="392" operator="greaterThan">
      <formula>1</formula>
    </cfRule>
    <cfRule type="cellIs" dxfId="13227" priority="393" operator="equal">
      <formula>100%</formula>
    </cfRule>
    <cfRule type="cellIs" dxfId="13226" priority="394" operator="between">
      <formula>80%</formula>
      <formula>99%</formula>
    </cfRule>
    <cfRule type="cellIs" dxfId="13225" priority="395" operator="between">
      <formula>0%</formula>
      <formula>79%</formula>
    </cfRule>
  </conditionalFormatting>
  <conditionalFormatting sqref="CE51:CL52 CE124:CL131 CE43:CL48">
    <cfRule type="cellIs" dxfId="13224" priority="367" operator="equal">
      <formula>#REF!</formula>
    </cfRule>
    <cfRule type="cellIs" dxfId="13223" priority="368" operator="greaterThan">
      <formula>1</formula>
    </cfRule>
    <cfRule type="cellIs" dxfId="13222" priority="369" operator="equal">
      <formula>100%</formula>
    </cfRule>
    <cfRule type="cellIs" dxfId="13221" priority="370" operator="between">
      <formula>80%</formula>
      <formula>99%</formula>
    </cfRule>
    <cfRule type="cellIs" dxfId="13220" priority="371" operator="between">
      <formula>0%</formula>
      <formula>79%</formula>
    </cfRule>
  </conditionalFormatting>
  <conditionalFormatting sqref="CE140 CE20:CL20 CE149:CL151 CE157:CE158 CG157:CG158 CI157:CI158 CK157:CK158 CE77:CL80 CE86:CL94 CE113:CL117 CE188:CL189">
    <cfRule type="cellIs" dxfId="13219" priority="361" operator="equal">
      <formula>#REF!</formula>
    </cfRule>
    <cfRule type="cellIs" dxfId="13218" priority="362" operator="greaterThan">
      <formula>1</formula>
    </cfRule>
    <cfRule type="cellIs" dxfId="13217" priority="363" operator="equal">
      <formula>100%</formula>
    </cfRule>
    <cfRule type="cellIs" dxfId="13216" priority="364" operator="between">
      <formula>80%</formula>
      <formula>99%</formula>
    </cfRule>
    <cfRule type="cellIs" dxfId="13215" priority="365" operator="between">
      <formula>0%</formula>
      <formula>79%</formula>
    </cfRule>
  </conditionalFormatting>
  <conditionalFormatting sqref="CE132:CL132">
    <cfRule type="cellIs" dxfId="13214" priority="349" operator="equal">
      <formula>#REF!</formula>
    </cfRule>
    <cfRule type="cellIs" dxfId="13213" priority="350" operator="greaterThan">
      <formula>1</formula>
    </cfRule>
    <cfRule type="cellIs" dxfId="13212" priority="351" operator="equal">
      <formula>100%</formula>
    </cfRule>
    <cfRule type="cellIs" dxfId="13211" priority="352" operator="between">
      <formula>80%</formula>
      <formula>99%</formula>
    </cfRule>
    <cfRule type="cellIs" dxfId="13210" priority="353" operator="between">
      <formula>0%</formula>
      <formula>79%</formula>
    </cfRule>
  </conditionalFormatting>
  <conditionalFormatting sqref="CE50 CG50 CI50 CK50">
    <cfRule type="cellIs" dxfId="13209" priority="331" operator="equal">
      <formula>#REF!</formula>
    </cfRule>
    <cfRule type="cellIs" dxfId="13208" priority="332" operator="greaterThan">
      <formula>1</formula>
    </cfRule>
    <cfRule type="cellIs" dxfId="13207" priority="333" operator="equal">
      <formula>100%</formula>
    </cfRule>
    <cfRule type="cellIs" dxfId="13206" priority="334" operator="between">
      <formula>80%</formula>
      <formula>99%</formula>
    </cfRule>
    <cfRule type="cellIs" dxfId="13205" priority="335" operator="between">
      <formula>0%</formula>
      <formula>79%</formula>
    </cfRule>
  </conditionalFormatting>
  <conditionalFormatting sqref="CE142:CL148">
    <cfRule type="cellIs" dxfId="13204" priority="325" operator="equal">
      <formula>#REF!</formula>
    </cfRule>
    <cfRule type="cellIs" dxfId="13203" priority="326" operator="greaterThan">
      <formula>1</formula>
    </cfRule>
    <cfRule type="cellIs" dxfId="13202" priority="327" operator="equal">
      <formula>100%</formula>
    </cfRule>
    <cfRule type="cellIs" dxfId="13201" priority="328" operator="between">
      <formula>80%</formula>
      <formula>99%</formula>
    </cfRule>
    <cfRule type="cellIs" dxfId="13200" priority="329" operator="between">
      <formula>0%</formula>
      <formula>79%</formula>
    </cfRule>
  </conditionalFormatting>
  <conditionalFormatting sqref="CE152:CL153 CE154 CG154 CI154 CK154 CE159:CL163 CE155:CL156">
    <cfRule type="cellIs" dxfId="13199" priority="307" operator="equal">
      <formula>#REF!</formula>
    </cfRule>
    <cfRule type="cellIs" dxfId="13198" priority="308" operator="greaterThan">
      <formula>1</formula>
    </cfRule>
    <cfRule type="cellIs" dxfId="13197" priority="309" operator="equal">
      <formula>100%</formula>
    </cfRule>
    <cfRule type="cellIs" dxfId="13196" priority="310" operator="between">
      <formula>80%</formula>
      <formula>99%</formula>
    </cfRule>
    <cfRule type="cellIs" dxfId="13195" priority="311" operator="between">
      <formula>0%</formula>
      <formula>79%</formula>
    </cfRule>
  </conditionalFormatting>
  <conditionalFormatting sqref="CF50">
    <cfRule type="cellIs" dxfId="13194" priority="301" operator="equal">
      <formula>#REF!</formula>
    </cfRule>
    <cfRule type="cellIs" dxfId="13193" priority="302" operator="greaterThan">
      <formula>1</formula>
    </cfRule>
    <cfRule type="cellIs" dxfId="13192" priority="303" operator="equal">
      <formula>100%</formula>
    </cfRule>
    <cfRule type="cellIs" dxfId="13191" priority="304" operator="between">
      <formula>80%</formula>
      <formula>99%</formula>
    </cfRule>
    <cfRule type="cellIs" dxfId="13190" priority="305" operator="between">
      <formula>0%</formula>
      <formula>79%</formula>
    </cfRule>
  </conditionalFormatting>
  <conditionalFormatting sqref="CH50">
    <cfRule type="cellIs" dxfId="13189" priority="295" operator="equal">
      <formula>#REF!</formula>
    </cfRule>
    <cfRule type="cellIs" dxfId="13188" priority="296" operator="greaterThan">
      <formula>1</formula>
    </cfRule>
    <cfRule type="cellIs" dxfId="13187" priority="297" operator="equal">
      <formula>100%</formula>
    </cfRule>
    <cfRule type="cellIs" dxfId="13186" priority="298" operator="between">
      <formula>80%</formula>
      <formula>99%</formula>
    </cfRule>
    <cfRule type="cellIs" dxfId="13185" priority="299" operator="between">
      <formula>0%</formula>
      <formula>79%</formula>
    </cfRule>
  </conditionalFormatting>
  <conditionalFormatting sqref="CJ50">
    <cfRule type="cellIs" dxfId="13184" priority="289" operator="equal">
      <formula>#REF!</formula>
    </cfRule>
    <cfRule type="cellIs" dxfId="13183" priority="290" operator="greaterThan">
      <formula>1</formula>
    </cfRule>
    <cfRule type="cellIs" dxfId="13182" priority="291" operator="equal">
      <formula>100%</formula>
    </cfRule>
    <cfRule type="cellIs" dxfId="13181" priority="292" operator="between">
      <formula>80%</formula>
      <formula>99%</formula>
    </cfRule>
    <cfRule type="cellIs" dxfId="13180" priority="293" operator="between">
      <formula>0%</formula>
      <formula>79%</formula>
    </cfRule>
  </conditionalFormatting>
  <conditionalFormatting sqref="CL50">
    <cfRule type="cellIs" dxfId="13179" priority="283" operator="equal">
      <formula>#REF!</formula>
    </cfRule>
    <cfRule type="cellIs" dxfId="13178" priority="284" operator="greaterThan">
      <formula>1</formula>
    </cfRule>
    <cfRule type="cellIs" dxfId="13177" priority="285" operator="equal">
      <formula>100%</formula>
    </cfRule>
    <cfRule type="cellIs" dxfId="13176" priority="286" operator="between">
      <formula>80%</formula>
      <formula>99%</formula>
    </cfRule>
    <cfRule type="cellIs" dxfId="13175" priority="287" operator="between">
      <formula>0%</formula>
      <formula>79%</formula>
    </cfRule>
  </conditionalFormatting>
  <conditionalFormatting sqref="CE57:CE67 CG57:CG67 CI57:CI67 CK57:CK67">
    <cfRule type="cellIs" dxfId="13174" priority="277" operator="equal">
      <formula>#REF!</formula>
    </cfRule>
    <cfRule type="cellIs" dxfId="13173" priority="278" operator="greaterThan">
      <formula>1</formula>
    </cfRule>
    <cfRule type="cellIs" dxfId="13172" priority="279" operator="equal">
      <formula>100%</formula>
    </cfRule>
    <cfRule type="cellIs" dxfId="13171" priority="280" operator="between">
      <formula>80%</formula>
      <formula>99%</formula>
    </cfRule>
    <cfRule type="cellIs" dxfId="13170" priority="281" operator="between">
      <formula>0%</formula>
      <formula>79%</formula>
    </cfRule>
  </conditionalFormatting>
  <conditionalFormatting sqref="CE69:CE72 CG69:CG72 CI69:CI72 CK69:CK72">
    <cfRule type="cellIs" dxfId="13169" priority="271" operator="equal">
      <formula>#REF!</formula>
    </cfRule>
    <cfRule type="cellIs" dxfId="13168" priority="272" operator="greaterThan">
      <formula>1</formula>
    </cfRule>
    <cfRule type="cellIs" dxfId="13167" priority="273" operator="equal">
      <formula>100%</formula>
    </cfRule>
    <cfRule type="cellIs" dxfId="13166" priority="274" operator="between">
      <formula>80%</formula>
      <formula>99%</formula>
    </cfRule>
    <cfRule type="cellIs" dxfId="13165" priority="275" operator="between">
      <formula>0%</formula>
      <formula>79%</formula>
    </cfRule>
  </conditionalFormatting>
  <conditionalFormatting sqref="CE68 CG68 CI68 CK68">
    <cfRule type="cellIs" dxfId="13164" priority="265" operator="equal">
      <formula>#REF!</formula>
    </cfRule>
    <cfRule type="cellIs" dxfId="13163" priority="266" operator="greaterThan">
      <formula>1</formula>
    </cfRule>
    <cfRule type="cellIs" dxfId="13162" priority="267" operator="equal">
      <formula>100%</formula>
    </cfRule>
    <cfRule type="cellIs" dxfId="13161" priority="268" operator="between">
      <formula>80%</formula>
      <formula>99%</formula>
    </cfRule>
    <cfRule type="cellIs" dxfId="13160" priority="269" operator="between">
      <formula>0%</formula>
      <formula>79%</formula>
    </cfRule>
  </conditionalFormatting>
  <conditionalFormatting sqref="CE74:CL75">
    <cfRule type="cellIs" dxfId="13159" priority="259" operator="equal">
      <formula>#REF!</formula>
    </cfRule>
    <cfRule type="cellIs" dxfId="13158" priority="260" operator="greaterThan">
      <formula>1</formula>
    </cfRule>
    <cfRule type="cellIs" dxfId="13157" priority="261" operator="equal">
      <formula>100%</formula>
    </cfRule>
    <cfRule type="cellIs" dxfId="13156" priority="262" operator="between">
      <formula>80%</formula>
      <formula>99%</formula>
    </cfRule>
    <cfRule type="cellIs" dxfId="13155" priority="263" operator="between">
      <formula>0%</formula>
      <formula>79%</formula>
    </cfRule>
  </conditionalFormatting>
  <conditionalFormatting sqref="CE119:CL120">
    <cfRule type="cellIs" dxfId="13154" priority="247" operator="equal">
      <formula>#REF!</formula>
    </cfRule>
    <cfRule type="cellIs" dxfId="13153" priority="248" operator="greaterThan">
      <formula>1</formula>
    </cfRule>
    <cfRule type="cellIs" dxfId="13152" priority="249" operator="equal">
      <formula>100%</formula>
    </cfRule>
    <cfRule type="cellIs" dxfId="13151" priority="250" operator="between">
      <formula>80%</formula>
      <formula>99%</formula>
    </cfRule>
    <cfRule type="cellIs" dxfId="13150" priority="251" operator="between">
      <formula>0%</formula>
      <formula>79%</formula>
    </cfRule>
  </conditionalFormatting>
  <conditionalFormatting sqref="CE164:CL164">
    <cfRule type="cellIs" dxfId="13149" priority="241" operator="equal">
      <formula>#REF!</formula>
    </cfRule>
    <cfRule type="cellIs" dxfId="13148" priority="242" operator="greaterThan">
      <formula>1</formula>
    </cfRule>
    <cfRule type="cellIs" dxfId="13147" priority="243" operator="equal">
      <formula>100%</formula>
    </cfRule>
    <cfRule type="cellIs" dxfId="13146" priority="244" operator="between">
      <formula>80%</formula>
      <formula>99%</formula>
    </cfRule>
    <cfRule type="cellIs" dxfId="13145" priority="245" operator="between">
      <formula>0%</formula>
      <formula>79%</formula>
    </cfRule>
  </conditionalFormatting>
  <conditionalFormatting sqref="CE166:CL166 CE168:CL168 CE170:CL170">
    <cfRule type="cellIs" dxfId="13144" priority="235" operator="equal">
      <formula>#REF!</formula>
    </cfRule>
    <cfRule type="cellIs" dxfId="13143" priority="236" operator="greaterThan">
      <formula>1</formula>
    </cfRule>
    <cfRule type="cellIs" dxfId="13142" priority="237" operator="equal">
      <formula>100%</formula>
    </cfRule>
    <cfRule type="cellIs" dxfId="13141" priority="238" operator="between">
      <formula>80%</formula>
      <formula>99%</formula>
    </cfRule>
    <cfRule type="cellIs" dxfId="13140" priority="239" operator="between">
      <formula>0%</formula>
      <formula>79%</formula>
    </cfRule>
  </conditionalFormatting>
  <conditionalFormatting sqref="CE17:CL18">
    <cfRule type="cellIs" dxfId="13139" priority="229" operator="equal">
      <formula>#REF!</formula>
    </cfRule>
    <cfRule type="cellIs" dxfId="13138" priority="230" operator="greaterThan">
      <formula>1</formula>
    </cfRule>
    <cfRule type="cellIs" dxfId="13137" priority="231" operator="equal">
      <formula>100%</formula>
    </cfRule>
    <cfRule type="cellIs" dxfId="13136" priority="232" operator="between">
      <formula>80%</formula>
      <formula>99%</formula>
    </cfRule>
    <cfRule type="cellIs" dxfId="13135" priority="233" operator="between">
      <formula>0%</formula>
      <formula>79%</formula>
    </cfRule>
  </conditionalFormatting>
  <conditionalFormatting sqref="CE42:CL42">
    <cfRule type="cellIs" dxfId="13134" priority="217" operator="equal">
      <formula>#REF!</formula>
    </cfRule>
    <cfRule type="cellIs" dxfId="13133" priority="218" operator="greaterThan">
      <formula>1</formula>
    </cfRule>
    <cfRule type="cellIs" dxfId="13132" priority="219" operator="equal">
      <formula>100%</formula>
    </cfRule>
    <cfRule type="cellIs" dxfId="13131" priority="220" operator="between">
      <formula>80%</formula>
      <formula>99%</formula>
    </cfRule>
    <cfRule type="cellIs" dxfId="13130" priority="221" operator="between">
      <formula>0%</formula>
      <formula>79%</formula>
    </cfRule>
  </conditionalFormatting>
  <conditionalFormatting sqref="CE49:CL49">
    <cfRule type="cellIs" dxfId="13129" priority="211" operator="equal">
      <formula>#REF!</formula>
    </cfRule>
    <cfRule type="cellIs" dxfId="13128" priority="212" operator="greaterThan">
      <formula>1</formula>
    </cfRule>
    <cfRule type="cellIs" dxfId="13127" priority="213" operator="equal">
      <formula>100%</formula>
    </cfRule>
    <cfRule type="cellIs" dxfId="13126" priority="214" operator="between">
      <formula>80%</formula>
      <formula>99%</formula>
    </cfRule>
    <cfRule type="cellIs" dxfId="13125" priority="215" operator="between">
      <formula>0%</formula>
      <formula>79%</formula>
    </cfRule>
  </conditionalFormatting>
  <conditionalFormatting sqref="CE133:CL133">
    <cfRule type="cellIs" dxfId="13124" priority="205" operator="equal">
      <formula>#REF!</formula>
    </cfRule>
    <cfRule type="cellIs" dxfId="13123" priority="206" operator="greaterThan">
      <formula>1</formula>
    </cfRule>
    <cfRule type="cellIs" dxfId="13122" priority="207" operator="equal">
      <formula>100%</formula>
    </cfRule>
    <cfRule type="cellIs" dxfId="13121" priority="208" operator="between">
      <formula>80%</formula>
      <formula>99%</formula>
    </cfRule>
    <cfRule type="cellIs" dxfId="13120" priority="209" operator="between">
      <formula>0%</formula>
      <formula>79%</formula>
    </cfRule>
  </conditionalFormatting>
  <conditionalFormatting sqref="CE141:CL141">
    <cfRule type="cellIs" dxfId="13119" priority="199" operator="equal">
      <formula>#REF!</formula>
    </cfRule>
    <cfRule type="cellIs" dxfId="13118" priority="200" operator="greaterThan">
      <formula>1</formula>
    </cfRule>
    <cfRule type="cellIs" dxfId="13117" priority="201" operator="equal">
      <formula>100%</formula>
    </cfRule>
    <cfRule type="cellIs" dxfId="13116" priority="202" operator="between">
      <formula>80%</formula>
      <formula>99%</formula>
    </cfRule>
    <cfRule type="cellIs" dxfId="13115" priority="203" operator="between">
      <formula>0%</formula>
      <formula>79%</formula>
    </cfRule>
  </conditionalFormatting>
  <conditionalFormatting sqref="CE171:CL171">
    <cfRule type="cellIs" dxfId="13114" priority="187" operator="equal">
      <formula>#REF!</formula>
    </cfRule>
    <cfRule type="cellIs" dxfId="13113" priority="188" operator="greaterThan">
      <formula>1</formula>
    </cfRule>
    <cfRule type="cellIs" dxfId="13112" priority="189" operator="equal">
      <formula>100%</formula>
    </cfRule>
    <cfRule type="cellIs" dxfId="13111" priority="190" operator="between">
      <formula>80%</formula>
      <formula>99%</formula>
    </cfRule>
    <cfRule type="cellIs" dxfId="13110" priority="191" operator="between">
      <formula>0%</formula>
      <formula>79%</formula>
    </cfRule>
  </conditionalFormatting>
  <conditionalFormatting sqref="CE172:CL172">
    <cfRule type="cellIs" dxfId="13109" priority="181" operator="equal">
      <formula>#REF!</formula>
    </cfRule>
    <cfRule type="cellIs" dxfId="13108" priority="182" operator="greaterThan">
      <formula>1</formula>
    </cfRule>
    <cfRule type="cellIs" dxfId="13107" priority="183" operator="equal">
      <formula>100%</formula>
    </cfRule>
    <cfRule type="cellIs" dxfId="13106" priority="184" operator="between">
      <formula>80%</formula>
      <formula>99%</formula>
    </cfRule>
    <cfRule type="cellIs" dxfId="13105" priority="185" operator="between">
      <formula>0%</formula>
      <formula>79%</formula>
    </cfRule>
  </conditionalFormatting>
  <conditionalFormatting sqref="CE173:CL173">
    <cfRule type="cellIs" dxfId="13104" priority="175" operator="equal">
      <formula>#REF!</formula>
    </cfRule>
    <cfRule type="cellIs" dxfId="13103" priority="176" operator="greaterThan">
      <formula>1</formula>
    </cfRule>
    <cfRule type="cellIs" dxfId="13102" priority="177" operator="equal">
      <formula>100%</formula>
    </cfRule>
    <cfRule type="cellIs" dxfId="13101" priority="178" operator="between">
      <formula>80%</formula>
      <formula>99%</formula>
    </cfRule>
    <cfRule type="cellIs" dxfId="13100" priority="179" operator="between">
      <formula>0%</formula>
      <formula>79%</formula>
    </cfRule>
  </conditionalFormatting>
  <conditionalFormatting sqref="CE174:CL174">
    <cfRule type="cellIs" dxfId="13099" priority="169" operator="equal">
      <formula>#REF!</formula>
    </cfRule>
    <cfRule type="cellIs" dxfId="13098" priority="170" operator="greaterThan">
      <formula>1</formula>
    </cfRule>
    <cfRule type="cellIs" dxfId="13097" priority="171" operator="equal">
      <formula>100%</formula>
    </cfRule>
    <cfRule type="cellIs" dxfId="13096" priority="172" operator="between">
      <formula>80%</formula>
      <formula>99%</formula>
    </cfRule>
    <cfRule type="cellIs" dxfId="13095" priority="173" operator="between">
      <formula>0%</formula>
      <formula>79%</formula>
    </cfRule>
  </conditionalFormatting>
  <conditionalFormatting sqref="CE179:CL179">
    <cfRule type="cellIs" dxfId="13094" priority="163" operator="equal">
      <formula>#REF!</formula>
    </cfRule>
    <cfRule type="cellIs" dxfId="13093" priority="164" operator="greaterThan">
      <formula>1</formula>
    </cfRule>
    <cfRule type="cellIs" dxfId="13092" priority="165" operator="equal">
      <formula>100%</formula>
    </cfRule>
    <cfRule type="cellIs" dxfId="13091" priority="166" operator="between">
      <formula>80%</formula>
      <formula>99%</formula>
    </cfRule>
    <cfRule type="cellIs" dxfId="13090" priority="167" operator="between">
      <formula>0%</formula>
      <formula>79%</formula>
    </cfRule>
  </conditionalFormatting>
  <conditionalFormatting sqref="CE177:CL177">
    <cfRule type="cellIs" dxfId="13089" priority="157" operator="equal">
      <formula>#REF!</formula>
    </cfRule>
    <cfRule type="cellIs" dxfId="13088" priority="158" operator="greaterThan">
      <formula>1</formula>
    </cfRule>
    <cfRule type="cellIs" dxfId="13087" priority="159" operator="equal">
      <formula>100%</formula>
    </cfRule>
    <cfRule type="cellIs" dxfId="13086" priority="160" operator="between">
      <formula>80%</formula>
      <formula>99%</formula>
    </cfRule>
    <cfRule type="cellIs" dxfId="13085" priority="161" operator="between">
      <formula>0%</formula>
      <formula>79%</formula>
    </cfRule>
  </conditionalFormatting>
  <conditionalFormatting sqref="CE178:CL178">
    <cfRule type="cellIs" dxfId="13084" priority="151" operator="equal">
      <formula>#REF!</formula>
    </cfRule>
    <cfRule type="cellIs" dxfId="13083" priority="152" operator="greaterThan">
      <formula>1</formula>
    </cfRule>
    <cfRule type="cellIs" dxfId="13082" priority="153" operator="equal">
      <formula>100%</formula>
    </cfRule>
    <cfRule type="cellIs" dxfId="13081" priority="154" operator="between">
      <formula>80%</formula>
      <formula>99%</formula>
    </cfRule>
    <cfRule type="cellIs" dxfId="13080" priority="155" operator="between">
      <formula>0%</formula>
      <formula>79%</formula>
    </cfRule>
  </conditionalFormatting>
  <conditionalFormatting sqref="CF140:CL140">
    <cfRule type="cellIs" dxfId="13079" priority="145" operator="equal">
      <formula>#REF!</formula>
    </cfRule>
    <cfRule type="cellIs" dxfId="13078" priority="146" operator="greaterThan">
      <formula>1</formula>
    </cfRule>
    <cfRule type="cellIs" dxfId="13077" priority="147" operator="equal">
      <formula>100%</formula>
    </cfRule>
    <cfRule type="cellIs" dxfId="13076" priority="148" operator="between">
      <formula>80%</formula>
      <formula>99%</formula>
    </cfRule>
    <cfRule type="cellIs" dxfId="13075" priority="149" operator="between">
      <formula>0%</formula>
      <formula>79%</formula>
    </cfRule>
  </conditionalFormatting>
  <conditionalFormatting sqref="CE165:CL165">
    <cfRule type="cellIs" dxfId="13074" priority="139" operator="equal">
      <formula>#REF!</formula>
    </cfRule>
    <cfRule type="cellIs" dxfId="13073" priority="140" operator="greaterThan">
      <formula>1</formula>
    </cfRule>
    <cfRule type="cellIs" dxfId="13072" priority="141" operator="equal">
      <formula>100%</formula>
    </cfRule>
    <cfRule type="cellIs" dxfId="13071" priority="142" operator="between">
      <formula>80%</formula>
      <formula>99%</formula>
    </cfRule>
    <cfRule type="cellIs" dxfId="13070" priority="143" operator="between">
      <formula>0%</formula>
      <formula>79%</formula>
    </cfRule>
  </conditionalFormatting>
  <conditionalFormatting sqref="CE176:CL176">
    <cfRule type="cellIs" dxfId="13069" priority="133" operator="equal">
      <formula>#REF!</formula>
    </cfRule>
    <cfRule type="cellIs" dxfId="13068" priority="134" operator="greaterThan">
      <formula>1</formula>
    </cfRule>
    <cfRule type="cellIs" dxfId="13067" priority="135" operator="equal">
      <formula>100%</formula>
    </cfRule>
    <cfRule type="cellIs" dxfId="13066" priority="136" operator="between">
      <formula>80%</formula>
      <formula>99%</formula>
    </cfRule>
    <cfRule type="cellIs" dxfId="13065" priority="137" operator="between">
      <formula>0%</formula>
      <formula>79%</formula>
    </cfRule>
  </conditionalFormatting>
  <conditionalFormatting sqref="CE181:CE182 CG181:CG182 CI181:CI182 CK181:CK182">
    <cfRule type="cellIs" dxfId="13064" priority="127" operator="equal">
      <formula>#REF!</formula>
    </cfRule>
    <cfRule type="cellIs" dxfId="13063" priority="128" operator="greaterThan">
      <formula>1</formula>
    </cfRule>
    <cfRule type="cellIs" dxfId="13062" priority="129" operator="equal">
      <formula>100%</formula>
    </cfRule>
    <cfRule type="cellIs" dxfId="13061" priority="130" operator="between">
      <formula>80%</formula>
      <formula>99%</formula>
    </cfRule>
    <cfRule type="cellIs" dxfId="13060" priority="131" operator="between">
      <formula>0%</formula>
      <formula>79%</formula>
    </cfRule>
  </conditionalFormatting>
  <conditionalFormatting sqref="CE180 CG180 CI180 CK180">
    <cfRule type="cellIs" dxfId="13059" priority="121" operator="equal">
      <formula>#REF!</formula>
    </cfRule>
    <cfRule type="cellIs" dxfId="13058" priority="122" operator="greaterThan">
      <formula>1</formula>
    </cfRule>
    <cfRule type="cellIs" dxfId="13057" priority="123" operator="equal">
      <formula>100%</formula>
    </cfRule>
    <cfRule type="cellIs" dxfId="13056" priority="124" operator="between">
      <formula>80%</formula>
      <formula>99%</formula>
    </cfRule>
    <cfRule type="cellIs" dxfId="13055" priority="125" operator="between">
      <formula>0%</formula>
      <formula>79%</formula>
    </cfRule>
  </conditionalFormatting>
  <conditionalFormatting sqref="CF180">
    <cfRule type="cellIs" dxfId="13054" priority="115" operator="equal">
      <formula>#REF!</formula>
    </cfRule>
    <cfRule type="cellIs" dxfId="13053" priority="116" operator="greaterThan">
      <formula>1</formula>
    </cfRule>
    <cfRule type="cellIs" dxfId="13052" priority="117" operator="equal">
      <formula>100%</formula>
    </cfRule>
    <cfRule type="cellIs" dxfId="13051" priority="118" operator="between">
      <formula>80%</formula>
      <formula>99%</formula>
    </cfRule>
    <cfRule type="cellIs" dxfId="13050" priority="119" operator="between">
      <formula>0%</formula>
      <formula>79%</formula>
    </cfRule>
  </conditionalFormatting>
  <conditionalFormatting sqref="CF181:CF182">
    <cfRule type="cellIs" dxfId="13049" priority="109" operator="equal">
      <formula>#REF!</formula>
    </cfRule>
    <cfRule type="cellIs" dxfId="13048" priority="110" operator="greaterThan">
      <formula>1</formula>
    </cfRule>
    <cfRule type="cellIs" dxfId="13047" priority="111" operator="equal">
      <formula>100%</formula>
    </cfRule>
    <cfRule type="cellIs" dxfId="13046" priority="112" operator="between">
      <formula>80%</formula>
      <formula>99%</formula>
    </cfRule>
    <cfRule type="cellIs" dxfId="13045" priority="113" operator="between">
      <formula>0%</formula>
      <formula>79%</formula>
    </cfRule>
  </conditionalFormatting>
  <conditionalFormatting sqref="CH180:CH182">
    <cfRule type="cellIs" dxfId="13044" priority="103" operator="equal">
      <formula>#REF!</formula>
    </cfRule>
    <cfRule type="cellIs" dxfId="13043" priority="104" operator="greaterThan">
      <formula>1</formula>
    </cfRule>
    <cfRule type="cellIs" dxfId="13042" priority="105" operator="equal">
      <formula>100%</formula>
    </cfRule>
    <cfRule type="cellIs" dxfId="13041" priority="106" operator="between">
      <formula>80%</formula>
      <formula>99%</formula>
    </cfRule>
    <cfRule type="cellIs" dxfId="13040" priority="107" operator="between">
      <formula>0%</formula>
      <formula>79%</formula>
    </cfRule>
  </conditionalFormatting>
  <conditionalFormatting sqref="CJ180:CJ182">
    <cfRule type="cellIs" dxfId="13039" priority="97" operator="equal">
      <formula>#REF!</formula>
    </cfRule>
    <cfRule type="cellIs" dxfId="13038" priority="98" operator="greaterThan">
      <formula>1</formula>
    </cfRule>
    <cfRule type="cellIs" dxfId="13037" priority="99" operator="equal">
      <formula>100%</formula>
    </cfRule>
    <cfRule type="cellIs" dxfId="13036" priority="100" operator="between">
      <formula>80%</formula>
      <formula>99%</formula>
    </cfRule>
    <cfRule type="cellIs" dxfId="13035" priority="101" operator="between">
      <formula>0%</formula>
      <formula>79%</formula>
    </cfRule>
  </conditionalFormatting>
  <conditionalFormatting sqref="CL180:CL182">
    <cfRule type="cellIs" dxfId="13034" priority="91" operator="equal">
      <formula>#REF!</formula>
    </cfRule>
    <cfRule type="cellIs" dxfId="13033" priority="92" operator="greaterThan">
      <formula>1</formula>
    </cfRule>
    <cfRule type="cellIs" dxfId="13032" priority="93" operator="equal">
      <formula>100%</formula>
    </cfRule>
    <cfRule type="cellIs" dxfId="13031" priority="94" operator="between">
      <formula>80%</formula>
      <formula>99%</formula>
    </cfRule>
    <cfRule type="cellIs" dxfId="13030" priority="95" operator="between">
      <formula>0%</formula>
      <formula>79%</formula>
    </cfRule>
  </conditionalFormatting>
  <conditionalFormatting sqref="CE167:CL167">
    <cfRule type="cellIs" dxfId="13029" priority="85" operator="equal">
      <formula>#REF!</formula>
    </cfRule>
    <cfRule type="cellIs" dxfId="13028" priority="86" operator="greaterThan">
      <formula>1</formula>
    </cfRule>
    <cfRule type="cellIs" dxfId="13027" priority="87" operator="equal">
      <formula>100%</formula>
    </cfRule>
    <cfRule type="cellIs" dxfId="13026" priority="88" operator="between">
      <formula>80%</formula>
      <formula>99%</formula>
    </cfRule>
    <cfRule type="cellIs" dxfId="13025" priority="89" operator="between">
      <formula>0%</formula>
      <formula>79%</formula>
    </cfRule>
  </conditionalFormatting>
  <conditionalFormatting sqref="CE169:CL169">
    <cfRule type="cellIs" dxfId="13024" priority="79" operator="equal">
      <formula>#REF!</formula>
    </cfRule>
    <cfRule type="cellIs" dxfId="13023" priority="80" operator="greaterThan">
      <formula>1</formula>
    </cfRule>
    <cfRule type="cellIs" dxfId="13022" priority="81" operator="equal">
      <formula>100%</formula>
    </cfRule>
    <cfRule type="cellIs" dxfId="13021" priority="82" operator="between">
      <formula>80%</formula>
      <formula>99%</formula>
    </cfRule>
    <cfRule type="cellIs" dxfId="13020" priority="83" operator="between">
      <formula>0%</formula>
      <formula>79%</formula>
    </cfRule>
  </conditionalFormatting>
  <conditionalFormatting sqref="CE183:CL183">
    <cfRule type="cellIs" dxfId="13019" priority="73" operator="equal">
      <formula>#REF!</formula>
    </cfRule>
    <cfRule type="cellIs" dxfId="13018" priority="74" operator="greaterThan">
      <formula>1</formula>
    </cfRule>
    <cfRule type="cellIs" dxfId="13017" priority="75" operator="equal">
      <formula>100%</formula>
    </cfRule>
    <cfRule type="cellIs" dxfId="13016" priority="76" operator="between">
      <formula>80%</formula>
      <formula>99%</formula>
    </cfRule>
    <cfRule type="cellIs" dxfId="13015" priority="77" operator="between">
      <formula>0%</formula>
      <formula>79%</formula>
    </cfRule>
  </conditionalFormatting>
  <conditionalFormatting sqref="CE185:CL185">
    <cfRule type="cellIs" dxfId="13014" priority="67" operator="equal">
      <formula>#REF!</formula>
    </cfRule>
    <cfRule type="cellIs" dxfId="13013" priority="68" operator="greaterThan">
      <formula>1</formula>
    </cfRule>
    <cfRule type="cellIs" dxfId="13012" priority="69" operator="equal">
      <formula>100%</formula>
    </cfRule>
    <cfRule type="cellIs" dxfId="13011" priority="70" operator="between">
      <formula>80%</formula>
      <formula>99%</formula>
    </cfRule>
    <cfRule type="cellIs" dxfId="13010" priority="71" operator="between">
      <formula>0%</formula>
      <formula>79%</formula>
    </cfRule>
  </conditionalFormatting>
  <conditionalFormatting sqref="CE186:CL186">
    <cfRule type="cellIs" dxfId="13009" priority="49" operator="equal">
      <formula>#REF!</formula>
    </cfRule>
    <cfRule type="cellIs" dxfId="13008" priority="50" operator="greaterThan">
      <formula>1</formula>
    </cfRule>
    <cfRule type="cellIs" dxfId="13007" priority="51" operator="equal">
      <formula>100%</formula>
    </cfRule>
    <cfRule type="cellIs" dxfId="13006" priority="52" operator="between">
      <formula>80%</formula>
      <formula>99%</formula>
    </cfRule>
    <cfRule type="cellIs" dxfId="13005" priority="53" operator="between">
      <formula>0%</formula>
      <formula>79%</formula>
    </cfRule>
  </conditionalFormatting>
  <conditionalFormatting sqref="CE184:CL184">
    <cfRule type="cellIs" dxfId="13004" priority="55" operator="equal">
      <formula>#REF!</formula>
    </cfRule>
    <cfRule type="cellIs" dxfId="13003" priority="56" operator="greaterThan">
      <formula>1</formula>
    </cfRule>
    <cfRule type="cellIs" dxfId="13002" priority="57" operator="equal">
      <formula>100%</formula>
    </cfRule>
    <cfRule type="cellIs" dxfId="13001" priority="58" operator="between">
      <formula>80%</formula>
      <formula>99%</formula>
    </cfRule>
    <cfRule type="cellIs" dxfId="13000" priority="59" operator="between">
      <formula>0%</formula>
      <formula>79%</formula>
    </cfRule>
  </conditionalFormatting>
  <conditionalFormatting sqref="CE187:CL187">
    <cfRule type="cellIs" dxfId="12999" priority="43" operator="equal">
      <formula>#REF!</formula>
    </cfRule>
    <cfRule type="cellIs" dxfId="12998" priority="44" operator="greaterThan">
      <formula>1</formula>
    </cfRule>
    <cfRule type="cellIs" dxfId="12997" priority="45" operator="equal">
      <formula>100%</formula>
    </cfRule>
    <cfRule type="cellIs" dxfId="12996" priority="46" operator="between">
      <formula>80%</formula>
      <formula>99%</formula>
    </cfRule>
    <cfRule type="cellIs" dxfId="12995" priority="47" operator="between">
      <formula>0%</formula>
      <formula>79%</formula>
    </cfRule>
  </conditionalFormatting>
  <conditionalFormatting sqref="CE37:CL37">
    <cfRule type="cellIs" dxfId="12994" priority="7" operator="equal">
      <formula>#REF!</formula>
    </cfRule>
    <cfRule type="cellIs" dxfId="12993" priority="8" operator="greaterThan">
      <formula>1</formula>
    </cfRule>
    <cfRule type="cellIs" dxfId="12992" priority="9" operator="equal">
      <formula>100%</formula>
    </cfRule>
    <cfRule type="cellIs" dxfId="12991" priority="10" operator="between">
      <formula>80%</formula>
      <formula>99%</formula>
    </cfRule>
    <cfRule type="cellIs" dxfId="12990" priority="11" operator="between">
      <formula>0%</formula>
      <formula>79%</formula>
    </cfRule>
  </conditionalFormatting>
  <conditionalFormatting sqref="CE175:CL175">
    <cfRule type="cellIs" dxfId="12989" priority="1" operator="equal">
      <formula>#REF!</formula>
    </cfRule>
    <cfRule type="cellIs" dxfId="12988" priority="2" operator="greaterThan">
      <formula>1</formula>
    </cfRule>
    <cfRule type="cellIs" dxfId="12987" priority="3" operator="equal">
      <formula>100%</formula>
    </cfRule>
    <cfRule type="cellIs" dxfId="12986" priority="4" operator="between">
      <formula>80%</formula>
      <formula>99%</formula>
    </cfRule>
    <cfRule type="cellIs" dxfId="12985" priority="5" operator="between">
      <formula>0%</formula>
      <formula>79%</formula>
    </cfRule>
  </conditionalFormatting>
  <dataValidations count="1">
    <dataValidation type="list" allowBlank="1" showInputMessage="1" showErrorMessage="1" sqref="AK11:AK12" xr:uid="{A7F2FBCC-C470-4B04-B48E-DB387DC0B6BA}">
      <formula1>$AI$3:$AI$77</formula1>
    </dataValidation>
  </dataValidations>
  <pageMargins left="0.70866141732283472" right="0.70866141732283472" top="0.74803149606299213" bottom="0.74803149606299213" header="0.31496062992125984" footer="0.31496062992125984"/>
  <pageSetup paperSize="41" scale="31"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96" operator="containsText" id="{F67FCEFB-1651-46B0-8231-06091BCC6633}">
            <xm:f>NOT(ISERROR(SEARCH(#REF!,CE9)))</xm:f>
            <xm:f>#REF!</xm:f>
            <x14:dxf>
              <font>
                <color theme="4"/>
              </font>
              <fill>
                <patternFill>
                  <bgColor theme="5" tint="0.59996337778862885"/>
                </patternFill>
              </fill>
            </x14:dxf>
          </x14:cfRule>
          <xm:sqref>CE27:CE28 CG27:CG28 CI27:CI28 CK27:CK28 CE32:CE34 CG32:CG34 CI32:CI34 CK32:CK34 CE35:CL35 CE36 CG36 CI36 CK36 CE38:CL39 CE40 CG40 CI40 CK40 CE41:CL41 CE14:CL16 CE53:CL56 CE73:CL73 CE118:CL118 CE76:CL76 CE121:CL123 CE9:CL10 CE19:CL19 CE29:CL29 CE31:CL31 CE134:CL139 CE11:CE13 CG11:CG13 CI11:CI13 CK11:CK13 CE30 CG30 CI30 CK30 CE21:CL26</xm:sqref>
        </x14:conditionalFormatting>
        <x14:conditionalFormatting xmlns:xm="http://schemas.microsoft.com/office/excel/2006/main">
          <x14:cfRule type="containsText" priority="378" operator="containsText" id="{6EA3BC76-7B47-4BEE-96CB-02E2E4F496FB}">
            <xm:f>NOT(ISERROR(SEARCH(#REF!,CE20)))</xm:f>
            <xm:f>#REF!</xm:f>
            <x14:dxf>
              <font>
                <color theme="4"/>
              </font>
              <fill>
                <patternFill>
                  <bgColor theme="5" tint="0.59996337778862885"/>
                </patternFill>
              </fill>
            </x14:dxf>
          </x14:cfRule>
          <xm:sqref>CE51:CL52 CE124:CL131 CE43:CL48 CE20:CL20 CE149:CL151 CE157:CE158 CG157:CG158 CI157:CI158 CK157:CK158 CE77:CL80 CE86:CL94 CE113:CL117 CE188:CL189</xm:sqref>
        </x14:conditionalFormatting>
        <x14:conditionalFormatting xmlns:xm="http://schemas.microsoft.com/office/excel/2006/main">
          <x14:cfRule type="containsText" priority="366" operator="containsText" id="{A41498C6-55D0-4A8D-AEC9-6F9FD7FE57AF}">
            <xm:f>NOT(ISERROR(SEARCH(#REF!,CE140)))</xm:f>
            <xm:f>#REF!</xm:f>
            <x14:dxf>
              <font>
                <color theme="4"/>
              </font>
              <fill>
                <patternFill>
                  <bgColor theme="5" tint="0.59996337778862885"/>
                </patternFill>
              </fill>
            </x14:dxf>
          </x14:cfRule>
          <xm:sqref>CE140</xm:sqref>
        </x14:conditionalFormatting>
        <x14:conditionalFormatting xmlns:xm="http://schemas.microsoft.com/office/excel/2006/main">
          <x14:cfRule type="containsText" priority="354" operator="containsText" id="{E006C16F-C755-4477-B673-78B6B6763E49}">
            <xm:f>NOT(ISERROR(SEARCH(#REF!,CE132)))</xm:f>
            <xm:f>#REF!</xm:f>
            <x14:dxf>
              <font>
                <color theme="4"/>
              </font>
              <fill>
                <patternFill>
                  <bgColor theme="5" tint="0.59996337778862885"/>
                </patternFill>
              </fill>
            </x14:dxf>
          </x14:cfRule>
          <xm:sqref>CE132:CL132</xm:sqref>
        </x14:conditionalFormatting>
        <x14:conditionalFormatting xmlns:xm="http://schemas.microsoft.com/office/excel/2006/main">
          <x14:cfRule type="containsText" priority="336" operator="containsText" id="{46040948-1C03-4E3C-B0A6-032BEAAF7D8A}">
            <xm:f>NOT(ISERROR(SEARCH(#REF!,CE50)))</xm:f>
            <xm:f>#REF!</xm:f>
            <x14:dxf>
              <font>
                <color theme="4"/>
              </font>
              <fill>
                <patternFill>
                  <bgColor theme="5" tint="0.59996337778862885"/>
                </patternFill>
              </fill>
            </x14:dxf>
          </x14:cfRule>
          <xm:sqref>CE50 CG50 CI50 CK50</xm:sqref>
        </x14:conditionalFormatting>
        <x14:conditionalFormatting xmlns:xm="http://schemas.microsoft.com/office/excel/2006/main">
          <x14:cfRule type="containsText" priority="330" operator="containsText" id="{E70F7BF7-6F9E-4D05-8053-3A9A899605E0}">
            <xm:f>NOT(ISERROR(SEARCH(#REF!,CE142)))</xm:f>
            <xm:f>#REF!</xm:f>
            <x14:dxf>
              <font>
                <color theme="4"/>
              </font>
              <fill>
                <patternFill>
                  <bgColor theme="5" tint="0.59996337778862885"/>
                </patternFill>
              </fill>
            </x14:dxf>
          </x14:cfRule>
          <xm:sqref>CE142:CL148</xm:sqref>
        </x14:conditionalFormatting>
        <x14:conditionalFormatting xmlns:xm="http://schemas.microsoft.com/office/excel/2006/main">
          <x14:cfRule type="containsText" priority="312" operator="containsText" id="{02D322A3-76C5-4D6F-92D3-3F5489AFEBC0}">
            <xm:f>NOT(ISERROR(SEARCH(#REF!,CE152)))</xm:f>
            <xm:f>#REF!</xm:f>
            <x14:dxf>
              <font>
                <color theme="4"/>
              </font>
              <fill>
                <patternFill>
                  <bgColor theme="5" tint="0.59996337778862885"/>
                </patternFill>
              </fill>
            </x14:dxf>
          </x14:cfRule>
          <xm:sqref>CE152:CL153 CE154 CG154 CI154 CK154 CE159:CL163 CE155:CL156</xm:sqref>
        </x14:conditionalFormatting>
        <x14:conditionalFormatting xmlns:xm="http://schemas.microsoft.com/office/excel/2006/main">
          <x14:cfRule type="containsText" priority="306" operator="containsText" id="{32537C78-C461-4C08-B712-4D8975FA6D8D}">
            <xm:f>NOT(ISERROR(SEARCH(#REF!,CF50)))</xm:f>
            <xm:f>#REF!</xm:f>
            <x14:dxf>
              <font>
                <color theme="4"/>
              </font>
              <fill>
                <patternFill>
                  <bgColor theme="5" tint="0.59996337778862885"/>
                </patternFill>
              </fill>
            </x14:dxf>
          </x14:cfRule>
          <xm:sqref>CF50</xm:sqref>
        </x14:conditionalFormatting>
        <x14:conditionalFormatting xmlns:xm="http://schemas.microsoft.com/office/excel/2006/main">
          <x14:cfRule type="containsText" priority="300" operator="containsText" id="{DE262E13-B5B1-444B-9602-3437EF6B1594}">
            <xm:f>NOT(ISERROR(SEARCH(#REF!,CH50)))</xm:f>
            <xm:f>#REF!</xm:f>
            <x14:dxf>
              <font>
                <color theme="4"/>
              </font>
              <fill>
                <patternFill>
                  <bgColor theme="5" tint="0.59996337778862885"/>
                </patternFill>
              </fill>
            </x14:dxf>
          </x14:cfRule>
          <xm:sqref>CH50</xm:sqref>
        </x14:conditionalFormatting>
        <x14:conditionalFormatting xmlns:xm="http://schemas.microsoft.com/office/excel/2006/main">
          <x14:cfRule type="containsText" priority="294" operator="containsText" id="{C62F0164-3237-4590-AADE-52FABF3F6DB0}">
            <xm:f>NOT(ISERROR(SEARCH(#REF!,CJ50)))</xm:f>
            <xm:f>#REF!</xm:f>
            <x14:dxf>
              <font>
                <color theme="4"/>
              </font>
              <fill>
                <patternFill>
                  <bgColor theme="5" tint="0.59996337778862885"/>
                </patternFill>
              </fill>
            </x14:dxf>
          </x14:cfRule>
          <xm:sqref>CJ50</xm:sqref>
        </x14:conditionalFormatting>
        <x14:conditionalFormatting xmlns:xm="http://schemas.microsoft.com/office/excel/2006/main">
          <x14:cfRule type="containsText" priority="288" operator="containsText" id="{0B7B0C5D-5C30-4DD8-9FD1-32F397CA6C8C}">
            <xm:f>NOT(ISERROR(SEARCH(#REF!,CL50)))</xm:f>
            <xm:f>#REF!</xm:f>
            <x14:dxf>
              <font>
                <color theme="4"/>
              </font>
              <fill>
                <patternFill>
                  <bgColor theme="5" tint="0.59996337778862885"/>
                </patternFill>
              </fill>
            </x14:dxf>
          </x14:cfRule>
          <xm:sqref>CL50</xm:sqref>
        </x14:conditionalFormatting>
        <x14:conditionalFormatting xmlns:xm="http://schemas.microsoft.com/office/excel/2006/main">
          <x14:cfRule type="containsText" priority="282" operator="containsText" id="{D89882B5-2E06-4E60-B4F0-4E2E72705FAC}">
            <xm:f>NOT(ISERROR(SEARCH(#REF!,CE57)))</xm:f>
            <xm:f>#REF!</xm:f>
            <x14:dxf>
              <font>
                <color theme="4"/>
              </font>
              <fill>
                <patternFill>
                  <bgColor theme="5" tint="0.59996337778862885"/>
                </patternFill>
              </fill>
            </x14:dxf>
          </x14:cfRule>
          <xm:sqref>CE57:CE67 CG57:CG67 CI57:CI67 CK57:CK67</xm:sqref>
        </x14:conditionalFormatting>
        <x14:conditionalFormatting xmlns:xm="http://schemas.microsoft.com/office/excel/2006/main">
          <x14:cfRule type="containsText" priority="276" operator="containsText" id="{90BD323C-E337-4285-A66A-F2E2183DE72C}">
            <xm:f>NOT(ISERROR(SEARCH(#REF!,CE69)))</xm:f>
            <xm:f>#REF!</xm:f>
            <x14:dxf>
              <font>
                <color theme="4"/>
              </font>
              <fill>
                <patternFill>
                  <bgColor theme="5" tint="0.59996337778862885"/>
                </patternFill>
              </fill>
            </x14:dxf>
          </x14:cfRule>
          <xm:sqref>CE69:CE72 CG69:CG72 CI69:CI72 CK69:CK72</xm:sqref>
        </x14:conditionalFormatting>
        <x14:conditionalFormatting xmlns:xm="http://schemas.microsoft.com/office/excel/2006/main">
          <x14:cfRule type="containsText" priority="270" operator="containsText" id="{700A21AB-F92C-4D9F-9D01-E7DF45155813}">
            <xm:f>NOT(ISERROR(SEARCH(#REF!,CE68)))</xm:f>
            <xm:f>#REF!</xm:f>
            <x14:dxf>
              <font>
                <color theme="4"/>
              </font>
              <fill>
                <patternFill>
                  <bgColor theme="5" tint="0.59996337778862885"/>
                </patternFill>
              </fill>
            </x14:dxf>
          </x14:cfRule>
          <xm:sqref>CE68 CG68 CI68 CK68</xm:sqref>
        </x14:conditionalFormatting>
        <x14:conditionalFormatting xmlns:xm="http://schemas.microsoft.com/office/excel/2006/main">
          <x14:cfRule type="containsText" priority="264" operator="containsText" id="{4528DFAD-9749-4A65-A594-4C7E226BA19E}">
            <xm:f>NOT(ISERROR(SEARCH(#REF!,CE74)))</xm:f>
            <xm:f>#REF!</xm:f>
            <x14:dxf>
              <font>
                <color theme="4"/>
              </font>
              <fill>
                <patternFill>
                  <bgColor theme="5" tint="0.59996337778862885"/>
                </patternFill>
              </fill>
            </x14:dxf>
          </x14:cfRule>
          <xm:sqref>CE74:CL75</xm:sqref>
        </x14:conditionalFormatting>
        <x14:conditionalFormatting xmlns:xm="http://schemas.microsoft.com/office/excel/2006/main">
          <x14:cfRule type="containsText" priority="252" operator="containsText" id="{13D4B1AC-597A-49D9-A12E-9C97A2A5363C}">
            <xm:f>NOT(ISERROR(SEARCH(#REF!,CE119)))</xm:f>
            <xm:f>#REF!</xm:f>
            <x14:dxf>
              <font>
                <color theme="4"/>
              </font>
              <fill>
                <patternFill>
                  <bgColor theme="5" tint="0.59996337778862885"/>
                </patternFill>
              </fill>
            </x14:dxf>
          </x14:cfRule>
          <xm:sqref>CE119:CL120</xm:sqref>
        </x14:conditionalFormatting>
        <x14:conditionalFormatting xmlns:xm="http://schemas.microsoft.com/office/excel/2006/main">
          <x14:cfRule type="containsText" priority="246" operator="containsText" id="{98F0CD8D-0377-41FD-B87E-86A15E16D23F}">
            <xm:f>NOT(ISERROR(SEARCH(#REF!,CE164)))</xm:f>
            <xm:f>#REF!</xm:f>
            <x14:dxf>
              <font>
                <color theme="4"/>
              </font>
              <fill>
                <patternFill>
                  <bgColor theme="5" tint="0.59996337778862885"/>
                </patternFill>
              </fill>
            </x14:dxf>
          </x14:cfRule>
          <xm:sqref>CE164:CL164</xm:sqref>
        </x14:conditionalFormatting>
        <x14:conditionalFormatting xmlns:xm="http://schemas.microsoft.com/office/excel/2006/main">
          <x14:cfRule type="containsText" priority="240" operator="containsText" id="{D5AC3FA3-2FAF-40AF-961A-8634D52DB4B7}">
            <xm:f>NOT(ISERROR(SEARCH(#REF!,CE166)))</xm:f>
            <xm:f>#REF!</xm:f>
            <x14:dxf>
              <font>
                <color theme="4"/>
              </font>
              <fill>
                <patternFill>
                  <bgColor theme="5" tint="0.59996337778862885"/>
                </patternFill>
              </fill>
            </x14:dxf>
          </x14:cfRule>
          <xm:sqref>CE166:CL166 CE168:CL168 CE170:CL170</xm:sqref>
        </x14:conditionalFormatting>
        <x14:conditionalFormatting xmlns:xm="http://schemas.microsoft.com/office/excel/2006/main">
          <x14:cfRule type="containsText" priority="234" operator="containsText" id="{FDCDD874-DA9E-4A39-ABA4-870E818434FF}">
            <xm:f>NOT(ISERROR(SEARCH(#REF!,CE17)))</xm:f>
            <xm:f>#REF!</xm:f>
            <x14:dxf>
              <font>
                <color theme="4"/>
              </font>
              <fill>
                <patternFill>
                  <bgColor theme="5" tint="0.59996337778862885"/>
                </patternFill>
              </fill>
            </x14:dxf>
          </x14:cfRule>
          <xm:sqref>CE17:CL18</xm:sqref>
        </x14:conditionalFormatting>
        <x14:conditionalFormatting xmlns:xm="http://schemas.microsoft.com/office/excel/2006/main">
          <x14:cfRule type="containsText" priority="222" operator="containsText" id="{64F2467A-17BB-4AAB-B010-D8D003E645A5}">
            <xm:f>NOT(ISERROR(SEARCH(#REF!,CE42)))</xm:f>
            <xm:f>#REF!</xm:f>
            <x14:dxf>
              <font>
                <color theme="4"/>
              </font>
              <fill>
                <patternFill>
                  <bgColor theme="5" tint="0.59996337778862885"/>
                </patternFill>
              </fill>
            </x14:dxf>
          </x14:cfRule>
          <xm:sqref>CE42:CL42</xm:sqref>
        </x14:conditionalFormatting>
        <x14:conditionalFormatting xmlns:xm="http://schemas.microsoft.com/office/excel/2006/main">
          <x14:cfRule type="containsText" priority="216" operator="containsText" id="{F9D99119-1067-4014-96DD-0833587C6C2A}">
            <xm:f>NOT(ISERROR(SEARCH(#REF!,CE49)))</xm:f>
            <xm:f>#REF!</xm:f>
            <x14:dxf>
              <font>
                <color theme="4"/>
              </font>
              <fill>
                <patternFill>
                  <bgColor theme="5" tint="0.59996337778862885"/>
                </patternFill>
              </fill>
            </x14:dxf>
          </x14:cfRule>
          <xm:sqref>CE49:CL49</xm:sqref>
        </x14:conditionalFormatting>
        <x14:conditionalFormatting xmlns:xm="http://schemas.microsoft.com/office/excel/2006/main">
          <x14:cfRule type="containsText" priority="210" operator="containsText" id="{8BFCBAF8-2997-43AA-B4CB-42E341217E76}">
            <xm:f>NOT(ISERROR(SEARCH(#REF!,CE133)))</xm:f>
            <xm:f>#REF!</xm:f>
            <x14:dxf>
              <font>
                <color theme="4"/>
              </font>
              <fill>
                <patternFill>
                  <bgColor theme="5" tint="0.59996337778862885"/>
                </patternFill>
              </fill>
            </x14:dxf>
          </x14:cfRule>
          <xm:sqref>CE133:CL133</xm:sqref>
        </x14:conditionalFormatting>
        <x14:conditionalFormatting xmlns:xm="http://schemas.microsoft.com/office/excel/2006/main">
          <x14:cfRule type="containsText" priority="204" operator="containsText" id="{7149D677-3E44-4ADB-8FB4-EF5DDDA78A50}">
            <xm:f>NOT(ISERROR(SEARCH(#REF!,CE141)))</xm:f>
            <xm:f>#REF!</xm:f>
            <x14:dxf>
              <font>
                <color theme="4"/>
              </font>
              <fill>
                <patternFill>
                  <bgColor theme="5" tint="0.59996337778862885"/>
                </patternFill>
              </fill>
            </x14:dxf>
          </x14:cfRule>
          <xm:sqref>CE141:CL141</xm:sqref>
        </x14:conditionalFormatting>
        <x14:conditionalFormatting xmlns:xm="http://schemas.microsoft.com/office/excel/2006/main">
          <x14:cfRule type="containsText" priority="192" operator="containsText" id="{A724C3E8-11E5-4D49-94B9-5DC49A331F88}">
            <xm:f>NOT(ISERROR(SEARCH(#REF!,CE171)))</xm:f>
            <xm:f>#REF!</xm:f>
            <x14:dxf>
              <font>
                <color theme="4"/>
              </font>
              <fill>
                <patternFill>
                  <bgColor theme="5" tint="0.59996337778862885"/>
                </patternFill>
              </fill>
            </x14:dxf>
          </x14:cfRule>
          <xm:sqref>CE171:CL171</xm:sqref>
        </x14:conditionalFormatting>
        <x14:conditionalFormatting xmlns:xm="http://schemas.microsoft.com/office/excel/2006/main">
          <x14:cfRule type="containsText" priority="186" operator="containsText" id="{7B77C576-E471-4EB9-8C9D-67226FBACDB9}">
            <xm:f>NOT(ISERROR(SEARCH(#REF!,CE172)))</xm:f>
            <xm:f>#REF!</xm:f>
            <x14:dxf>
              <font>
                <color theme="4"/>
              </font>
              <fill>
                <patternFill>
                  <bgColor theme="5" tint="0.59996337778862885"/>
                </patternFill>
              </fill>
            </x14:dxf>
          </x14:cfRule>
          <xm:sqref>CE172:CL172</xm:sqref>
        </x14:conditionalFormatting>
        <x14:conditionalFormatting xmlns:xm="http://schemas.microsoft.com/office/excel/2006/main">
          <x14:cfRule type="containsText" priority="180" operator="containsText" id="{C68E2EE1-7152-474A-9835-4F4885AA5B73}">
            <xm:f>NOT(ISERROR(SEARCH(#REF!,CE173)))</xm:f>
            <xm:f>#REF!</xm:f>
            <x14:dxf>
              <font>
                <color theme="4"/>
              </font>
              <fill>
                <patternFill>
                  <bgColor theme="5" tint="0.59996337778862885"/>
                </patternFill>
              </fill>
            </x14:dxf>
          </x14:cfRule>
          <xm:sqref>CE173:CL173</xm:sqref>
        </x14:conditionalFormatting>
        <x14:conditionalFormatting xmlns:xm="http://schemas.microsoft.com/office/excel/2006/main">
          <x14:cfRule type="containsText" priority="174" operator="containsText" id="{B024841C-C5BE-4E89-B748-0634F701B409}">
            <xm:f>NOT(ISERROR(SEARCH(#REF!,CE174)))</xm:f>
            <xm:f>#REF!</xm:f>
            <x14:dxf>
              <font>
                <color theme="4"/>
              </font>
              <fill>
                <patternFill>
                  <bgColor theme="5" tint="0.59996337778862885"/>
                </patternFill>
              </fill>
            </x14:dxf>
          </x14:cfRule>
          <xm:sqref>CE174:CL174</xm:sqref>
        </x14:conditionalFormatting>
        <x14:conditionalFormatting xmlns:xm="http://schemas.microsoft.com/office/excel/2006/main">
          <x14:cfRule type="containsText" priority="168" operator="containsText" id="{AB3F8E5C-E256-4253-933B-B648C1699252}">
            <xm:f>NOT(ISERROR(SEARCH(#REF!,CE179)))</xm:f>
            <xm:f>#REF!</xm:f>
            <x14:dxf>
              <font>
                <color theme="4"/>
              </font>
              <fill>
                <patternFill>
                  <bgColor theme="5" tint="0.59996337778862885"/>
                </patternFill>
              </fill>
            </x14:dxf>
          </x14:cfRule>
          <xm:sqref>CE179:CL179</xm:sqref>
        </x14:conditionalFormatting>
        <x14:conditionalFormatting xmlns:xm="http://schemas.microsoft.com/office/excel/2006/main">
          <x14:cfRule type="containsText" priority="162" operator="containsText" id="{1B3B8ED6-F5C1-4095-8356-F71D3E9B2167}">
            <xm:f>NOT(ISERROR(SEARCH(#REF!,CE177)))</xm:f>
            <xm:f>#REF!</xm:f>
            <x14:dxf>
              <font>
                <color theme="4"/>
              </font>
              <fill>
                <patternFill>
                  <bgColor theme="5" tint="0.59996337778862885"/>
                </patternFill>
              </fill>
            </x14:dxf>
          </x14:cfRule>
          <xm:sqref>CE177:CL177</xm:sqref>
        </x14:conditionalFormatting>
        <x14:conditionalFormatting xmlns:xm="http://schemas.microsoft.com/office/excel/2006/main">
          <x14:cfRule type="containsText" priority="156" operator="containsText" id="{FDCA0278-EA96-452F-8251-A3CF5C6E108A}">
            <xm:f>NOT(ISERROR(SEARCH(#REF!,CE178)))</xm:f>
            <xm:f>#REF!</xm:f>
            <x14:dxf>
              <font>
                <color theme="4"/>
              </font>
              <fill>
                <patternFill>
                  <bgColor theme="5" tint="0.59996337778862885"/>
                </patternFill>
              </fill>
            </x14:dxf>
          </x14:cfRule>
          <xm:sqref>CE178:CL178</xm:sqref>
        </x14:conditionalFormatting>
        <x14:conditionalFormatting xmlns:xm="http://schemas.microsoft.com/office/excel/2006/main">
          <x14:cfRule type="containsText" priority="150" operator="containsText" id="{E11D5AB6-704C-492D-A245-EC11CE14CFE9}">
            <xm:f>NOT(ISERROR(SEARCH(#REF!,CF140)))</xm:f>
            <xm:f>#REF!</xm:f>
            <x14:dxf>
              <font>
                <color theme="4"/>
              </font>
              <fill>
                <patternFill>
                  <bgColor theme="5" tint="0.59996337778862885"/>
                </patternFill>
              </fill>
            </x14:dxf>
          </x14:cfRule>
          <xm:sqref>CF140:CL140</xm:sqref>
        </x14:conditionalFormatting>
        <x14:conditionalFormatting xmlns:xm="http://schemas.microsoft.com/office/excel/2006/main">
          <x14:cfRule type="containsText" priority="144" operator="containsText" id="{A29D710B-2B33-4B53-A29B-8EA5831A26AD}">
            <xm:f>NOT(ISERROR(SEARCH(#REF!,CE165)))</xm:f>
            <xm:f>#REF!</xm:f>
            <x14:dxf>
              <font>
                <color theme="4"/>
              </font>
              <fill>
                <patternFill>
                  <bgColor theme="5" tint="0.59996337778862885"/>
                </patternFill>
              </fill>
            </x14:dxf>
          </x14:cfRule>
          <xm:sqref>CE165:CL165</xm:sqref>
        </x14:conditionalFormatting>
        <x14:conditionalFormatting xmlns:xm="http://schemas.microsoft.com/office/excel/2006/main">
          <x14:cfRule type="containsText" priority="138" operator="containsText" id="{4836BDCB-BDA5-4BE7-B816-F928003A6201}">
            <xm:f>NOT(ISERROR(SEARCH(#REF!,CE176)))</xm:f>
            <xm:f>#REF!</xm:f>
            <x14:dxf>
              <font>
                <color theme="4"/>
              </font>
              <fill>
                <patternFill>
                  <bgColor theme="5" tint="0.59996337778862885"/>
                </patternFill>
              </fill>
            </x14:dxf>
          </x14:cfRule>
          <xm:sqref>CE176:CL176</xm:sqref>
        </x14:conditionalFormatting>
        <x14:conditionalFormatting xmlns:xm="http://schemas.microsoft.com/office/excel/2006/main">
          <x14:cfRule type="containsText" priority="132" operator="containsText" id="{85221974-89C4-4AFE-8F73-4ACF980E62D2}">
            <xm:f>NOT(ISERROR(SEARCH(#REF!,CE181)))</xm:f>
            <xm:f>#REF!</xm:f>
            <x14:dxf>
              <font>
                <color theme="4"/>
              </font>
              <fill>
                <patternFill>
                  <bgColor theme="5" tint="0.59996337778862885"/>
                </patternFill>
              </fill>
            </x14:dxf>
          </x14:cfRule>
          <xm:sqref>CE181:CE182 CG181:CG182 CI181:CI182 CK181:CK182</xm:sqref>
        </x14:conditionalFormatting>
        <x14:conditionalFormatting xmlns:xm="http://schemas.microsoft.com/office/excel/2006/main">
          <x14:cfRule type="containsText" priority="126" operator="containsText" id="{419CE7AE-C2DF-4A48-A8DE-C82A2BADAB93}">
            <xm:f>NOT(ISERROR(SEARCH(#REF!,CE180)))</xm:f>
            <xm:f>#REF!</xm:f>
            <x14:dxf>
              <font>
                <color theme="4"/>
              </font>
              <fill>
                <patternFill>
                  <bgColor theme="5" tint="0.59996337778862885"/>
                </patternFill>
              </fill>
            </x14:dxf>
          </x14:cfRule>
          <xm:sqref>CE180 CG180 CI180 CK180</xm:sqref>
        </x14:conditionalFormatting>
        <x14:conditionalFormatting xmlns:xm="http://schemas.microsoft.com/office/excel/2006/main">
          <x14:cfRule type="containsText" priority="120" operator="containsText" id="{60176BF5-B217-4C6C-BA51-5F8F279ED88F}">
            <xm:f>NOT(ISERROR(SEARCH(#REF!,CF180)))</xm:f>
            <xm:f>#REF!</xm:f>
            <x14:dxf>
              <font>
                <color theme="4"/>
              </font>
              <fill>
                <patternFill>
                  <bgColor theme="5" tint="0.59996337778862885"/>
                </patternFill>
              </fill>
            </x14:dxf>
          </x14:cfRule>
          <xm:sqref>CF180</xm:sqref>
        </x14:conditionalFormatting>
        <x14:conditionalFormatting xmlns:xm="http://schemas.microsoft.com/office/excel/2006/main">
          <x14:cfRule type="containsText" priority="114" operator="containsText" id="{33B5BA16-A17F-4C6F-8DCD-C5EF81548F32}">
            <xm:f>NOT(ISERROR(SEARCH(#REF!,CF181)))</xm:f>
            <xm:f>#REF!</xm:f>
            <x14:dxf>
              <font>
                <color theme="4"/>
              </font>
              <fill>
                <patternFill>
                  <bgColor theme="5" tint="0.59996337778862885"/>
                </patternFill>
              </fill>
            </x14:dxf>
          </x14:cfRule>
          <xm:sqref>CF181:CF182</xm:sqref>
        </x14:conditionalFormatting>
        <x14:conditionalFormatting xmlns:xm="http://schemas.microsoft.com/office/excel/2006/main">
          <x14:cfRule type="containsText" priority="108" operator="containsText" id="{A8E1C0E6-DF3E-4F59-A86E-9BE28111B8E9}">
            <xm:f>NOT(ISERROR(SEARCH(#REF!,CH180)))</xm:f>
            <xm:f>#REF!</xm:f>
            <x14:dxf>
              <font>
                <color theme="4"/>
              </font>
              <fill>
                <patternFill>
                  <bgColor theme="5" tint="0.59996337778862885"/>
                </patternFill>
              </fill>
            </x14:dxf>
          </x14:cfRule>
          <xm:sqref>CH180:CH182</xm:sqref>
        </x14:conditionalFormatting>
        <x14:conditionalFormatting xmlns:xm="http://schemas.microsoft.com/office/excel/2006/main">
          <x14:cfRule type="containsText" priority="102" operator="containsText" id="{86A2B197-CB67-4C79-BCF6-A9D8FE935EA7}">
            <xm:f>NOT(ISERROR(SEARCH(#REF!,CJ180)))</xm:f>
            <xm:f>#REF!</xm:f>
            <x14:dxf>
              <font>
                <color theme="4"/>
              </font>
              <fill>
                <patternFill>
                  <bgColor theme="5" tint="0.59996337778862885"/>
                </patternFill>
              </fill>
            </x14:dxf>
          </x14:cfRule>
          <xm:sqref>CJ180:CJ182</xm:sqref>
        </x14:conditionalFormatting>
        <x14:conditionalFormatting xmlns:xm="http://schemas.microsoft.com/office/excel/2006/main">
          <x14:cfRule type="containsText" priority="96" operator="containsText" id="{60730825-FD0D-4D72-B469-C060CBA4A03F}">
            <xm:f>NOT(ISERROR(SEARCH(#REF!,CL180)))</xm:f>
            <xm:f>#REF!</xm:f>
            <x14:dxf>
              <font>
                <color theme="4"/>
              </font>
              <fill>
                <patternFill>
                  <bgColor theme="5" tint="0.59996337778862885"/>
                </patternFill>
              </fill>
            </x14:dxf>
          </x14:cfRule>
          <xm:sqref>CL180:CL182</xm:sqref>
        </x14:conditionalFormatting>
        <x14:conditionalFormatting xmlns:xm="http://schemas.microsoft.com/office/excel/2006/main">
          <x14:cfRule type="containsText" priority="90" operator="containsText" id="{271B4C6F-4F3F-4705-9AD0-D02EE861EFBE}">
            <xm:f>NOT(ISERROR(SEARCH(#REF!,CE167)))</xm:f>
            <xm:f>#REF!</xm:f>
            <x14:dxf>
              <font>
                <color theme="4"/>
              </font>
              <fill>
                <patternFill>
                  <bgColor theme="5" tint="0.59996337778862885"/>
                </patternFill>
              </fill>
            </x14:dxf>
          </x14:cfRule>
          <xm:sqref>CE167:CL167</xm:sqref>
        </x14:conditionalFormatting>
        <x14:conditionalFormatting xmlns:xm="http://schemas.microsoft.com/office/excel/2006/main">
          <x14:cfRule type="containsText" priority="84" operator="containsText" id="{1A354EC5-31DE-4A4A-8CBE-6596C5F09CEF}">
            <xm:f>NOT(ISERROR(SEARCH(#REF!,CE169)))</xm:f>
            <xm:f>#REF!</xm:f>
            <x14:dxf>
              <font>
                <color theme="4"/>
              </font>
              <fill>
                <patternFill>
                  <bgColor theme="5" tint="0.59996337778862885"/>
                </patternFill>
              </fill>
            </x14:dxf>
          </x14:cfRule>
          <xm:sqref>CE169:CL169</xm:sqref>
        </x14:conditionalFormatting>
        <x14:conditionalFormatting xmlns:xm="http://schemas.microsoft.com/office/excel/2006/main">
          <x14:cfRule type="containsText" priority="78" operator="containsText" id="{32943A91-5464-45D2-A762-5CF5AA4C68B6}">
            <xm:f>NOT(ISERROR(SEARCH(#REF!,CE183)))</xm:f>
            <xm:f>#REF!</xm:f>
            <x14:dxf>
              <font>
                <color theme="4"/>
              </font>
              <fill>
                <patternFill>
                  <bgColor theme="5" tint="0.59996337778862885"/>
                </patternFill>
              </fill>
            </x14:dxf>
          </x14:cfRule>
          <xm:sqref>CE183:CL183</xm:sqref>
        </x14:conditionalFormatting>
        <x14:conditionalFormatting xmlns:xm="http://schemas.microsoft.com/office/excel/2006/main">
          <x14:cfRule type="containsText" priority="72" operator="containsText" id="{87C4090E-43AA-4E3F-ADD4-9475FF87760B}">
            <xm:f>NOT(ISERROR(SEARCH(#REF!,CE185)))</xm:f>
            <xm:f>#REF!</xm:f>
            <x14:dxf>
              <font>
                <color theme="4"/>
              </font>
              <fill>
                <patternFill>
                  <bgColor theme="5" tint="0.59996337778862885"/>
                </patternFill>
              </fill>
            </x14:dxf>
          </x14:cfRule>
          <xm:sqref>CE185:CL185</xm:sqref>
        </x14:conditionalFormatting>
        <x14:conditionalFormatting xmlns:xm="http://schemas.microsoft.com/office/excel/2006/main">
          <x14:cfRule type="containsText" priority="54" operator="containsText" id="{F0710E37-2082-421F-8C15-C0C6B8469E32}">
            <xm:f>NOT(ISERROR(SEARCH(#REF!,CE186)))</xm:f>
            <xm:f>#REF!</xm:f>
            <x14:dxf>
              <font>
                <color theme="4"/>
              </font>
              <fill>
                <patternFill>
                  <bgColor theme="5" tint="0.59996337778862885"/>
                </patternFill>
              </fill>
            </x14:dxf>
          </x14:cfRule>
          <xm:sqref>CE186:CL186</xm:sqref>
        </x14:conditionalFormatting>
        <x14:conditionalFormatting xmlns:xm="http://schemas.microsoft.com/office/excel/2006/main">
          <x14:cfRule type="containsText" priority="60" operator="containsText" id="{6EC72F39-3487-4DC6-B3EC-08114E26740F}">
            <xm:f>NOT(ISERROR(SEARCH(#REF!,CE184)))</xm:f>
            <xm:f>#REF!</xm:f>
            <x14:dxf>
              <font>
                <color theme="4"/>
              </font>
              <fill>
                <patternFill>
                  <bgColor theme="5" tint="0.59996337778862885"/>
                </patternFill>
              </fill>
            </x14:dxf>
          </x14:cfRule>
          <xm:sqref>CE184:CL184</xm:sqref>
        </x14:conditionalFormatting>
        <x14:conditionalFormatting xmlns:xm="http://schemas.microsoft.com/office/excel/2006/main">
          <x14:cfRule type="containsText" priority="48" operator="containsText" id="{789F583C-054D-4766-BB41-23183E4BAE30}">
            <xm:f>NOT(ISERROR(SEARCH(#REF!,CE187)))</xm:f>
            <xm:f>#REF!</xm:f>
            <x14:dxf>
              <font>
                <color theme="4"/>
              </font>
              <fill>
                <patternFill>
                  <bgColor theme="5" tint="0.59996337778862885"/>
                </patternFill>
              </fill>
            </x14:dxf>
          </x14:cfRule>
          <xm:sqref>CE187:CL187</xm:sqref>
        </x14:conditionalFormatting>
        <x14:conditionalFormatting xmlns:xm="http://schemas.microsoft.com/office/excel/2006/main">
          <x14:cfRule type="containsText" priority="12" operator="containsText" id="{C794C202-D648-4D06-9EA7-5DEA0069B80F}">
            <xm:f>NOT(ISERROR(SEARCH(#REF!,CE37)))</xm:f>
            <xm:f>#REF!</xm:f>
            <x14:dxf>
              <font>
                <color theme="4"/>
              </font>
              <fill>
                <patternFill>
                  <bgColor theme="5" tint="0.59996337778862885"/>
                </patternFill>
              </fill>
            </x14:dxf>
          </x14:cfRule>
          <xm:sqref>CE37:CL37</xm:sqref>
        </x14:conditionalFormatting>
        <x14:conditionalFormatting xmlns:xm="http://schemas.microsoft.com/office/excel/2006/main">
          <x14:cfRule type="containsText" priority="6" operator="containsText" id="{40D3F217-206D-44AA-BA78-06DCECBB71B6}">
            <xm:f>NOT(ISERROR(SEARCH(#REF!,CE175)))</xm:f>
            <xm:f>#REF!</xm:f>
            <x14:dxf>
              <font>
                <color theme="4"/>
              </font>
              <fill>
                <patternFill>
                  <bgColor theme="5" tint="0.59996337778862885"/>
                </patternFill>
              </fill>
            </x14:dxf>
          </x14:cfRule>
          <xm:sqref>CE175:CL175</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00000000-0002-0000-0400-000002000000}">
          <x14:formula1>
            <xm:f>'TAB. REF. PA'!$D$4:$D$9</xm:f>
          </x14:formula1>
          <xm:sqref>T9:T12 T141 T168 T187 T14:T139 T152:T166 T170:T182</xm:sqref>
        </x14:dataValidation>
        <x14:dataValidation type="list" allowBlank="1" showInputMessage="1" showErrorMessage="1" xr:uid="{00000000-0002-0000-0400-000003000000}">
          <x14:formula1>
            <xm:f>'TAB. REF. PA'!$F$4:$F$10</xm:f>
          </x14:formula1>
          <xm:sqref>AE9:AE10 AE155:AE156 AE113:AE153 AE14:AE29 AE187 AE31:AE94 AE159:AE179</xm:sqref>
        </x14:dataValidation>
        <x14:dataValidation type="list" allowBlank="1" showInputMessage="1" showErrorMessage="1" xr:uid="{00000000-0002-0000-0400-000004000000}">
          <x14:formula1>
            <xm:f>'TAB. REF. PA'!$H$4:$H$21</xm:f>
          </x14:formula1>
          <xm:sqref>AF9:AF10 AF187 AF155:AF156 AF113:AF153 AF14:AF29 AF44:AF94 AF31:AF42 AF159:AF179</xm:sqref>
        </x14:dataValidation>
        <x14:dataValidation type="list" allowBlank="1" showInputMessage="1" showErrorMessage="1" xr:uid="{00000000-0002-0000-0400-000005000000}">
          <x14:formula1>
            <xm:f>'TAB. REF. PA'!$J$4:$J$6</xm:f>
          </x14:formula1>
          <xm:sqref>AG9:AH10 AG155:AG156 AG113:AG153 AG14:AG29 AG187 AG31:AG94 AG159:AG179</xm:sqref>
        </x14:dataValidation>
        <x14:dataValidation type="list" allowBlank="1" showInputMessage="1" showErrorMessage="1" xr:uid="{00000000-0002-0000-0400-000008000000}">
          <x14:formula1>
            <xm:f>'TAB. REF. PA'!$U$4:$U$24</xm:f>
          </x14:formula1>
          <xm:sqref>AL9 AL14 AL145 AL148 AL150:AL151 AL56:AL94 AL113:AL131</xm:sqref>
        </x14:dataValidation>
        <x14:dataValidation type="list" allowBlank="1" showInputMessage="1" showErrorMessage="1" xr:uid="{00000000-0002-0000-0400-000009000000}">
          <x14:formula1>
            <xm:f>'TAB. REF. PA'!$D$4:$D$10</xm:f>
          </x14:formula1>
          <xm:sqref>T140</xm:sqref>
        </x14:dataValidation>
        <x14:dataValidation type="list" allowBlank="1" showInputMessage="1" showErrorMessage="1" xr:uid="{00000000-0002-0000-0400-00000B000000}">
          <x14:formula1>
            <xm:f>'C:\Users\martha.serna\ADRES\DIANA FERNANDA FORERO CORREDOR - GRUPO GESTIÓN DE SERVICIO AL CIUDADANO\[Plan Accion Integrado ADRES Vigencia 2018  con cuadro de mando V4.xlsx]TAB. REF. PA'!#REF!</xm:f>
          </x14:formula1>
          <xm:sqref>AK122</xm:sqref>
        </x14:dataValidation>
        <x14:dataValidation type="list" allowBlank="1" showInputMessage="1" showErrorMessage="1" xr:uid="{00000000-0002-0000-0400-00000C000000}">
          <x14:formula1>
            <xm:f>'C:\Users\norela.briceno\Documents\Plan de acción\Plan Accion 2018\[Plan Accion Integrado ADRES Vigencia 2018 V3.xlsx]TAB. REF. PA'!#REF!</xm:f>
          </x14:formula1>
          <xm:sqref>AL132</xm:sqref>
        </x14:dataValidation>
        <x14:dataValidation type="list" allowBlank="1" showInputMessage="1" showErrorMessage="1" xr:uid="{00000000-0002-0000-0400-000010000000}">
          <x14:formula1>
            <xm:f>'TAB. REF. PA'!$B$4:$B$14</xm:f>
          </x14:formula1>
          <xm:sqref>B9:B12 B14:B16 B176:B179 B183:B189 B146:B173 B18:B144</xm:sqref>
        </x14:dataValidation>
        <x14:dataValidation type="list" allowBlank="1" showInputMessage="1" showErrorMessage="1" xr:uid="{00000000-0002-0000-0400-000011000000}">
          <x14:formula1>
            <xm:f>'TAB. REF. PA'!$R$4:$R$12</xm:f>
          </x14:formula1>
          <xm:sqref>C138:C141 C125:C134 C9:C12 C121:C123 C64 C57:C62 C176:C182 C67:C117 C152:C165 C187 C17:C55</xm:sqref>
        </x14:dataValidation>
        <x14:dataValidation type="list" allowBlank="1" showInputMessage="1" showErrorMessage="1" xr:uid="{00000000-0002-0000-0400-000012000000}">
          <x14:formula1>
            <xm:f>'TAB. REF. PA'!$Y$4:$Y$14</xm:f>
          </x14:formula1>
          <xm:sqref>A9:A12 A183:A189 A14:A179</xm:sqref>
        </x14:dataValidation>
        <x14:dataValidation type="list" allowBlank="1" showInputMessage="1" showErrorMessage="1" xr:uid="{00000000-0002-0000-0400-000013000000}">
          <x14:formula1>
            <xm:f>'TAB. REF. PA'!$X$4:$X$9</xm:f>
          </x14:formula1>
          <xm:sqref>U27:U28 U36:V36 V9:V12 V14:V35 V187 V37:V182</xm:sqref>
        </x14:dataValidation>
        <x14:dataValidation type="list" allowBlank="1" showInputMessage="1" showErrorMessage="1" xr:uid="{00000000-0002-0000-0400-000014000000}">
          <x14:formula1>
            <xm:f>'C:\Users\norela.briceno\Documents\Plan de acción\Plan Acción 2019\[DIES-F07-08_Plan_Accion_con_Cuadro_de_Mando_V04 Otros planes TIC.xlsx]TAB. REF. PA'!#REF!</xm:f>
          </x14:formula1>
          <xm:sqref>T142:T151 C142:C144 C146:C147 C149</xm:sqref>
        </x14:dataValidation>
        <x14:dataValidation type="list" allowBlank="1" showInputMessage="1" showErrorMessage="1" xr:uid="{00000000-0002-0000-0400-000016000000}">
          <x14:formula1>
            <xm:f>'TAB. REF. PA'!$U$4:$U$25</xm:f>
          </x14:formula1>
          <xm:sqref>AL10 AL31:AL42 AL49:AL55 AL133 AL141:AL144 AL146:AL147 AL149 AL152:AL153 AL155:AL156 AL15:AL29 AL187 AL159:AL179</xm:sqref>
        </x14:dataValidation>
        <x14:dataValidation type="list" allowBlank="1" showInputMessage="1" showErrorMessage="1" xr:uid="{00000000-0002-0000-0400-000006000000}">
          <x14:formula1>
            <xm:f>'TAB. REF. PA'!$L$4:$L$11</xm:f>
          </x14:formula1>
          <xm:sqref>AH155:AH156 AH113:AH153 AH14:AH29 AH187 AH31:AH94 AH159:AH179</xm:sqref>
        </x14:dataValidation>
        <x14:dataValidation type="list" allowBlank="1" showInputMessage="1" showErrorMessage="1" xr:uid="{6E66EFCD-FCD2-4B34-863C-5A36DB972E85}">
          <x14:formula1>
            <xm:f>'TAB. REF. PA'!$R$4:$R$13</xm:f>
          </x14:formula1>
          <xm:sqref>C118:C120</xm:sqref>
        </x14:dataValidation>
        <x14:dataValidation type="list" allowBlank="1" showInputMessage="1" showErrorMessage="1" xr:uid="{00000000-0002-0000-0400-00000E000000}">
          <x14:formula1>
            <xm:f>'C:\Users\norela.briceno\Documents\Plan de acción\Plan Acción 2019\[Plan_Accion_2019_OCI_V02 (1).xlsx]TAB.REF.PA'!#REF!</xm:f>
          </x14:formula1>
          <xm:sqref>AL43:AL48</xm:sqref>
        </x14:dataValidation>
        <x14:dataValidation type="list" allowBlank="1" showInputMessage="1" showErrorMessage="1" xr:uid="{00000000-0002-0000-0400-000007000000}">
          <x14:formula1>
            <xm:f>'TAB. REF. PA'!$N$4:$N$28</xm:f>
          </x14:formula1>
          <xm:sqref>AI113:AI132 AI43:AI48 AI159:AI160 AI164 AI134:AI140 AI142:AI153 AI9 AI21:AI29 AI50:AI94 AI31:AI41</xm:sqref>
        </x14:dataValidation>
        <x14:dataValidation type="list" allowBlank="1" showInputMessage="1" showErrorMessage="1" xr:uid="{00000000-0002-0000-0400-000015000000}">
          <x14:formula1>
            <xm:f>'TAB. REF. PA'!$N$4:$N$33</xm:f>
          </x14:formula1>
          <xm:sqref>AI14:AI20 AI42 AI49 AI133 AI141 AI155:AI156 AI161:AI163 AI158 AI10 AI187 AI165:AI179</xm:sqref>
        </x14:dataValidation>
        <x14:dataValidation type="list" allowBlank="1" showInputMessage="1" showErrorMessage="1" xr:uid="{DB938CBA-1D7B-4C42-A9A6-83F8DE77BD55}">
          <x14:formula1>
            <xm:f>'C:\Users\norela.briceno\Documents\Plan de acción\Plan Accion 2018\[Plan Accion Integrado ADRES Vigencia 2018 con Cuadro de Mando V6..xlsx]TAB. REF. PA'!#REF!</xm:f>
          </x14:formula1>
          <xm:sqref>AF43</xm:sqref>
        </x14:dataValidation>
        <x14:dataValidation type="list" allowBlank="1" showInputMessage="1" showErrorMessage="1" xr:uid="{00000000-0002-0000-0400-00000F000000}">
          <x14:formula1>
            <xm:f>'C:\Users\norela.briceno\Documents\Plan de acción\Plan Acción 2019\[DIES-F07-08_Plan_Accion_con_Cuadro_de_Mando_V03 Preliminar DGTIC.xlsx]TAB. REF. PA'!#REF!</xm:f>
          </x14:formula1>
          <xm:sqref>AL134:AL140</xm:sqref>
        </x14:dataValidation>
        <x14:dataValidation type="list" allowBlank="1" showInputMessage="1" showErrorMessage="1" xr:uid="{34DE67B1-62CC-429D-841E-B61B724251E2}">
          <x14:formula1>
            <xm:f>'C:\Users\norela.briceno\AppData\Local\Microsoft\Windows\INetCache\Content.Outlook\23KQLUMF\[DIES-F07-08_Plan_Accion_2019_V01 aprobado publicación.xlsx]TAB. REF. PA'!#REF!</xm:f>
          </x14:formula1>
          <xm:sqref>AE180:AI182</xm:sqref>
        </x14:dataValidation>
        <x14:dataValidation type="list" allowBlank="1" showInputMessage="1" showErrorMessage="1" xr:uid="{00000000-0002-0000-0400-000017000000}">
          <x14:formula1>
            <xm:f>'TAB. REF. PA'!$W$3:$W$7</xm:f>
          </x14:formula1>
          <xm:sqref>AP9:AP99 AP188 AP185:AP186 AP113:AP183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T25"/>
  <sheetViews>
    <sheetView showGridLines="0" zoomScale="80" zoomScaleNormal="80" workbookViewId="0">
      <pane ySplit="7" topLeftCell="A8" activePane="bottomLeft" state="frozen"/>
      <selection activeCell="I2" sqref="A2:L4"/>
      <selection pane="bottomLeft" activeCell="BA8" sqref="BA8"/>
    </sheetView>
  </sheetViews>
  <sheetFormatPr baseColWidth="10" defaultRowHeight="15" x14ac:dyDescent="0.25"/>
  <cols>
    <col min="1" max="1" width="17.85546875" bestFit="1" customWidth="1"/>
    <col min="2" max="2" width="34.140625" customWidth="1"/>
    <col min="3" max="3" width="22" hidden="1" customWidth="1"/>
    <col min="4" max="4" width="16.5703125" hidden="1" customWidth="1"/>
    <col min="5" max="5" width="40.5703125" hidden="1" customWidth="1"/>
    <col min="6" max="6" width="18.5703125" hidden="1" customWidth="1"/>
    <col min="7" max="7" width="40.5703125" hidden="1" customWidth="1"/>
    <col min="8" max="8" width="16.28515625" customWidth="1"/>
    <col min="9" max="9" width="35.7109375" customWidth="1"/>
    <col min="10" max="10" width="12.85546875" style="59" customWidth="1"/>
    <col min="11" max="11" width="15.42578125" customWidth="1"/>
    <col min="12" max="12" width="14.5703125" customWidth="1"/>
    <col min="13" max="13" width="46.7109375" customWidth="1"/>
    <col min="14" max="14" width="20.7109375" customWidth="1"/>
    <col min="15" max="15" width="17.28515625" customWidth="1"/>
    <col min="16" max="16" width="21.42578125" customWidth="1"/>
    <col min="17" max="17" width="23.7109375" customWidth="1"/>
    <col min="18" max="18" width="25.7109375" customWidth="1"/>
    <col min="19" max="19" width="35" customWidth="1"/>
    <col min="20" max="21" width="19.140625" customWidth="1"/>
    <col min="22" max="22" width="31" customWidth="1"/>
    <col min="23" max="23" width="28.28515625" customWidth="1"/>
    <col min="24" max="24" width="12.140625" customWidth="1"/>
    <col min="25" max="25" width="35.7109375" customWidth="1"/>
    <col min="26" max="26" width="27.7109375" customWidth="1"/>
    <col min="27" max="27" width="21.140625" customWidth="1"/>
    <col min="28" max="28" width="13.85546875" style="6" customWidth="1"/>
    <col min="29" max="29" width="35.7109375" style="6" customWidth="1"/>
    <col min="30" max="30" width="27.7109375" style="6" customWidth="1"/>
    <col min="31" max="31" width="13.5703125" style="6" customWidth="1"/>
    <col min="32" max="32" width="27.7109375" style="6" customWidth="1"/>
    <col min="33" max="33" width="11.42578125" style="6" customWidth="1"/>
    <col min="34" max="34" width="15.7109375" style="6" customWidth="1"/>
    <col min="35" max="35" width="11.42578125" style="6" customWidth="1"/>
    <col min="36" max="36" width="15.7109375" style="6" customWidth="1"/>
    <col min="37" max="37" width="50.7109375" style="6" customWidth="1"/>
    <col min="38" max="38" width="13.7109375" style="6" customWidth="1"/>
    <col min="39" max="39" width="35.7109375" style="6" customWidth="1"/>
    <col min="40" max="40" width="27.7109375" style="6" customWidth="1"/>
    <col min="41" max="41" width="17.140625" style="6" customWidth="1"/>
    <col min="42" max="42" width="27.7109375" style="6" customWidth="1"/>
    <col min="43" max="43" width="13.7109375" style="6" customWidth="1"/>
    <col min="44" max="44" width="15.7109375" style="6" customWidth="1"/>
    <col min="45" max="45" width="13.7109375" style="6" customWidth="1"/>
    <col min="46" max="46" width="15.7109375" style="6" customWidth="1"/>
    <col min="47" max="47" width="50.7109375" style="6" customWidth="1"/>
    <col min="48" max="48" width="13.7109375" style="6" customWidth="1"/>
    <col min="49" max="49" width="35.7109375" style="6" customWidth="1"/>
    <col min="50" max="50" width="27.7109375" style="6" customWidth="1"/>
    <col min="51" max="51" width="18" style="6" customWidth="1"/>
    <col min="52" max="52" width="27.7109375" style="6" customWidth="1"/>
    <col min="53" max="53" width="13.7109375" style="6" customWidth="1"/>
    <col min="54" max="54" width="15.7109375" style="6" customWidth="1"/>
    <col min="55" max="55" width="13.7109375" style="6" customWidth="1"/>
    <col min="56" max="56" width="15.7109375" style="6" customWidth="1"/>
    <col min="57" max="57" width="50.7109375" style="6" customWidth="1"/>
    <col min="58" max="58" width="13.7109375" style="6" customWidth="1"/>
    <col min="59" max="59" width="35.7109375" style="6" customWidth="1"/>
    <col min="60" max="60" width="27.7109375" style="6" customWidth="1"/>
    <col min="61" max="61" width="13.7109375" style="6" customWidth="1"/>
    <col min="62" max="62" width="27.7109375" style="6" customWidth="1"/>
    <col min="63" max="63" width="13.7109375" style="6" customWidth="1"/>
    <col min="64" max="64" width="15.7109375" style="6" customWidth="1"/>
    <col min="65" max="65" width="13.7109375" style="6" customWidth="1"/>
    <col min="66" max="66" width="15.7109375" style="6" customWidth="1"/>
    <col min="67" max="67" width="50.7109375" style="6" customWidth="1"/>
    <col min="68" max="68" width="13.7109375" style="6" customWidth="1"/>
    <col min="69" max="69" width="15.7109375" style="6" customWidth="1"/>
    <col min="70" max="70" width="15.42578125" style="6" customWidth="1"/>
    <col min="71" max="71" width="15.7109375" style="6" customWidth="1"/>
    <col min="72" max="72" width="13.7109375" style="6" customWidth="1"/>
    <col min="73" max="73" width="15.7109375" style="6" customWidth="1"/>
    <col min="74" max="74" width="13.7109375" style="6" customWidth="1"/>
    <col min="75" max="75" width="15.7109375" style="6" customWidth="1"/>
    <col min="76" max="16384" width="11.42578125" style="6"/>
  </cols>
  <sheetData>
    <row r="1" spans="1:75" ht="22.5" customHeight="1" x14ac:dyDescent="0.25">
      <c r="A1" s="1099"/>
      <c r="B1" s="1100"/>
      <c r="C1" s="1105" t="s">
        <v>246</v>
      </c>
      <c r="D1" s="1106"/>
      <c r="E1" s="1106"/>
      <c r="F1" s="1106"/>
      <c r="G1" s="1106"/>
      <c r="H1" s="1107"/>
      <c r="I1" s="1108" t="s">
        <v>247</v>
      </c>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8"/>
      <c r="AR1" s="1108"/>
      <c r="AS1" s="1108"/>
      <c r="AT1" s="1108"/>
      <c r="AU1" s="1108"/>
      <c r="AV1" s="1108"/>
      <c r="AW1" s="1108"/>
      <c r="AX1" s="1108"/>
      <c r="AY1" s="1108"/>
      <c r="AZ1" s="1108"/>
      <c r="BA1" s="1108"/>
      <c r="BB1" s="1108"/>
      <c r="BC1" s="1108"/>
      <c r="BD1" s="1108"/>
      <c r="BE1" s="1108"/>
      <c r="BF1" s="1108"/>
      <c r="BG1" s="1108"/>
      <c r="BH1" s="1108"/>
      <c r="BI1" s="1108"/>
      <c r="BJ1" s="1108"/>
      <c r="BK1" s="1108"/>
      <c r="BL1" s="1108"/>
      <c r="BM1" s="1108"/>
      <c r="BN1" s="1108"/>
      <c r="BO1" s="1108"/>
      <c r="BP1" s="1108"/>
      <c r="BQ1" s="1108"/>
      <c r="BR1" s="1108"/>
      <c r="BS1" s="1109"/>
      <c r="BT1" s="1227"/>
      <c r="BU1" s="1228"/>
      <c r="BV1" s="1228"/>
      <c r="BW1" s="1228"/>
    </row>
    <row r="2" spans="1:75" ht="24" customHeight="1" x14ac:dyDescent="0.25">
      <c r="A2" s="1101"/>
      <c r="B2" s="1102"/>
      <c r="C2" s="1126" t="s">
        <v>248</v>
      </c>
      <c r="D2" s="1127"/>
      <c r="E2" s="1127"/>
      <c r="F2" s="1127"/>
      <c r="G2" s="1127"/>
      <c r="H2" s="1128"/>
      <c r="I2" s="1129" t="s">
        <v>254</v>
      </c>
      <c r="J2" s="1131" t="s">
        <v>250</v>
      </c>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P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t="s">
        <v>249</v>
      </c>
      <c r="BS2" s="1133">
        <v>2</v>
      </c>
      <c r="BT2" s="1229"/>
      <c r="BU2" s="1230"/>
      <c r="BV2" s="1230"/>
      <c r="BW2" s="1230"/>
    </row>
    <row r="3" spans="1:75" ht="25.5" customHeight="1" thickBot="1" x14ac:dyDescent="0.3">
      <c r="A3" s="1103"/>
      <c r="B3" s="1104"/>
      <c r="C3" s="1135" t="s">
        <v>242</v>
      </c>
      <c r="D3" s="1136"/>
      <c r="E3" s="1136"/>
      <c r="F3" s="1136"/>
      <c r="G3" s="1136"/>
      <c r="H3" s="1137"/>
      <c r="I3" s="1130"/>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1132"/>
      <c r="AL3" s="1132"/>
      <c r="AM3" s="1132"/>
      <c r="AN3" s="1132"/>
      <c r="AO3" s="1132"/>
      <c r="AP3" s="1132"/>
      <c r="AQ3" s="1132"/>
      <c r="AR3" s="1132"/>
      <c r="AS3" s="1132"/>
      <c r="AT3" s="1132"/>
      <c r="AU3" s="1132"/>
      <c r="AV3" s="1132"/>
      <c r="AW3" s="1132"/>
      <c r="AX3" s="1132"/>
      <c r="AY3" s="1132"/>
      <c r="AZ3" s="1132"/>
      <c r="BA3" s="1132"/>
      <c r="BB3" s="1132"/>
      <c r="BC3" s="1132"/>
      <c r="BD3" s="1132"/>
      <c r="BE3" s="1132"/>
      <c r="BF3" s="1132"/>
      <c r="BG3" s="1132"/>
      <c r="BH3" s="1132"/>
      <c r="BI3" s="1132"/>
      <c r="BJ3" s="1132"/>
      <c r="BK3" s="1132"/>
      <c r="BL3" s="1132"/>
      <c r="BM3" s="1132"/>
      <c r="BN3" s="1132"/>
      <c r="BO3" s="1132"/>
      <c r="BP3" s="1132"/>
      <c r="BQ3" s="1132"/>
      <c r="BR3" s="1132"/>
      <c r="BS3" s="1134"/>
      <c r="BT3" s="1231"/>
      <c r="BU3" s="1232"/>
      <c r="BV3" s="1232"/>
      <c r="BW3" s="1232"/>
    </row>
    <row r="4" spans="1:75" ht="15.75" x14ac:dyDescent="0.25">
      <c r="E4" s="58"/>
      <c r="F4" s="58"/>
      <c r="G4" s="58"/>
      <c r="H4" s="58"/>
      <c r="I4" s="58"/>
      <c r="J4" s="58"/>
      <c r="K4" s="58"/>
      <c r="L4" s="58"/>
      <c r="M4" s="58"/>
      <c r="N4" s="58"/>
      <c r="O4" s="58"/>
      <c r="P4" s="58"/>
    </row>
    <row r="5" spans="1:75" s="78" customFormat="1" ht="13.5" thickBot="1" x14ac:dyDescent="0.25">
      <c r="A5" s="134" t="s">
        <v>346</v>
      </c>
      <c r="B5" s="134"/>
      <c r="C5" s="22"/>
      <c r="D5" s="22"/>
      <c r="E5" s="1116"/>
      <c r="F5" s="1116"/>
      <c r="G5" s="1116"/>
      <c r="H5" s="1116"/>
      <c r="I5" s="1116"/>
      <c r="J5" s="1116"/>
      <c r="K5" s="1116"/>
      <c r="L5" s="1116"/>
      <c r="M5" s="1116"/>
      <c r="N5" s="1116"/>
      <c r="O5" s="1116"/>
      <c r="P5" s="1116"/>
      <c r="Q5" s="22"/>
      <c r="R5" s="135"/>
      <c r="S5" s="22"/>
      <c r="T5" s="22"/>
      <c r="U5" s="22"/>
      <c r="V5" s="22"/>
      <c r="W5" s="22"/>
      <c r="X5" s="22"/>
      <c r="Y5" s="22"/>
      <c r="Z5" s="22"/>
      <c r="AA5" s="22"/>
    </row>
    <row r="6" spans="1:75" s="78" customFormat="1" ht="13.5" thickBot="1" x14ac:dyDescent="0.25">
      <c r="A6" s="22"/>
      <c r="B6" s="22"/>
      <c r="C6" s="22"/>
      <c r="D6" s="22"/>
      <c r="E6" s="22"/>
      <c r="F6" s="22"/>
      <c r="G6" s="22"/>
      <c r="H6" s="22"/>
      <c r="I6" s="22"/>
      <c r="J6" s="136"/>
      <c r="K6" s="22"/>
      <c r="L6" s="22"/>
      <c r="M6" s="22"/>
      <c r="N6" s="22"/>
      <c r="O6" s="22"/>
      <c r="P6" s="22"/>
      <c r="Q6" s="135"/>
      <c r="R6" s="22"/>
      <c r="S6" s="22"/>
      <c r="T6" s="22"/>
      <c r="U6" s="22"/>
      <c r="V6" s="22"/>
      <c r="W6" s="22"/>
      <c r="X6" s="22"/>
      <c r="Y6" s="22"/>
      <c r="Z6" s="22"/>
      <c r="AA6" s="22"/>
      <c r="AB6" s="1110" t="s">
        <v>190</v>
      </c>
      <c r="AC6" s="1111"/>
      <c r="AD6" s="1111"/>
      <c r="AE6" s="1111"/>
      <c r="AF6" s="1111"/>
      <c r="AG6" s="1111"/>
      <c r="AH6" s="1111"/>
      <c r="AI6" s="1111"/>
      <c r="AJ6" s="1111"/>
      <c r="AK6" s="1112"/>
      <c r="AL6" s="1113" t="s">
        <v>192</v>
      </c>
      <c r="AM6" s="1114"/>
      <c r="AN6" s="1114"/>
      <c r="AO6" s="1114"/>
      <c r="AP6" s="1114"/>
      <c r="AQ6" s="1114"/>
      <c r="AR6" s="1114"/>
      <c r="AS6" s="1114"/>
      <c r="AT6" s="1114"/>
      <c r="AU6" s="1115"/>
      <c r="AV6" s="1110" t="s">
        <v>191</v>
      </c>
      <c r="AW6" s="1111"/>
      <c r="AX6" s="1111"/>
      <c r="AY6" s="1111"/>
      <c r="AZ6" s="1111"/>
      <c r="BA6" s="1111"/>
      <c r="BB6" s="1111"/>
      <c r="BC6" s="1111"/>
      <c r="BD6" s="1111"/>
      <c r="BE6" s="1112"/>
      <c r="BF6" s="1113" t="s">
        <v>193</v>
      </c>
      <c r="BG6" s="1114"/>
      <c r="BH6" s="1114"/>
      <c r="BI6" s="1114"/>
      <c r="BJ6" s="1114"/>
      <c r="BK6" s="1114"/>
      <c r="BL6" s="1114"/>
      <c r="BM6" s="1114"/>
      <c r="BN6" s="1114"/>
      <c r="BO6" s="1115"/>
      <c r="BP6" s="1117" t="s">
        <v>1150</v>
      </c>
      <c r="BQ6" s="1118"/>
      <c r="BR6" s="1118"/>
      <c r="BS6" s="1118"/>
      <c r="BT6" s="1118"/>
      <c r="BU6" s="1118"/>
      <c r="BV6" s="1118"/>
      <c r="BW6" s="1119"/>
    </row>
    <row r="7" spans="1:75" s="162" customFormat="1" ht="50.25" customHeight="1" x14ac:dyDescent="0.2">
      <c r="A7" s="137" t="s">
        <v>30</v>
      </c>
      <c r="B7" s="138" t="s">
        <v>31</v>
      </c>
      <c r="C7" s="138" t="s">
        <v>255</v>
      </c>
      <c r="D7" s="138" t="s">
        <v>57</v>
      </c>
      <c r="E7" s="138" t="s">
        <v>257</v>
      </c>
      <c r="F7" s="138" t="s">
        <v>256</v>
      </c>
      <c r="G7" s="138" t="s">
        <v>258</v>
      </c>
      <c r="H7" s="138" t="s">
        <v>32</v>
      </c>
      <c r="I7" s="138" t="s">
        <v>49</v>
      </c>
      <c r="J7" s="138" t="s">
        <v>35</v>
      </c>
      <c r="K7" s="138" t="s">
        <v>8</v>
      </c>
      <c r="L7" s="138" t="s">
        <v>33</v>
      </c>
      <c r="M7" s="138" t="s">
        <v>50</v>
      </c>
      <c r="N7" s="138" t="s">
        <v>151</v>
      </c>
      <c r="O7" s="138" t="s">
        <v>5</v>
      </c>
      <c r="P7" s="138" t="s">
        <v>37</v>
      </c>
      <c r="Q7" s="138" t="s">
        <v>36</v>
      </c>
      <c r="R7" s="138" t="s">
        <v>38</v>
      </c>
      <c r="S7" s="138" t="s">
        <v>39</v>
      </c>
      <c r="T7" s="138" t="s">
        <v>6</v>
      </c>
      <c r="U7" s="138" t="s">
        <v>1256</v>
      </c>
      <c r="V7" s="138" t="s">
        <v>0</v>
      </c>
      <c r="W7" s="138" t="s">
        <v>34</v>
      </c>
      <c r="X7" s="138" t="s">
        <v>8</v>
      </c>
      <c r="Y7" s="139" t="s">
        <v>188</v>
      </c>
      <c r="Z7" s="139" t="s">
        <v>151</v>
      </c>
      <c r="AA7" s="140" t="s">
        <v>9</v>
      </c>
      <c r="AB7" s="141" t="s">
        <v>8</v>
      </c>
      <c r="AC7" s="141" t="s">
        <v>50</v>
      </c>
      <c r="AD7" s="141" t="s">
        <v>151</v>
      </c>
      <c r="AE7" s="141" t="s">
        <v>8</v>
      </c>
      <c r="AF7" s="141" t="s">
        <v>151</v>
      </c>
      <c r="AG7" s="141" t="s">
        <v>7</v>
      </c>
      <c r="AH7" s="141" t="s">
        <v>10</v>
      </c>
      <c r="AI7" s="141" t="s">
        <v>7</v>
      </c>
      <c r="AJ7" s="141" t="s">
        <v>10</v>
      </c>
      <c r="AK7" s="141" t="s">
        <v>189</v>
      </c>
      <c r="AL7" s="138" t="s">
        <v>8</v>
      </c>
      <c r="AM7" s="138" t="s">
        <v>50</v>
      </c>
      <c r="AN7" s="138" t="s">
        <v>151</v>
      </c>
      <c r="AO7" s="138" t="s">
        <v>8</v>
      </c>
      <c r="AP7" s="138" t="s">
        <v>151</v>
      </c>
      <c r="AQ7" s="138" t="s">
        <v>7</v>
      </c>
      <c r="AR7" s="138" t="s">
        <v>10</v>
      </c>
      <c r="AS7" s="138" t="s">
        <v>7</v>
      </c>
      <c r="AT7" s="138" t="s">
        <v>10</v>
      </c>
      <c r="AU7" s="138" t="s">
        <v>189</v>
      </c>
      <c r="AV7" s="141" t="s">
        <v>8</v>
      </c>
      <c r="AW7" s="141" t="s">
        <v>50</v>
      </c>
      <c r="AX7" s="141" t="s">
        <v>151</v>
      </c>
      <c r="AY7" s="141" t="s">
        <v>8</v>
      </c>
      <c r="AZ7" s="141" t="s">
        <v>151</v>
      </c>
      <c r="BA7" s="141" t="s">
        <v>7</v>
      </c>
      <c r="BB7" s="141" t="s">
        <v>10</v>
      </c>
      <c r="BC7" s="141" t="s">
        <v>7</v>
      </c>
      <c r="BD7" s="141" t="s">
        <v>10</v>
      </c>
      <c r="BE7" s="141" t="s">
        <v>189</v>
      </c>
      <c r="BF7" s="138" t="s">
        <v>8</v>
      </c>
      <c r="BG7" s="138" t="s">
        <v>50</v>
      </c>
      <c r="BH7" s="138" t="s">
        <v>151</v>
      </c>
      <c r="BI7" s="138" t="s">
        <v>8</v>
      </c>
      <c r="BJ7" s="138" t="s">
        <v>151</v>
      </c>
      <c r="BK7" s="138" t="s">
        <v>7</v>
      </c>
      <c r="BL7" s="138" t="s">
        <v>10</v>
      </c>
      <c r="BM7" s="138" t="s">
        <v>7</v>
      </c>
      <c r="BN7" s="138" t="s">
        <v>10</v>
      </c>
      <c r="BO7" s="138" t="s">
        <v>189</v>
      </c>
      <c r="BP7" s="142" t="s">
        <v>7</v>
      </c>
      <c r="BQ7" s="142" t="s">
        <v>10</v>
      </c>
      <c r="BR7" s="142" t="s">
        <v>7</v>
      </c>
      <c r="BS7" s="142" t="s">
        <v>10</v>
      </c>
      <c r="BT7" s="142" t="s">
        <v>7</v>
      </c>
      <c r="BU7" s="142" t="s">
        <v>10</v>
      </c>
      <c r="BV7" s="142" t="s">
        <v>7</v>
      </c>
      <c r="BW7" s="142" t="s">
        <v>10</v>
      </c>
    </row>
    <row r="8" spans="1:75" s="78" customFormat="1" ht="51" x14ac:dyDescent="0.2">
      <c r="A8" s="73">
        <v>11900</v>
      </c>
      <c r="B8" s="95" t="s">
        <v>125</v>
      </c>
      <c r="C8" s="95" t="s">
        <v>330</v>
      </c>
      <c r="D8" s="73" t="s">
        <v>126</v>
      </c>
      <c r="E8" s="95" t="s">
        <v>60</v>
      </c>
      <c r="F8" s="95" t="s">
        <v>204</v>
      </c>
      <c r="G8" s="95" t="s">
        <v>204</v>
      </c>
      <c r="H8" s="73" t="s">
        <v>655</v>
      </c>
      <c r="I8" s="95" t="s">
        <v>901</v>
      </c>
      <c r="J8" s="60" t="s">
        <v>408</v>
      </c>
      <c r="K8" s="74">
        <v>1</v>
      </c>
      <c r="L8" s="73" t="s">
        <v>654</v>
      </c>
      <c r="M8" s="95" t="s">
        <v>375</v>
      </c>
      <c r="N8" s="125">
        <v>0</v>
      </c>
      <c r="O8" s="77">
        <v>1</v>
      </c>
      <c r="P8" s="95" t="s">
        <v>17</v>
      </c>
      <c r="Q8" s="95" t="s">
        <v>28</v>
      </c>
      <c r="R8" s="95" t="s">
        <v>204</v>
      </c>
      <c r="S8" s="95" t="s">
        <v>204</v>
      </c>
      <c r="T8" s="95" t="s">
        <v>1036</v>
      </c>
      <c r="U8" s="459" t="s">
        <v>204</v>
      </c>
      <c r="V8" s="95" t="s">
        <v>1737</v>
      </c>
      <c r="W8" s="95" t="s">
        <v>204</v>
      </c>
      <c r="X8" s="74">
        <v>1</v>
      </c>
      <c r="Y8" s="95" t="str">
        <f>+M8</f>
        <v xml:space="preserve">Cambio de jurisdicción de laboral a administrativa para resolver conflictos judiciales con la ADRES.
</v>
      </c>
      <c r="Z8" s="151">
        <f>+N8</f>
        <v>0</v>
      </c>
      <c r="AA8" s="76" t="s">
        <v>48</v>
      </c>
      <c r="AB8" s="74">
        <v>1</v>
      </c>
      <c r="AC8" s="95" t="str">
        <f>+Y8</f>
        <v xml:space="preserve">Cambio de jurisdicción de laboral a administrativa para resolver conflictos judiciales con la ADRES.
</v>
      </c>
      <c r="AD8" s="75">
        <v>0</v>
      </c>
      <c r="AE8" s="480">
        <v>1</v>
      </c>
      <c r="AF8" s="480"/>
      <c r="AG8" s="77">
        <f>+(AE8/AB8)</f>
        <v>1</v>
      </c>
      <c r="AH8" s="77" t="e">
        <f>+(AF8/AD8)</f>
        <v>#DIV/0!</v>
      </c>
      <c r="AI8" s="77">
        <f>+(AE8/X8)</f>
        <v>1</v>
      </c>
      <c r="AJ8" s="77" t="e">
        <f>+(AF8/Z8)</f>
        <v>#DIV/0!</v>
      </c>
      <c r="AK8" s="481" t="s">
        <v>1363</v>
      </c>
      <c r="AL8" s="74">
        <v>0</v>
      </c>
      <c r="AM8" s="95" t="str">
        <f>+Y8</f>
        <v xml:space="preserve">Cambio de jurisdicción de laboral a administrativa para resolver conflictos judiciales con la ADRES.
</v>
      </c>
      <c r="AN8" s="75">
        <v>0</v>
      </c>
      <c r="AO8" s="60">
        <v>0</v>
      </c>
      <c r="AP8" s="689">
        <v>0</v>
      </c>
      <c r="AQ8" s="77" t="e">
        <f>+(AO8/AL8)</f>
        <v>#DIV/0!</v>
      </c>
      <c r="AR8" s="77" t="e">
        <f>+(AP8/AN8)</f>
        <v>#DIV/0!</v>
      </c>
      <c r="AS8" s="77">
        <f>+(AO8+AE8)/X8</f>
        <v>1</v>
      </c>
      <c r="AT8" s="77" t="e">
        <f>+(AP8+AF8)/Z8</f>
        <v>#DIV/0!</v>
      </c>
      <c r="AU8" s="688" t="s">
        <v>1708</v>
      </c>
      <c r="AV8" s="74">
        <v>0</v>
      </c>
      <c r="AW8" s="95" t="str">
        <f>+Y8</f>
        <v xml:space="preserve">Cambio de jurisdicción de laboral a administrativa para resolver conflictos judiciales con la ADRES.
</v>
      </c>
      <c r="AX8" s="75">
        <v>0</v>
      </c>
      <c r="AY8" s="127">
        <v>0</v>
      </c>
      <c r="AZ8" s="1022">
        <v>0</v>
      </c>
      <c r="BA8" s="77" t="e">
        <f>+(AY8/AV8)</f>
        <v>#DIV/0!</v>
      </c>
      <c r="BB8" s="77" t="e">
        <f>+(AZ8/AX8)</f>
        <v>#DIV/0!</v>
      </c>
      <c r="BC8" s="77">
        <f>+(AO8+AE8+AY8)/X8</f>
        <v>1</v>
      </c>
      <c r="BD8" s="77" t="e">
        <f>+(AP8+AF8+AZ8)/Z8</f>
        <v>#DIV/0!</v>
      </c>
      <c r="BE8" s="77"/>
      <c r="BF8" s="74">
        <v>0</v>
      </c>
      <c r="BG8" s="95" t="str">
        <f>+Y8</f>
        <v xml:space="preserve">Cambio de jurisdicción de laboral a administrativa para resolver conflictos judiciales con la ADRES.
</v>
      </c>
      <c r="BH8" s="75">
        <v>0</v>
      </c>
      <c r="BI8" s="127"/>
      <c r="BJ8" s="127"/>
      <c r="BK8" s="61" t="e">
        <f>+(BI8/BF8)</f>
        <v>#DIV/0!</v>
      </c>
      <c r="BL8" s="61" t="e">
        <f>+(BJ8/BH8)</f>
        <v>#DIV/0!</v>
      </c>
      <c r="BM8" s="61">
        <f>+(AO8+AE8+AY8+BI8)/X8</f>
        <v>1</v>
      </c>
      <c r="BN8" s="61" t="e">
        <f>+(AP8+AF8+AZ8+BJ8)/Z8</f>
        <v>#DIV/0!</v>
      </c>
      <c r="BO8" s="61"/>
      <c r="BP8" s="152">
        <f>IF(AND(AB8=0,AE8=0),"No Prog ni Ejec",IF(AB8=0,CONCATENATE("No Prog, Ejec=  ",AE8),AE8/AB8))</f>
        <v>1</v>
      </c>
      <c r="BQ8" s="152" t="str">
        <f>IF(AND(AD8=0,AF8=0),"No Prog ni Ejec",IF(AD8=0,CONCATENATE("No Prog, Ejec=  ",AF8),AF8/AD8))</f>
        <v>No Prog ni Ejec</v>
      </c>
      <c r="BR8" s="152" t="str">
        <f>IF(AND(AL8=0,AO8=0),"No Prog ni Ejec",IF(AL8=0,CONCATENATE("No Prog, Ejec=  ",AO8),AO8/AL8))</f>
        <v>No Prog ni Ejec</v>
      </c>
      <c r="BS8" s="152" t="str">
        <f>IF(AND(AN8=0,AP8=0),"No Prog ni Ejec",IF(AN8=0,CONCATENATE("No Prog, Ejec=  ",AP8),AP8/AN8))</f>
        <v>No Prog ni Ejec</v>
      </c>
      <c r="BT8" s="152" t="str">
        <f>IF(AND(AV8=0,AY8=0),"No Prog ni Ejec",IF(AV8=0,CONCATENATE("No Prog, Ejec=  ",AY8),AY8/AV8))</f>
        <v>No Prog ni Ejec</v>
      </c>
      <c r="BU8" s="152" t="str">
        <f>IF(AND(AX8=0,AZ8=0),"No Prog ni Ejec",IF(AX8=0,CONCATENATE("No Prog, Ejec=  ",AZ8),AZ8/AX8))</f>
        <v>No Prog ni Ejec</v>
      </c>
      <c r="BV8" s="152" t="str">
        <f>IF(AND(BF8=0,BI8=0),"No Prog ni Ejec",IF(BF8=0,CONCATENATE("No Prog, Ejec=  ",BI8),BI8/BF8))</f>
        <v>No Prog ni Ejec</v>
      </c>
      <c r="BW8" s="152" t="str">
        <f>IF(AND(BH8=0,BJ8=0),"No Prog ni Ejec",IF(BH8=0,CONCATENATE("No Prog, Ejec=  ",BJ8),BJ8/BH8))</f>
        <v>No Prog ni Ejec</v>
      </c>
    </row>
    <row r="9" spans="1:75" s="78" customFormat="1" ht="76.5" x14ac:dyDescent="0.2">
      <c r="A9" s="73">
        <v>11900</v>
      </c>
      <c r="B9" s="95" t="s">
        <v>125</v>
      </c>
      <c r="C9" s="95" t="s">
        <v>330</v>
      </c>
      <c r="D9" s="73" t="s">
        <v>126</v>
      </c>
      <c r="E9" s="95" t="s">
        <v>60</v>
      </c>
      <c r="F9" s="95" t="s">
        <v>204</v>
      </c>
      <c r="G9" s="95" t="s">
        <v>204</v>
      </c>
      <c r="H9" s="73" t="s">
        <v>1298</v>
      </c>
      <c r="I9" s="95" t="s">
        <v>901</v>
      </c>
      <c r="J9" s="60" t="s">
        <v>408</v>
      </c>
      <c r="K9" s="74">
        <v>1</v>
      </c>
      <c r="L9" s="73" t="s">
        <v>1299</v>
      </c>
      <c r="M9" s="95" t="s">
        <v>376</v>
      </c>
      <c r="N9" s="125">
        <v>0</v>
      </c>
      <c r="O9" s="77">
        <v>1</v>
      </c>
      <c r="P9" s="95" t="s">
        <v>17</v>
      </c>
      <c r="Q9" s="95" t="s">
        <v>26</v>
      </c>
      <c r="R9" s="95" t="s">
        <v>631</v>
      </c>
      <c r="S9" s="95" t="s">
        <v>634</v>
      </c>
      <c r="T9" s="95" t="s">
        <v>71</v>
      </c>
      <c r="U9" s="459" t="s">
        <v>204</v>
      </c>
      <c r="V9" s="95" t="s">
        <v>1737</v>
      </c>
      <c r="W9" s="95" t="s">
        <v>204</v>
      </c>
      <c r="X9" s="74">
        <v>1</v>
      </c>
      <c r="Y9" s="95" t="str">
        <f>+M9</f>
        <v xml:space="preserve">Ajustes normativos en cuanto a la no aplicación de intereses de mora en los pagos derivados de sentencias judiciales por recobros y reclamaciones .
</v>
      </c>
      <c r="Z9" s="151">
        <f>+N9</f>
        <v>0</v>
      </c>
      <c r="AA9" s="76" t="s">
        <v>48</v>
      </c>
      <c r="AB9" s="74">
        <v>1</v>
      </c>
      <c r="AC9" s="95" t="str">
        <f>+Y9</f>
        <v xml:space="preserve">Ajustes normativos en cuanto a la no aplicación de intereses de mora en los pagos derivados de sentencias judiciales por recobros y reclamaciones .
</v>
      </c>
      <c r="AD9" s="75">
        <v>0</v>
      </c>
      <c r="AE9" s="480">
        <v>1</v>
      </c>
      <c r="AF9" s="480"/>
      <c r="AG9" s="77">
        <f>+(AE9/AB9)</f>
        <v>1</v>
      </c>
      <c r="AH9" s="77" t="e">
        <f>+(AF9/AD9)</f>
        <v>#DIV/0!</v>
      </c>
      <c r="AI9" s="77">
        <f>+(AE9/X9)</f>
        <v>1</v>
      </c>
      <c r="AJ9" s="77" t="e">
        <f>+(AF9/Z9)</f>
        <v>#DIV/0!</v>
      </c>
      <c r="AK9" s="481" t="s">
        <v>1363</v>
      </c>
      <c r="AL9" s="74">
        <v>0</v>
      </c>
      <c r="AM9" s="95" t="str">
        <f>+Y9</f>
        <v xml:space="preserve">Ajustes normativos en cuanto a la no aplicación de intereses de mora en los pagos derivados de sentencias judiciales por recobros y reclamaciones .
</v>
      </c>
      <c r="AN9" s="75">
        <v>0</v>
      </c>
      <c r="AO9" s="60">
        <v>0</v>
      </c>
      <c r="AP9" s="689">
        <v>0</v>
      </c>
      <c r="AQ9" s="77" t="e">
        <f>+(AO9/AL9)</f>
        <v>#DIV/0!</v>
      </c>
      <c r="AR9" s="77" t="e">
        <f>+(AP9/AN9)</f>
        <v>#DIV/0!</v>
      </c>
      <c r="AS9" s="77">
        <f>+(AO9+AE9)/X9</f>
        <v>1</v>
      </c>
      <c r="AT9" s="77" t="e">
        <f>+(AP9+AF9)/Z9</f>
        <v>#DIV/0!</v>
      </c>
      <c r="AU9" s="688" t="s">
        <v>1708</v>
      </c>
      <c r="AV9" s="74">
        <v>0</v>
      </c>
      <c r="AW9" s="95" t="str">
        <f>+Y9</f>
        <v xml:space="preserve">Ajustes normativos en cuanto a la no aplicación de intereses de mora en los pagos derivados de sentencias judiciales por recobros y reclamaciones .
</v>
      </c>
      <c r="AX9" s="75">
        <v>0</v>
      </c>
      <c r="AY9" s="127">
        <v>0</v>
      </c>
      <c r="AZ9" s="1022">
        <v>0</v>
      </c>
      <c r="BA9" s="77" t="e">
        <f>+(AY9/AV9)</f>
        <v>#DIV/0!</v>
      </c>
      <c r="BB9" s="77" t="e">
        <f>+(AZ9/AX9)</f>
        <v>#DIV/0!</v>
      </c>
      <c r="BC9" s="77">
        <f>+(AO9+AE9+AY9)/X9</f>
        <v>1</v>
      </c>
      <c r="BD9" s="77" t="e">
        <f>+(AP9+AF9+AZ9)/Z9</f>
        <v>#DIV/0!</v>
      </c>
      <c r="BE9" s="77"/>
      <c r="BF9" s="74">
        <v>0</v>
      </c>
      <c r="BG9" s="95" t="str">
        <f>+Y9</f>
        <v xml:space="preserve">Ajustes normativos en cuanto a la no aplicación de intereses de mora en los pagos derivados de sentencias judiciales por recobros y reclamaciones .
</v>
      </c>
      <c r="BH9" s="75">
        <v>0</v>
      </c>
      <c r="BI9" s="127"/>
      <c r="BJ9" s="127"/>
      <c r="BK9" s="61" t="e">
        <f>+(BI9/BF9)</f>
        <v>#DIV/0!</v>
      </c>
      <c r="BL9" s="61" t="e">
        <f>+(BJ9/BH9)</f>
        <v>#DIV/0!</v>
      </c>
      <c r="BM9" s="61">
        <f>+(AO9+AE9+AY9+BI9)/X9</f>
        <v>1</v>
      </c>
      <c r="BN9" s="61" t="e">
        <f>+(AP9+AF9+AZ9+BJ9)/Z9</f>
        <v>#DIV/0!</v>
      </c>
      <c r="BO9" s="61"/>
      <c r="BP9" s="152">
        <f>IF(AND(AB9=0,AE9=0),"No Prog ni Ejec",IF(AB9=0,CONCATENATE("No Prog, Ejec=  ",AE9),AE9/AB9))</f>
        <v>1</v>
      </c>
      <c r="BQ9" s="152" t="str">
        <f>IF(AND(AD9=0,AF9=0),"No Prog ni Ejec",IF(AD9=0,CONCATENATE("No Prog, Ejec=  ",AF9),AF9/AD9))</f>
        <v>No Prog ni Ejec</v>
      </c>
      <c r="BR9" s="152" t="str">
        <f>IF(AND(AL9=0,AO9=0),"No Prog ni Ejec",IF(AL9=0,CONCATENATE("No Prog, Ejec=  ",AO9),AO9/AL9))</f>
        <v>No Prog ni Ejec</v>
      </c>
      <c r="BS9" s="152" t="str">
        <f>IF(AND(AN9=0,AP9=0),"No Prog ni Ejec",IF(AN9=0,CONCATENATE("No Prog, Ejec=  ",AP9),AP9/AN9))</f>
        <v>No Prog ni Ejec</v>
      </c>
      <c r="BT9" s="152" t="str">
        <f>IF(AND(AV9=0,AY9=0),"No Prog ni Ejec",IF(AV9=0,CONCATENATE("No Prog, Ejec=  ",AY9),AY9/AV9))</f>
        <v>No Prog ni Ejec</v>
      </c>
      <c r="BU9" s="152" t="str">
        <f>IF(AND(AX9=0,AZ9=0),"No Prog ni Ejec",IF(AX9=0,CONCATENATE("No Prog, Ejec=  ",AZ9),AZ9/AX9))</f>
        <v>No Prog ni Ejec</v>
      </c>
      <c r="BV9" s="152" t="str">
        <f>IF(AND(BF9=0,BI9=0),"No Prog ni Ejec",IF(BF9=0,CONCATENATE("No Prog, Ejec=  ",BI9),BI9/BF9))</f>
        <v>No Prog ni Ejec</v>
      </c>
      <c r="BW9" s="152" t="str">
        <f>IF(AND(BH9=0,BJ9=0),"No Prog ni Ejec",IF(BH9=0,CONCATENATE("No Prog, Ejec=  ",BJ9),BJ9/BH9))</f>
        <v>No Prog ni Ejec</v>
      </c>
    </row>
    <row r="10" spans="1:75" x14ac:dyDescent="0.25">
      <c r="A10" s="6"/>
      <c r="B10" s="6"/>
      <c r="C10" s="6"/>
      <c r="D10" s="6"/>
      <c r="E10" s="6"/>
      <c r="F10" s="6"/>
      <c r="G10" s="6"/>
      <c r="H10" s="6"/>
      <c r="I10" s="6"/>
      <c r="J10" s="10"/>
      <c r="N10" s="5"/>
      <c r="AM10" s="7"/>
    </row>
    <row r="11" spans="1:75" x14ac:dyDescent="0.25">
      <c r="A11" s="22" t="s">
        <v>1267</v>
      </c>
      <c r="B11" s="6"/>
      <c r="C11" s="6"/>
      <c r="D11" s="6"/>
      <c r="E11" s="6"/>
      <c r="F11" s="6"/>
      <c r="G11" s="6"/>
      <c r="I11" s="6"/>
      <c r="J11" s="10"/>
      <c r="L11" s="85"/>
      <c r="N11" s="88"/>
      <c r="BP11" s="1254" t="s">
        <v>179</v>
      </c>
      <c r="BQ11" s="1255"/>
      <c r="BR11" s="1255"/>
      <c r="BS11" s="1255"/>
      <c r="BT11" s="1255"/>
      <c r="BU11" s="1256"/>
    </row>
    <row r="12" spans="1:75" x14ac:dyDescent="0.25">
      <c r="B12" s="6"/>
      <c r="C12" s="6"/>
      <c r="D12" s="6"/>
      <c r="E12" s="6"/>
      <c r="F12" s="6"/>
      <c r="G12" s="6"/>
      <c r="I12" s="6"/>
      <c r="J12" s="10"/>
      <c r="N12" s="5"/>
      <c r="BP12" s="1250" t="s">
        <v>180</v>
      </c>
      <c r="BQ12" s="1251"/>
      <c r="BR12" s="1243" t="s">
        <v>181</v>
      </c>
      <c r="BS12" s="1244"/>
      <c r="BT12" s="1244"/>
      <c r="BU12" s="1245"/>
    </row>
    <row r="13" spans="1:75" x14ac:dyDescent="0.25">
      <c r="A13" s="6"/>
      <c r="B13" s="6"/>
      <c r="C13" s="6"/>
      <c r="D13" s="6"/>
      <c r="E13" s="6"/>
      <c r="F13" s="6"/>
      <c r="G13" s="6"/>
      <c r="H13" s="6"/>
      <c r="I13" s="6"/>
      <c r="J13" s="10"/>
      <c r="BP13" s="1252" t="s">
        <v>196</v>
      </c>
      <c r="BQ13" s="1253"/>
      <c r="BR13" s="1243" t="s">
        <v>198</v>
      </c>
      <c r="BS13" s="1244"/>
      <c r="BT13" s="1244"/>
      <c r="BU13" s="1245"/>
    </row>
    <row r="14" spans="1:75" x14ac:dyDescent="0.25">
      <c r="A14" s="6"/>
      <c r="B14" s="6"/>
      <c r="C14" s="6"/>
      <c r="D14" s="6"/>
      <c r="E14" s="6"/>
      <c r="F14" s="6"/>
      <c r="G14" s="6"/>
      <c r="H14" s="6"/>
      <c r="I14" s="6"/>
      <c r="J14" s="10"/>
      <c r="BP14" s="1241" t="s">
        <v>197</v>
      </c>
      <c r="BQ14" s="1242"/>
      <c r="BR14" s="1243" t="s">
        <v>182</v>
      </c>
      <c r="BS14" s="1244"/>
      <c r="BT14" s="1244"/>
      <c r="BU14" s="1245"/>
    </row>
    <row r="15" spans="1:75" x14ac:dyDescent="0.25">
      <c r="A15" s="6"/>
      <c r="B15" s="6"/>
      <c r="C15" s="6"/>
      <c r="D15" s="6"/>
      <c r="E15" s="6"/>
      <c r="F15" s="6"/>
      <c r="G15" s="6"/>
      <c r="H15" s="6"/>
      <c r="I15" s="6"/>
      <c r="J15" s="10"/>
      <c r="N15" s="5"/>
      <c r="BP15" s="1246" t="s">
        <v>194</v>
      </c>
      <c r="BQ15" s="1247"/>
      <c r="BR15" s="1243" t="s">
        <v>183</v>
      </c>
      <c r="BS15" s="1244"/>
      <c r="BT15" s="1244"/>
      <c r="BU15" s="1245"/>
    </row>
    <row r="16" spans="1:75" x14ac:dyDescent="0.25">
      <c r="A16" s="6"/>
      <c r="B16" s="6"/>
      <c r="C16" s="6"/>
      <c r="D16" s="6"/>
      <c r="E16" s="6"/>
      <c r="F16" s="6"/>
      <c r="G16" s="6"/>
      <c r="H16" s="6"/>
      <c r="I16" s="6"/>
      <c r="J16" s="10"/>
      <c r="BP16" s="1248" t="s">
        <v>241</v>
      </c>
      <c r="BQ16" s="1249"/>
      <c r="BR16" s="1243" t="s">
        <v>184</v>
      </c>
      <c r="BS16" s="1244"/>
      <c r="BT16" s="1244"/>
      <c r="BU16" s="1245"/>
    </row>
    <row r="17" spans="1:228" x14ac:dyDescent="0.25">
      <c r="A17" s="6"/>
      <c r="B17" s="6"/>
      <c r="C17" s="6"/>
      <c r="D17" s="6"/>
      <c r="E17" s="6"/>
      <c r="F17" s="6"/>
      <c r="G17" s="6"/>
      <c r="H17" s="6"/>
      <c r="I17" s="6"/>
      <c r="J17" s="10"/>
      <c r="BP17" s="1239" t="s">
        <v>185</v>
      </c>
      <c r="BQ17" s="1239"/>
      <c r="BR17" s="1240" t="s">
        <v>186</v>
      </c>
      <c r="BS17" s="1240"/>
      <c r="BT17" s="1240"/>
      <c r="BU17" s="1240"/>
    </row>
    <row r="18" spans="1:228" x14ac:dyDescent="0.25">
      <c r="A18" s="6"/>
      <c r="B18" s="6"/>
      <c r="C18" s="6"/>
      <c r="D18" s="6"/>
      <c r="E18" s="6"/>
      <c r="F18" s="6"/>
      <c r="G18" s="6"/>
      <c r="H18" s="6"/>
      <c r="I18" s="6"/>
      <c r="J18" s="10"/>
    </row>
    <row r="19" spans="1:228" x14ac:dyDescent="0.25">
      <c r="A19" s="6"/>
      <c r="B19" s="6"/>
      <c r="C19" s="6"/>
      <c r="D19" s="6"/>
      <c r="E19" s="6"/>
      <c r="F19" s="6"/>
      <c r="G19" s="6"/>
      <c r="H19" s="6"/>
      <c r="I19" s="6"/>
      <c r="J19" s="10"/>
    </row>
    <row r="20" spans="1:228" x14ac:dyDescent="0.25">
      <c r="A20" s="6"/>
      <c r="B20" s="6"/>
      <c r="C20" s="6"/>
      <c r="D20" s="6"/>
      <c r="E20" s="6"/>
      <c r="F20" s="6"/>
      <c r="G20" s="6"/>
      <c r="H20" s="6"/>
      <c r="I20" s="6"/>
      <c r="J20" s="10"/>
    </row>
    <row r="21" spans="1:228" x14ac:dyDescent="0.25">
      <c r="A21" s="6"/>
      <c r="B21" s="6"/>
      <c r="C21" s="6"/>
      <c r="D21" s="6"/>
      <c r="E21" s="6"/>
      <c r="F21" s="6"/>
      <c r="G21" s="6"/>
      <c r="H21" s="6"/>
      <c r="I21" s="6"/>
      <c r="J21" s="10"/>
    </row>
    <row r="22" spans="1:228" x14ac:dyDescent="0.25">
      <c r="A22" s="6"/>
      <c r="B22" s="6"/>
      <c r="C22" s="6"/>
      <c r="D22" s="6"/>
      <c r="E22" s="6"/>
      <c r="F22" s="6"/>
      <c r="G22" s="6"/>
      <c r="H22" s="6"/>
      <c r="I22" s="6"/>
      <c r="J22" s="10"/>
    </row>
    <row r="23" spans="1:228" customFormat="1" x14ac:dyDescent="0.25">
      <c r="A23" s="6"/>
      <c r="B23" s="6"/>
      <c r="C23" s="6"/>
      <c r="D23" s="6"/>
      <c r="E23" s="6"/>
      <c r="F23" s="6"/>
      <c r="G23" s="6"/>
      <c r="H23" s="6"/>
      <c r="I23" s="6"/>
      <c r="J23" s="10"/>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pans="1:228" customFormat="1" x14ac:dyDescent="0.25">
      <c r="A24" s="6"/>
      <c r="B24" s="6"/>
      <c r="C24" s="6"/>
      <c r="D24" s="6"/>
      <c r="E24" s="6"/>
      <c r="F24" s="6"/>
      <c r="G24" s="6"/>
      <c r="H24" s="6"/>
      <c r="I24" s="6"/>
      <c r="J24" s="10"/>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row>
    <row r="25" spans="1:228" customFormat="1" x14ac:dyDescent="0.25">
      <c r="A25" s="6"/>
      <c r="B25" s="6"/>
      <c r="C25" s="6"/>
      <c r="D25" s="6"/>
      <c r="E25" s="6"/>
      <c r="F25" s="6"/>
      <c r="G25" s="6"/>
      <c r="H25" s="6"/>
      <c r="I25" s="6"/>
      <c r="J25" s="10"/>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row>
  </sheetData>
  <sheetProtection algorithmName="SHA-512" hashValue="08NAORRQbOTCAxngHVGTglTgZt1nLstjYHw4pI+2eKXT1d96JN5vkaJ2fgoYxhIwhNNwpMHTgy8x3iZDe0z3Kw==" saltValue="lrzQmxjHQ7054GED5hg0oA==" spinCount="100000" sheet="1" objects="1" scenarios="1"/>
  <autoFilter ref="A7:HT9" xr:uid="{00000000-0009-0000-0000-000005000000}"/>
  <mergeCells count="29">
    <mergeCell ref="E5:P5"/>
    <mergeCell ref="AB6:AK6"/>
    <mergeCell ref="AL6:AU6"/>
    <mergeCell ref="A1:B3"/>
    <mergeCell ref="C1:H1"/>
    <mergeCell ref="I1:BS1"/>
    <mergeCell ref="AV6:BE6"/>
    <mergeCell ref="BT1:BW3"/>
    <mergeCell ref="C2:H2"/>
    <mergeCell ref="I2:I3"/>
    <mergeCell ref="J2:BQ3"/>
    <mergeCell ref="BR2:BR3"/>
    <mergeCell ref="BS2:BS3"/>
    <mergeCell ref="C3:H3"/>
    <mergeCell ref="BP12:BQ12"/>
    <mergeCell ref="BR12:BU12"/>
    <mergeCell ref="BP13:BQ13"/>
    <mergeCell ref="BR13:BU13"/>
    <mergeCell ref="BF6:BO6"/>
    <mergeCell ref="BP11:BU11"/>
    <mergeCell ref="BP6:BW6"/>
    <mergeCell ref="BP17:BQ17"/>
    <mergeCell ref="BR17:BU17"/>
    <mergeCell ref="BP14:BQ14"/>
    <mergeCell ref="BR14:BU14"/>
    <mergeCell ref="BP15:BQ15"/>
    <mergeCell ref="BR15:BU15"/>
    <mergeCell ref="BP16:BQ16"/>
    <mergeCell ref="BR16:BU16"/>
  </mergeCells>
  <conditionalFormatting sqref="BP8:BW9">
    <cfRule type="cellIs" dxfId="12935" priority="37" operator="equal">
      <formula>#REF!</formula>
    </cfRule>
    <cfRule type="cellIs" dxfId="12934" priority="38" operator="greaterThan">
      <formula>1</formula>
    </cfRule>
    <cfRule type="cellIs" dxfId="12933" priority="39" operator="equal">
      <formula>100%</formula>
    </cfRule>
    <cfRule type="cellIs" dxfId="12932" priority="40" operator="between">
      <formula>80%</formula>
      <formula>99%</formula>
    </cfRule>
    <cfRule type="cellIs" dxfId="12931" priority="41" operator="between">
      <formula>0%</formula>
      <formula>79%</formula>
    </cfRule>
  </conditionalFormatting>
  <pageMargins left="0.7" right="0.7" top="0.75" bottom="0.75" header="0.3" footer="0.3"/>
  <pageSetup paperSize="41" scale="64"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42" operator="containsText" id="{FE1ECDBA-5482-462E-8159-C8FF4676145C}">
            <xm:f>NOT(ISERROR(SEARCH(#REF!,BP8)))</xm:f>
            <xm:f>#REF!</xm:f>
            <x14:dxf>
              <font>
                <color theme="4"/>
              </font>
              <fill>
                <patternFill>
                  <bgColor theme="5" tint="0.59996337778862885"/>
                </patternFill>
              </fill>
            </x14:dxf>
          </x14:cfRule>
          <xm:sqref>BP8:BW9</xm:sqref>
        </x14:conditionalFormatting>
      </x14:conditionalFormattings>
    </ex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3000000}">
          <x14:formula1>
            <xm:f>'TAB. REF. PA'!$J$4:$J$6</xm:f>
          </x14:formula1>
          <xm:sqref>R8:R9 S8</xm:sqref>
        </x14:dataValidation>
        <x14:dataValidation type="list" allowBlank="1" showInputMessage="1" showErrorMessage="1" xr:uid="{00000000-0002-0000-0500-000004000000}">
          <x14:formula1>
            <xm:f>'TAB. REF. PA'!$H$4:$H$21</xm:f>
          </x14:formula1>
          <xm:sqref>Q8:Q9</xm:sqref>
        </x14:dataValidation>
        <x14:dataValidation type="list" allowBlank="1" showInputMessage="1" showErrorMessage="1" xr:uid="{00000000-0002-0000-0500-000005000000}">
          <x14:formula1>
            <xm:f>'TAB. REF. PA'!$F$4:$F$10</xm:f>
          </x14:formula1>
          <xm:sqref>P8:P9</xm:sqref>
        </x14:dataValidation>
        <x14:dataValidation type="list" allowBlank="1" showInputMessage="1" showErrorMessage="1" xr:uid="{00000000-0002-0000-0500-000006000000}">
          <x14:formula1>
            <xm:f>'TAB. REF. PA'!$D$4:$D$9</xm:f>
          </x14:formula1>
          <xm:sqref>E8:E9</xm:sqref>
        </x14:dataValidation>
        <x14:dataValidation type="list" allowBlank="1" showInputMessage="1" showErrorMessage="1" xr:uid="{00000000-0002-0000-0500-000007000000}">
          <x14:formula1>
            <xm:f>'TAB. REF. PA'!$X$4:$X$9</xm:f>
          </x14:formula1>
          <xm:sqref>G8:G9</xm:sqref>
        </x14:dataValidation>
        <x14:dataValidation type="list" allowBlank="1" showInputMessage="1" showErrorMessage="1" xr:uid="{00000000-0002-0000-0500-000008000000}">
          <x14:formula1>
            <xm:f>'TAB. REF. PA'!$Y$4:$Y$14</xm:f>
          </x14:formula1>
          <xm:sqref>A8:A9</xm:sqref>
        </x14:dataValidation>
        <x14:dataValidation type="list" allowBlank="1" showInputMessage="1" showErrorMessage="1" xr:uid="{00000000-0002-0000-0500-000009000000}">
          <x14:formula1>
            <xm:f>'TAB. REF. PA'!$W$3:$W$7</xm:f>
          </x14:formula1>
          <xm:sqref>AA8:AA9</xm:sqref>
        </x14:dataValidation>
        <x14:dataValidation type="list" allowBlank="1" showInputMessage="1" showErrorMessage="1" xr:uid="{00000000-0002-0000-0500-00000A000000}">
          <x14:formula1>
            <xm:f>'TAB. REF. PA'!$R$4:$R$12</xm:f>
          </x14:formula1>
          <xm:sqref>C8:C9</xm:sqref>
        </x14:dataValidation>
        <x14:dataValidation type="list" allowBlank="1" showInputMessage="1" showErrorMessage="1" xr:uid="{00000000-0002-0000-0500-00000B000000}">
          <x14:formula1>
            <xm:f>'TAB. REF. PA'!$B$4:$B$14</xm:f>
          </x14:formula1>
          <xm:sqref>B8:B9</xm:sqref>
        </x14:dataValidation>
        <x14:dataValidation type="list" allowBlank="1" showInputMessage="1" showErrorMessage="1" xr:uid="{00000000-0002-0000-0500-000002000000}">
          <x14:formula1>
            <xm:f>'TAB. REF. PA'!$L$4:$L$11</xm:f>
          </x14:formula1>
          <xm:sqref>S9</xm:sqref>
        </x14:dataValidation>
        <x14:dataValidation type="list" allowBlank="1" showInputMessage="1" showErrorMessage="1" xr:uid="{00000000-0002-0000-0500-000001000000}">
          <x14:formula1>
            <xm:f>'TAB. REF. PA'!$N$4:$N$28</xm:f>
          </x14:formula1>
          <xm:sqref>T8:T9</xm:sqref>
        </x14:dataValidation>
        <x14:dataValidation type="list" allowBlank="1" showInputMessage="1" showErrorMessage="1" xr:uid="{0DEB7325-3B38-461D-B9AE-5DF38C32EA13}">
          <x14:formula1>
            <xm:f>'TAB. REF. PA'!$U$4:$U$25</xm:f>
          </x14:formula1>
          <xm:sqref>W8:W9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099A-9400-4AD5-A8CC-3E5620B82DC7}">
  <dimension ref="A1:G27"/>
  <sheetViews>
    <sheetView topLeftCell="A5" workbookViewId="0">
      <selection activeCell="D22" sqref="D22"/>
    </sheetView>
  </sheetViews>
  <sheetFormatPr baseColWidth="10" defaultRowHeight="15" x14ac:dyDescent="0.25"/>
  <cols>
    <col min="1" max="1" width="35.85546875" customWidth="1"/>
    <col min="2" max="2" width="19.5703125" customWidth="1"/>
    <col min="3" max="3" width="2.7109375" customWidth="1"/>
    <col min="4" max="4" width="36.85546875" customWidth="1"/>
    <col min="5" max="5" width="19.28515625" customWidth="1"/>
    <col min="6" max="6" width="19" customWidth="1"/>
    <col min="7" max="7" width="17.28515625" bestFit="1" customWidth="1"/>
  </cols>
  <sheetData>
    <row r="1" spans="1:7" x14ac:dyDescent="0.25">
      <c r="A1" s="1257" t="s">
        <v>469</v>
      </c>
      <c r="B1" s="1257"/>
      <c r="D1" s="1257" t="s">
        <v>478</v>
      </c>
      <c r="E1" s="1257"/>
    </row>
    <row r="3" spans="1:7" x14ac:dyDescent="0.25">
      <c r="A3" s="166" t="s">
        <v>470</v>
      </c>
      <c r="B3" s="166" t="s">
        <v>471</v>
      </c>
      <c r="D3" s="166" t="s">
        <v>470</v>
      </c>
      <c r="E3" s="166" t="s">
        <v>471</v>
      </c>
    </row>
    <row r="4" spans="1:7" x14ac:dyDescent="0.25">
      <c r="A4" t="s">
        <v>472</v>
      </c>
      <c r="B4" s="168">
        <f>15179735019.05+3086194000+2846265640</f>
        <v>21112194659.049999</v>
      </c>
      <c r="D4" t="s">
        <v>479</v>
      </c>
      <c r="E4" s="87">
        <f>+'[10]Plan de Accion Proyectos estrat'!P37</f>
        <v>42159994067.800003</v>
      </c>
    </row>
    <row r="5" spans="1:7" x14ac:dyDescent="0.25">
      <c r="A5" t="s">
        <v>473</v>
      </c>
      <c r="B5" s="168">
        <v>284095877.32999998</v>
      </c>
      <c r="D5" t="s">
        <v>480</v>
      </c>
      <c r="E5" s="87">
        <f>+'[10]Plan de Accion Misional'!N21</f>
        <v>909976656</v>
      </c>
    </row>
    <row r="6" spans="1:7" x14ac:dyDescent="0.25">
      <c r="A6" t="s">
        <v>1003</v>
      </c>
      <c r="B6" s="168">
        <f>297518840.75-107418462</f>
        <v>190100378.75</v>
      </c>
      <c r="D6" t="s">
        <v>481</v>
      </c>
      <c r="E6" s="87">
        <f>+'[10]Plan de Accion apoyo transversa'!AC179</f>
        <v>6693994995.0797157</v>
      </c>
    </row>
    <row r="7" spans="1:7" x14ac:dyDescent="0.25">
      <c r="A7" t="s">
        <v>474</v>
      </c>
      <c r="B7" s="168">
        <v>41000000</v>
      </c>
      <c r="D7" t="s">
        <v>1014</v>
      </c>
      <c r="E7" s="87">
        <f>+'[10]Plan de Accion ajustes normativ'!N11</f>
        <v>0</v>
      </c>
    </row>
    <row r="8" spans="1:7" x14ac:dyDescent="0.25">
      <c r="A8" t="s">
        <v>1004</v>
      </c>
      <c r="B8" s="168">
        <v>874173000</v>
      </c>
      <c r="D8" s="85" t="s">
        <v>476</v>
      </c>
      <c r="E8" s="90">
        <f>SUM(E4:E7)</f>
        <v>49763965718.879715</v>
      </c>
    </row>
    <row r="9" spans="1:7" x14ac:dyDescent="0.25">
      <c r="A9" t="s">
        <v>1006</v>
      </c>
      <c r="B9" s="168">
        <v>0</v>
      </c>
    </row>
    <row r="10" spans="1:7" x14ac:dyDescent="0.25">
      <c r="A10" t="s">
        <v>1005</v>
      </c>
      <c r="B10" s="168">
        <v>329198836</v>
      </c>
      <c r="D10" s="85" t="s">
        <v>483</v>
      </c>
      <c r="E10" s="92">
        <f>+E8+B24</f>
        <v>149720984721.26971</v>
      </c>
    </row>
    <row r="11" spans="1:7" x14ac:dyDescent="0.25">
      <c r="A11" t="s">
        <v>1007</v>
      </c>
      <c r="B11" s="168">
        <v>598373865</v>
      </c>
      <c r="D11" s="85" t="s">
        <v>482</v>
      </c>
      <c r="E11" s="92">
        <v>145380000000</v>
      </c>
    </row>
    <row r="12" spans="1:7" x14ac:dyDescent="0.25">
      <c r="A12" t="s">
        <v>1008</v>
      </c>
      <c r="B12" s="168">
        <v>9148844253</v>
      </c>
      <c r="D12" s="85" t="s">
        <v>484</v>
      </c>
      <c r="E12" s="93">
        <f>+E11-E10</f>
        <v>-4340984721.2697144</v>
      </c>
      <c r="F12" s="93">
        <v>-4766030188.4799995</v>
      </c>
      <c r="G12" s="93">
        <f>+E12-F12</f>
        <v>425045467.21028519</v>
      </c>
    </row>
    <row r="13" spans="1:7" x14ac:dyDescent="0.25">
      <c r="A13" t="s">
        <v>1009</v>
      </c>
      <c r="B13" s="168">
        <v>6213998083</v>
      </c>
    </row>
    <row r="14" spans="1:7" x14ac:dyDescent="0.25">
      <c r="A14" t="s">
        <v>1010</v>
      </c>
      <c r="B14" s="120">
        <v>0</v>
      </c>
    </row>
    <row r="15" spans="1:7" x14ac:dyDescent="0.25">
      <c r="A15" t="s">
        <v>1011</v>
      </c>
      <c r="B15" s="120">
        <f>2053023852+2668208441+77167329+139134671+57500000+107418462+248695717+115012186.95</f>
        <v>5466160658.9499998</v>
      </c>
    </row>
    <row r="16" spans="1:7" x14ac:dyDescent="0.25">
      <c r="A16" t="s">
        <v>1012</v>
      </c>
      <c r="B16" s="120">
        <f>338707320+295906600+162000000</f>
        <v>796613920</v>
      </c>
      <c r="D16" s="62"/>
    </row>
    <row r="17" spans="1:5" x14ac:dyDescent="0.25">
      <c r="A17" t="s">
        <v>1013</v>
      </c>
      <c r="B17" s="86">
        <v>0</v>
      </c>
    </row>
    <row r="18" spans="1:5" ht="6" customHeight="1" x14ac:dyDescent="0.25">
      <c r="B18" s="86"/>
    </row>
    <row r="19" spans="1:5" x14ac:dyDescent="0.25">
      <c r="A19" s="85" t="s">
        <v>475</v>
      </c>
      <c r="B19" s="88">
        <f>SUM(B4:B17)</f>
        <v>45054753531.080002</v>
      </c>
    </row>
    <row r="20" spans="1:5" ht="6" customHeight="1" x14ac:dyDescent="0.25"/>
    <row r="21" spans="1:5" ht="18" customHeight="1" x14ac:dyDescent="0.25">
      <c r="A21" t="s">
        <v>1015</v>
      </c>
      <c r="B21" s="100">
        <v>21836252000</v>
      </c>
    </row>
    <row r="22" spans="1:5" ht="18" customHeight="1" x14ac:dyDescent="0.25">
      <c r="A22" t="s">
        <v>477</v>
      </c>
      <c r="B22" s="100">
        <v>33066013471.310001</v>
      </c>
    </row>
    <row r="23" spans="1:5" ht="6" customHeight="1" x14ac:dyDescent="0.25"/>
    <row r="24" spans="1:5" x14ac:dyDescent="0.25">
      <c r="A24" s="85" t="s">
        <v>476</v>
      </c>
      <c r="B24" s="89">
        <f>+B19+B21+B22</f>
        <v>99957019002.389999</v>
      </c>
      <c r="E24" s="91"/>
    </row>
    <row r="26" spans="1:5" x14ac:dyDescent="0.25">
      <c r="A26" s="85" t="s">
        <v>1311</v>
      </c>
      <c r="B26" s="93">
        <f>+B8+B10+B13+B11+B12+E12</f>
        <v>12823603315.730286</v>
      </c>
    </row>
    <row r="27" spans="1:5" x14ac:dyDescent="0.25">
      <c r="B27" s="91"/>
    </row>
  </sheetData>
  <mergeCells count="2">
    <mergeCell ref="A1:B1"/>
    <mergeCell ref="D1:E1"/>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showGridLines="0" workbookViewId="0">
      <selection activeCell="M18" sqref="M18"/>
    </sheetView>
  </sheetViews>
  <sheetFormatPr baseColWidth="10" defaultRowHeight="15" x14ac:dyDescent="0.25"/>
  <sheetData>
    <row r="1" spans="1:12" ht="15.75" thickBot="1" x14ac:dyDescent="0.3">
      <c r="A1" s="9"/>
      <c r="B1" s="9"/>
      <c r="C1" s="9"/>
      <c r="D1" s="9"/>
      <c r="E1" s="9"/>
      <c r="F1" s="9"/>
      <c r="G1" s="9"/>
      <c r="H1" s="9"/>
      <c r="I1" s="9"/>
    </row>
    <row r="2" spans="1:12" x14ac:dyDescent="0.25">
      <c r="A2" s="1258"/>
      <c r="B2" s="1259"/>
      <c r="C2" s="1264" t="s">
        <v>246</v>
      </c>
      <c r="D2" s="1265"/>
      <c r="E2" s="1282" t="s">
        <v>247</v>
      </c>
      <c r="F2" s="1283"/>
      <c r="G2" s="1283"/>
      <c r="H2" s="1284"/>
      <c r="I2" s="1270"/>
      <c r="J2" s="1271"/>
      <c r="K2" s="1271"/>
      <c r="L2" s="1272"/>
    </row>
    <row r="3" spans="1:12" x14ac:dyDescent="0.25">
      <c r="A3" s="1260"/>
      <c r="B3" s="1261"/>
      <c r="C3" s="1266" t="s">
        <v>248</v>
      </c>
      <c r="D3" s="1267"/>
      <c r="E3" s="1279" t="s">
        <v>209</v>
      </c>
      <c r="F3" s="1280"/>
      <c r="G3" s="1280"/>
      <c r="H3" s="1281"/>
      <c r="I3" s="1273"/>
      <c r="J3" s="1274"/>
      <c r="K3" s="1274"/>
      <c r="L3" s="1275"/>
    </row>
    <row r="4" spans="1:12" ht="15.75" thickBot="1" x14ac:dyDescent="0.3">
      <c r="A4" s="1262"/>
      <c r="B4" s="1263"/>
      <c r="C4" s="1268" t="s">
        <v>242</v>
      </c>
      <c r="D4" s="1269"/>
      <c r="E4" s="1285" t="s">
        <v>251</v>
      </c>
      <c r="F4" s="1286"/>
      <c r="G4" s="21" t="s">
        <v>249</v>
      </c>
      <c r="H4" s="20">
        <v>1</v>
      </c>
      <c r="I4" s="1276"/>
      <c r="J4" s="1277"/>
      <c r="K4" s="1277"/>
      <c r="L4" s="1278"/>
    </row>
    <row r="7" spans="1:12" x14ac:dyDescent="0.25">
      <c r="C7" s="22"/>
      <c r="D7" s="22"/>
      <c r="E7" s="22"/>
      <c r="F7" s="22"/>
      <c r="G7" s="22"/>
      <c r="H7" s="22"/>
      <c r="I7" s="22"/>
    </row>
    <row r="8" spans="1:12" x14ac:dyDescent="0.25">
      <c r="C8" s="26" t="s">
        <v>243</v>
      </c>
      <c r="D8" s="22"/>
      <c r="E8" s="22"/>
      <c r="F8" s="22"/>
      <c r="G8" s="22"/>
      <c r="H8" s="22"/>
      <c r="I8" s="541" t="s">
        <v>245</v>
      </c>
    </row>
    <row r="9" spans="1:12" x14ac:dyDescent="0.25">
      <c r="C9" s="25"/>
      <c r="D9" s="22"/>
      <c r="E9" s="22"/>
      <c r="F9" s="22"/>
      <c r="G9" s="22"/>
      <c r="H9" s="22"/>
      <c r="I9" s="22"/>
    </row>
    <row r="10" spans="1:12" x14ac:dyDescent="0.25">
      <c r="C10" s="25"/>
      <c r="D10" s="22"/>
      <c r="E10" s="22"/>
      <c r="F10" s="22"/>
      <c r="G10" s="22"/>
      <c r="H10" s="22"/>
      <c r="I10" s="22"/>
    </row>
    <row r="11" spans="1:12" x14ac:dyDescent="0.25">
      <c r="C11" s="25"/>
      <c r="D11" s="22"/>
      <c r="E11" s="22"/>
      <c r="F11" s="22"/>
      <c r="G11" s="22"/>
      <c r="H11" s="22"/>
      <c r="I11" s="22"/>
    </row>
    <row r="12" spans="1:12" x14ac:dyDescent="0.25">
      <c r="C12" s="25"/>
      <c r="D12" s="22"/>
      <c r="E12" s="22"/>
      <c r="F12" s="22"/>
      <c r="G12" s="22"/>
      <c r="H12" s="22"/>
      <c r="I12" s="22"/>
      <c r="K12" s="22"/>
      <c r="L12" s="22"/>
    </row>
    <row r="13" spans="1:12" x14ac:dyDescent="0.25">
      <c r="C13" s="23" t="s">
        <v>1410</v>
      </c>
      <c r="D13" s="22"/>
      <c r="E13" s="22"/>
      <c r="F13" s="22"/>
      <c r="G13" s="22"/>
      <c r="H13" s="22"/>
      <c r="I13" s="541" t="s">
        <v>245</v>
      </c>
      <c r="K13" s="22"/>
    </row>
    <row r="14" spans="1:12" x14ac:dyDescent="0.25">
      <c r="C14" s="25"/>
      <c r="D14" s="22"/>
      <c r="E14" s="22"/>
      <c r="F14" s="22"/>
      <c r="G14" s="22"/>
      <c r="H14" s="22"/>
      <c r="I14" s="22"/>
      <c r="K14" s="22"/>
      <c r="L14" s="22"/>
    </row>
    <row r="15" spans="1:12" x14ac:dyDescent="0.25">
      <c r="C15" s="25"/>
      <c r="D15" s="22"/>
      <c r="E15" s="22"/>
      <c r="F15" s="22"/>
      <c r="G15" s="22"/>
      <c r="H15" s="22"/>
      <c r="J15" s="22"/>
      <c r="L15" s="22"/>
    </row>
    <row r="16" spans="1:12" x14ac:dyDescent="0.25">
      <c r="C16" s="25"/>
      <c r="D16" s="22"/>
      <c r="E16" s="22"/>
      <c r="F16" s="22"/>
      <c r="G16" s="22"/>
      <c r="H16" s="22"/>
      <c r="J16" s="22"/>
      <c r="L16" s="541"/>
    </row>
    <row r="17" spans="3:12" x14ac:dyDescent="0.25">
      <c r="C17" s="25"/>
      <c r="D17" s="22"/>
      <c r="E17" s="22"/>
      <c r="F17" s="22"/>
      <c r="G17" s="22"/>
      <c r="H17" s="22"/>
      <c r="J17" s="22"/>
      <c r="L17" s="22"/>
    </row>
    <row r="18" spans="3:12" x14ac:dyDescent="0.25">
      <c r="C18" s="25"/>
      <c r="D18" s="22"/>
      <c r="E18" s="22"/>
      <c r="F18" s="22"/>
      <c r="G18" s="22"/>
      <c r="H18" s="22"/>
    </row>
    <row r="19" spans="3:12" x14ac:dyDescent="0.25">
      <c r="C19" s="23" t="s">
        <v>1411</v>
      </c>
      <c r="D19" s="22"/>
      <c r="E19" s="22"/>
      <c r="F19" s="22"/>
      <c r="G19" s="22"/>
      <c r="H19" s="541" t="s">
        <v>245</v>
      </c>
    </row>
    <row r="20" spans="3:12" x14ac:dyDescent="0.25">
      <c r="C20" s="25"/>
      <c r="D20" s="22"/>
      <c r="E20" s="22"/>
      <c r="F20" s="22"/>
      <c r="G20" s="22"/>
      <c r="H20" s="22"/>
    </row>
    <row r="21" spans="3:12" x14ac:dyDescent="0.25">
      <c r="C21" s="25"/>
      <c r="D21" s="22"/>
      <c r="E21" s="22"/>
      <c r="F21" s="22"/>
      <c r="G21" s="22"/>
      <c r="H21" s="22"/>
    </row>
    <row r="22" spans="3:12" x14ac:dyDescent="0.25">
      <c r="C22" s="25"/>
      <c r="D22" s="22"/>
      <c r="E22" s="22"/>
      <c r="F22" s="22"/>
      <c r="G22" s="22"/>
      <c r="H22" s="22"/>
      <c r="I22" s="22"/>
      <c r="K22" s="22"/>
    </row>
    <row r="23" spans="3:12" x14ac:dyDescent="0.25">
      <c r="C23" s="25"/>
      <c r="D23" s="22"/>
      <c r="E23" s="22"/>
      <c r="F23" s="22"/>
      <c r="G23" s="22"/>
      <c r="H23" s="22"/>
      <c r="I23" s="22"/>
      <c r="K23" s="22"/>
    </row>
    <row r="24" spans="3:12" x14ac:dyDescent="0.25">
      <c r="C24" s="25"/>
      <c r="D24" s="22"/>
      <c r="E24" s="22"/>
      <c r="F24" s="22"/>
      <c r="G24" s="22"/>
      <c r="H24" s="22"/>
      <c r="I24" s="22"/>
      <c r="K24" s="22"/>
    </row>
    <row r="25" spans="3:12" x14ac:dyDescent="0.25">
      <c r="C25" s="25"/>
      <c r="D25" s="22"/>
      <c r="E25" s="22"/>
      <c r="F25" s="22"/>
      <c r="G25" s="22"/>
      <c r="H25" s="22"/>
      <c r="I25" s="22"/>
    </row>
    <row r="26" spans="3:12" x14ac:dyDescent="0.25">
      <c r="C26" s="23" t="s">
        <v>244</v>
      </c>
      <c r="D26" s="22"/>
      <c r="E26" s="22"/>
      <c r="F26" s="22"/>
      <c r="G26" s="22"/>
      <c r="H26" s="541" t="s">
        <v>245</v>
      </c>
    </row>
    <row r="27" spans="3:12" x14ac:dyDescent="0.25">
      <c r="C27" s="22"/>
      <c r="D27" s="22"/>
      <c r="E27" s="22"/>
      <c r="F27" s="22"/>
      <c r="G27" s="22"/>
      <c r="H27" s="22"/>
      <c r="I27" s="22"/>
    </row>
    <row r="28" spans="3:12" x14ac:dyDescent="0.25">
      <c r="C28" s="22"/>
      <c r="D28" s="22"/>
      <c r="E28" s="22"/>
      <c r="F28" s="22"/>
      <c r="G28" s="22"/>
      <c r="H28" s="22"/>
      <c r="I28" s="22"/>
    </row>
    <row r="29" spans="3:12" x14ac:dyDescent="0.25">
      <c r="C29" s="22"/>
      <c r="D29" s="22"/>
      <c r="E29" s="22"/>
      <c r="F29" s="22"/>
      <c r="G29" s="22"/>
      <c r="H29" s="22"/>
      <c r="I29" s="22"/>
    </row>
    <row r="30" spans="3:12" x14ac:dyDescent="0.25">
      <c r="C30" s="22"/>
      <c r="D30" s="22"/>
      <c r="E30" s="22"/>
      <c r="F30" s="22"/>
      <c r="G30" s="22"/>
      <c r="H30" s="22"/>
      <c r="I30" s="22"/>
    </row>
    <row r="31" spans="3:12" x14ac:dyDescent="0.25">
      <c r="C31" s="22"/>
      <c r="D31" s="22"/>
      <c r="E31" s="22"/>
      <c r="F31" s="22"/>
      <c r="G31" s="22"/>
      <c r="H31" s="22"/>
      <c r="I31" s="22"/>
    </row>
    <row r="32" spans="3:12" x14ac:dyDescent="0.25">
      <c r="C32" s="23"/>
      <c r="D32" s="22"/>
      <c r="E32" s="22"/>
      <c r="F32" s="22"/>
      <c r="G32" s="22"/>
      <c r="H32" s="24"/>
    </row>
    <row r="33" spans="3:9" x14ac:dyDescent="0.25">
      <c r="C33" s="22"/>
      <c r="D33" s="22"/>
      <c r="E33" s="22"/>
      <c r="F33" s="22"/>
      <c r="G33" s="22"/>
      <c r="H33" s="22"/>
      <c r="I33" s="22"/>
    </row>
    <row r="34" spans="3:9" x14ac:dyDescent="0.25">
      <c r="C34" s="22"/>
      <c r="D34" s="22"/>
      <c r="E34" s="22"/>
      <c r="F34" s="22"/>
      <c r="G34" s="22"/>
      <c r="H34" s="22"/>
      <c r="I34" s="22"/>
    </row>
    <row r="35" spans="3:9" x14ac:dyDescent="0.25">
      <c r="C35" s="22"/>
      <c r="D35" s="22"/>
      <c r="E35" s="22"/>
      <c r="F35" s="22"/>
      <c r="G35" s="22"/>
      <c r="H35" s="22"/>
      <c r="I35" s="22"/>
    </row>
    <row r="36" spans="3:9" x14ac:dyDescent="0.25">
      <c r="C36" s="22"/>
      <c r="D36" s="22"/>
      <c r="E36" s="22"/>
      <c r="F36" s="22"/>
      <c r="G36" s="22"/>
      <c r="H36" s="22"/>
      <c r="I36" s="22"/>
    </row>
    <row r="37" spans="3:9" x14ac:dyDescent="0.25">
      <c r="C37" s="22"/>
      <c r="D37" s="22"/>
      <c r="E37" s="22"/>
      <c r="F37" s="22"/>
      <c r="G37" s="22"/>
      <c r="H37" s="22"/>
      <c r="I37" s="22"/>
    </row>
  </sheetData>
  <mergeCells count="8">
    <mergeCell ref="A2:B4"/>
    <mergeCell ref="C2:D2"/>
    <mergeCell ref="C3:D3"/>
    <mergeCell ref="C4:D4"/>
    <mergeCell ref="I2:L4"/>
    <mergeCell ref="E3:H3"/>
    <mergeCell ref="E2:H2"/>
    <mergeCell ref="E4:F4"/>
  </mergeCells>
  <hyperlinks>
    <hyperlink ref="C8" location="'Cumplimiento perspectivas conso'!A1" display="SEGUIMIENTO AL CUMPLIMIENTO POR PERSPECTIVA DEL CMI" xr:uid="{00000000-0004-0000-0700-000000000000}"/>
    <hyperlink ref="C13" location="'Cumplimiento de objetivos'!A1" display="SEGUIMIENTO AL CUMPLIMIENTO POR OBJETIVOS/LINEAMIENTOS ESTRATÉGICOS" xr:uid="{00000000-0004-0000-0700-000001000000}"/>
    <hyperlink ref="C19" location="'Cumplimiento act. relevantes'!A1" display="SEGUIMIENTO AL CUMPLIMIENTO POR ACTIVIDADES RELEVANTES" xr:uid="{00000000-0004-0000-0700-000002000000}"/>
    <hyperlink ref="C26" location="'Cumplimiento Dependencias'!A1" display="SEGUIMIENTO AL CUMPLIMIENTO POR DEPENDENCIAS" xr:uid="{00000000-0004-0000-0700-000003000000}"/>
    <hyperlink ref="I8" location="'Cumplimiento perspectivas Mejor'!A1" display="Detalles" xr:uid="{00000000-0004-0000-0700-000004000000}"/>
    <hyperlink ref="H19" location="'Cumplimiento Planes'!A1" display="Detalles" xr:uid="{00000000-0004-0000-0700-000005000000}"/>
    <hyperlink ref="I13" location="'Cumplimiento de objetivos Mejor'!A1" display="Detalles" xr:uid="{FE626C95-98CF-4BF4-93EB-0EB55B191950}"/>
    <hyperlink ref="H26" location="'Cumplimiento Dependencias Mejor'!A1" display="Detalles" xr:uid="{164ABD19-58C6-4F7A-BA09-471B37654069}"/>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8D43-325C-4535-9080-4963E105EEE9}">
  <dimension ref="B1:CP380"/>
  <sheetViews>
    <sheetView showGridLines="0" zoomScale="50" zoomScaleNormal="50" workbookViewId="0">
      <selection activeCell="G153" sqref="G153"/>
    </sheetView>
  </sheetViews>
  <sheetFormatPr baseColWidth="10" defaultColWidth="11" defaultRowHeight="14.25" x14ac:dyDescent="0.2"/>
  <cols>
    <col min="1" max="1" width="1.5703125" style="173" customWidth="1"/>
    <col min="2" max="2" width="22.28515625" style="173" customWidth="1"/>
    <col min="3" max="3" width="42.5703125" style="173" customWidth="1"/>
    <col min="4" max="4" width="38.7109375" style="173" customWidth="1"/>
    <col min="5" max="7" width="32.140625" style="173" customWidth="1"/>
    <col min="8" max="8" width="33.85546875" style="173" customWidth="1"/>
    <col min="9" max="9" width="5.7109375" style="177" customWidth="1"/>
    <col min="10" max="10" width="15.85546875" style="177" customWidth="1"/>
    <col min="11" max="11" width="23.5703125" style="173" customWidth="1"/>
    <col min="12" max="12" width="15.7109375" style="173" customWidth="1"/>
    <col min="13" max="13" width="17.5703125" style="173" customWidth="1"/>
    <col min="14" max="15" width="15.7109375" style="173" customWidth="1"/>
    <col min="16" max="16" width="2.5703125" style="175" customWidth="1"/>
    <col min="17" max="17" width="15.5703125" style="173" customWidth="1"/>
    <col min="18" max="19" width="17.140625" style="173" customWidth="1"/>
    <col min="20" max="22" width="21" style="173" customWidth="1"/>
    <col min="23" max="23" width="2.5703125" style="175" customWidth="1"/>
    <col min="24" max="24" width="17.140625" style="173" customWidth="1"/>
    <col min="25" max="25" width="14.85546875" style="173" customWidth="1"/>
    <col min="26" max="26" width="20.42578125" style="173" customWidth="1"/>
    <col min="27" max="28" width="20.7109375" style="173" customWidth="1"/>
    <col min="29" max="29" width="17.5703125" style="173" customWidth="1"/>
    <col min="30" max="30" width="2.5703125" style="175" customWidth="1"/>
    <col min="31" max="31" width="12.5703125" style="173" hidden="1" customWidth="1"/>
    <col min="32" max="33" width="16.28515625" style="173" hidden="1" customWidth="1"/>
    <col min="34" max="35" width="18.140625" style="173" hidden="1" customWidth="1"/>
    <col min="36" max="36" width="19.85546875" style="173" hidden="1" customWidth="1"/>
    <col min="37" max="37" width="5.7109375" style="174" customWidth="1"/>
    <col min="38" max="39" width="11" style="173" hidden="1" customWidth="1"/>
    <col min="40" max="40" width="2.7109375" style="173" hidden="1" customWidth="1"/>
    <col min="41" max="42" width="11" style="173" hidden="1" customWidth="1"/>
    <col min="43" max="43" width="2.7109375" style="173" hidden="1" customWidth="1"/>
    <col min="44" max="45" width="11" style="173" hidden="1" customWidth="1"/>
    <col min="46" max="46" width="2.7109375" style="173" hidden="1" customWidth="1"/>
    <col min="47" max="48" width="11" style="173" hidden="1" customWidth="1"/>
    <col min="49" max="49" width="2.7109375" style="173" hidden="1" customWidth="1"/>
    <col min="50" max="50" width="11" style="173" hidden="1" customWidth="1"/>
    <col min="51" max="51" width="5.7109375" style="173" hidden="1" customWidth="1"/>
    <col min="52" max="53" width="11" style="173" hidden="1" customWidth="1"/>
    <col min="54" max="54" width="2.7109375" style="173" hidden="1" customWidth="1"/>
    <col min="55" max="56" width="11" style="173" hidden="1" customWidth="1"/>
    <col min="57" max="57" width="2.7109375" style="173" hidden="1" customWidth="1"/>
    <col min="58" max="59" width="11" style="173" hidden="1" customWidth="1"/>
    <col min="60" max="60" width="2.7109375" style="173" hidden="1" customWidth="1"/>
    <col min="61" max="62" width="11" style="173" hidden="1" customWidth="1"/>
    <col min="63" max="63" width="2.7109375" style="173" hidden="1" customWidth="1"/>
    <col min="64" max="64" width="11" style="173" hidden="1" customWidth="1"/>
    <col min="65" max="65" width="5.7109375" style="173" hidden="1" customWidth="1"/>
    <col min="66" max="67" width="11" style="173" hidden="1" customWidth="1"/>
    <col min="68" max="68" width="2.7109375" style="173" hidden="1" customWidth="1"/>
    <col min="69" max="70" width="11" style="173" hidden="1" customWidth="1"/>
    <col min="71" max="71" width="2.7109375" style="173" hidden="1" customWidth="1"/>
    <col min="72" max="73" width="11" style="173" hidden="1" customWidth="1"/>
    <col min="74" max="74" width="2.7109375" style="173" hidden="1" customWidth="1"/>
    <col min="75" max="76" width="11" style="173" hidden="1" customWidth="1"/>
    <col min="77" max="77" width="2.7109375" style="173" hidden="1" customWidth="1"/>
    <col min="78" max="78" width="11" style="173" hidden="1" customWidth="1"/>
    <col min="79" max="79" width="5.7109375" style="173" hidden="1" customWidth="1"/>
    <col min="80" max="81" width="11" style="173" hidden="1" customWidth="1"/>
    <col min="82" max="82" width="2.7109375" style="173" hidden="1" customWidth="1"/>
    <col min="83" max="84" width="11" style="173" hidden="1" customWidth="1"/>
    <col min="85" max="85" width="2.7109375" style="173" hidden="1" customWidth="1"/>
    <col min="86" max="87" width="11" style="173" hidden="1" customWidth="1"/>
    <col min="88" max="88" width="2.7109375" style="173" hidden="1" customWidth="1"/>
    <col min="89" max="90" width="11" style="173" hidden="1" customWidth="1"/>
    <col min="91" max="91" width="2.7109375" style="173" hidden="1" customWidth="1"/>
    <col min="92" max="92" width="11" style="173" hidden="1" customWidth="1"/>
    <col min="93" max="268" width="11" style="173"/>
    <col min="269" max="269" width="1.5703125" style="173" customWidth="1"/>
    <col min="270" max="270" width="8.5703125" style="173" customWidth="1"/>
    <col min="271" max="271" width="28.7109375" style="173" customWidth="1"/>
    <col min="272" max="272" width="26.5703125" style="173" customWidth="1"/>
    <col min="273" max="273" width="7.7109375" style="173" customWidth="1"/>
    <col min="274" max="274" width="19.42578125" style="173" customWidth="1"/>
    <col min="275" max="275" width="44.28515625" style="173" customWidth="1"/>
    <col min="276" max="276" width="17" style="173" customWidth="1"/>
    <col min="277" max="277" width="15.5703125" style="173" customWidth="1"/>
    <col min="278" max="278" width="14.140625" style="173" customWidth="1"/>
    <col min="279" max="279" width="1.7109375" style="173" customWidth="1"/>
    <col min="280" max="280" width="13.7109375" style="173" customWidth="1"/>
    <col min="281" max="281" width="13.85546875" style="173" bestFit="1" customWidth="1"/>
    <col min="282" max="282" width="2.5703125" style="173" customWidth="1"/>
    <col min="283" max="283" width="12.42578125" style="173" customWidth="1"/>
    <col min="284" max="284" width="13.5703125" style="173" customWidth="1"/>
    <col min="285" max="285" width="2.5703125" style="173" customWidth="1"/>
    <col min="286" max="286" width="12.42578125" style="173" customWidth="1"/>
    <col min="287" max="287" width="13.5703125" style="173" customWidth="1"/>
    <col min="288" max="288" width="2.5703125" style="173" customWidth="1"/>
    <col min="289" max="289" width="11.5703125" style="173" customWidth="1"/>
    <col min="290" max="290" width="13" style="173" customWidth="1"/>
    <col min="291" max="291" width="1.42578125" style="173" customWidth="1"/>
    <col min="292" max="292" width="10.5703125" style="173" customWidth="1"/>
    <col min="293" max="524" width="11" style="173"/>
    <col min="525" max="525" width="1.5703125" style="173" customWidth="1"/>
    <col min="526" max="526" width="8.5703125" style="173" customWidth="1"/>
    <col min="527" max="527" width="28.7109375" style="173" customWidth="1"/>
    <col min="528" max="528" width="26.5703125" style="173" customWidth="1"/>
    <col min="529" max="529" width="7.7109375" style="173" customWidth="1"/>
    <col min="530" max="530" width="19.42578125" style="173" customWidth="1"/>
    <col min="531" max="531" width="44.28515625" style="173" customWidth="1"/>
    <col min="532" max="532" width="17" style="173" customWidth="1"/>
    <col min="533" max="533" width="15.5703125" style="173" customWidth="1"/>
    <col min="534" max="534" width="14.140625" style="173" customWidth="1"/>
    <col min="535" max="535" width="1.7109375" style="173" customWidth="1"/>
    <col min="536" max="536" width="13.7109375" style="173" customWidth="1"/>
    <col min="537" max="537" width="13.85546875" style="173" bestFit="1" customWidth="1"/>
    <col min="538" max="538" width="2.5703125" style="173" customWidth="1"/>
    <col min="539" max="539" width="12.42578125" style="173" customWidth="1"/>
    <col min="540" max="540" width="13.5703125" style="173" customWidth="1"/>
    <col min="541" max="541" width="2.5703125" style="173" customWidth="1"/>
    <col min="542" max="542" width="12.42578125" style="173" customWidth="1"/>
    <col min="543" max="543" width="13.5703125" style="173" customWidth="1"/>
    <col min="544" max="544" width="2.5703125" style="173" customWidth="1"/>
    <col min="545" max="545" width="11.5703125" style="173" customWidth="1"/>
    <col min="546" max="546" width="13" style="173" customWidth="1"/>
    <col min="547" max="547" width="1.42578125" style="173" customWidth="1"/>
    <col min="548" max="548" width="10.5703125" style="173" customWidth="1"/>
    <col min="549" max="780" width="11" style="173"/>
    <col min="781" max="781" width="1.5703125" style="173" customWidth="1"/>
    <col min="782" max="782" width="8.5703125" style="173" customWidth="1"/>
    <col min="783" max="783" width="28.7109375" style="173" customWidth="1"/>
    <col min="784" max="784" width="26.5703125" style="173" customWidth="1"/>
    <col min="785" max="785" width="7.7109375" style="173" customWidth="1"/>
    <col min="786" max="786" width="19.42578125" style="173" customWidth="1"/>
    <col min="787" max="787" width="44.28515625" style="173" customWidth="1"/>
    <col min="788" max="788" width="17" style="173" customWidth="1"/>
    <col min="789" max="789" width="15.5703125" style="173" customWidth="1"/>
    <col min="790" max="790" width="14.140625" style="173" customWidth="1"/>
    <col min="791" max="791" width="1.7109375" style="173" customWidth="1"/>
    <col min="792" max="792" width="13.7109375" style="173" customWidth="1"/>
    <col min="793" max="793" width="13.85546875" style="173" bestFit="1" customWidth="1"/>
    <col min="794" max="794" width="2.5703125" style="173" customWidth="1"/>
    <col min="795" max="795" width="12.42578125" style="173" customWidth="1"/>
    <col min="796" max="796" width="13.5703125" style="173" customWidth="1"/>
    <col min="797" max="797" width="2.5703125" style="173" customWidth="1"/>
    <col min="798" max="798" width="12.42578125" style="173" customWidth="1"/>
    <col min="799" max="799" width="13.5703125" style="173" customWidth="1"/>
    <col min="800" max="800" width="2.5703125" style="173" customWidth="1"/>
    <col min="801" max="801" width="11.5703125" style="173" customWidth="1"/>
    <col min="802" max="802" width="13" style="173" customWidth="1"/>
    <col min="803" max="803" width="1.42578125" style="173" customWidth="1"/>
    <col min="804" max="804" width="10.5703125" style="173" customWidth="1"/>
    <col min="805" max="1036" width="11" style="173"/>
    <col min="1037" max="1037" width="1.5703125" style="173" customWidth="1"/>
    <col min="1038" max="1038" width="8.5703125" style="173" customWidth="1"/>
    <col min="1039" max="1039" width="28.7109375" style="173" customWidth="1"/>
    <col min="1040" max="1040" width="26.5703125" style="173" customWidth="1"/>
    <col min="1041" max="1041" width="7.7109375" style="173" customWidth="1"/>
    <col min="1042" max="1042" width="19.42578125" style="173" customWidth="1"/>
    <col min="1043" max="1043" width="44.28515625" style="173" customWidth="1"/>
    <col min="1044" max="1044" width="17" style="173" customWidth="1"/>
    <col min="1045" max="1045" width="15.5703125" style="173" customWidth="1"/>
    <col min="1046" max="1046" width="14.140625" style="173" customWidth="1"/>
    <col min="1047" max="1047" width="1.7109375" style="173" customWidth="1"/>
    <col min="1048" max="1048" width="13.7109375" style="173" customWidth="1"/>
    <col min="1049" max="1049" width="13.85546875" style="173" bestFit="1" customWidth="1"/>
    <col min="1050" max="1050" width="2.5703125" style="173" customWidth="1"/>
    <col min="1051" max="1051" width="12.42578125" style="173" customWidth="1"/>
    <col min="1052" max="1052" width="13.5703125" style="173" customWidth="1"/>
    <col min="1053" max="1053" width="2.5703125" style="173" customWidth="1"/>
    <col min="1054" max="1054" width="12.42578125" style="173" customWidth="1"/>
    <col min="1055" max="1055" width="13.5703125" style="173" customWidth="1"/>
    <col min="1056" max="1056" width="2.5703125" style="173" customWidth="1"/>
    <col min="1057" max="1057" width="11.5703125" style="173" customWidth="1"/>
    <col min="1058" max="1058" width="13" style="173" customWidth="1"/>
    <col min="1059" max="1059" width="1.42578125" style="173" customWidth="1"/>
    <col min="1060" max="1060" width="10.5703125" style="173" customWidth="1"/>
    <col min="1061" max="1292" width="11" style="173"/>
    <col min="1293" max="1293" width="1.5703125" style="173" customWidth="1"/>
    <col min="1294" max="1294" width="8.5703125" style="173" customWidth="1"/>
    <col min="1295" max="1295" width="28.7109375" style="173" customWidth="1"/>
    <col min="1296" max="1296" width="26.5703125" style="173" customWidth="1"/>
    <col min="1297" max="1297" width="7.7109375" style="173" customWidth="1"/>
    <col min="1298" max="1298" width="19.42578125" style="173" customWidth="1"/>
    <col min="1299" max="1299" width="44.28515625" style="173" customWidth="1"/>
    <col min="1300" max="1300" width="17" style="173" customWidth="1"/>
    <col min="1301" max="1301" width="15.5703125" style="173" customWidth="1"/>
    <col min="1302" max="1302" width="14.140625" style="173" customWidth="1"/>
    <col min="1303" max="1303" width="1.7109375" style="173" customWidth="1"/>
    <col min="1304" max="1304" width="13.7109375" style="173" customWidth="1"/>
    <col min="1305" max="1305" width="13.85546875" style="173" bestFit="1" customWidth="1"/>
    <col min="1306" max="1306" width="2.5703125" style="173" customWidth="1"/>
    <col min="1307" max="1307" width="12.42578125" style="173" customWidth="1"/>
    <col min="1308" max="1308" width="13.5703125" style="173" customWidth="1"/>
    <col min="1309" max="1309" width="2.5703125" style="173" customWidth="1"/>
    <col min="1310" max="1310" width="12.42578125" style="173" customWidth="1"/>
    <col min="1311" max="1311" width="13.5703125" style="173" customWidth="1"/>
    <col min="1312" max="1312" width="2.5703125" style="173" customWidth="1"/>
    <col min="1313" max="1313" width="11.5703125" style="173" customWidth="1"/>
    <col min="1314" max="1314" width="13" style="173" customWidth="1"/>
    <col min="1315" max="1315" width="1.42578125" style="173" customWidth="1"/>
    <col min="1316" max="1316" width="10.5703125" style="173" customWidth="1"/>
    <col min="1317" max="1548" width="11" style="173"/>
    <col min="1549" max="1549" width="1.5703125" style="173" customWidth="1"/>
    <col min="1550" max="1550" width="8.5703125" style="173" customWidth="1"/>
    <col min="1551" max="1551" width="28.7109375" style="173" customWidth="1"/>
    <col min="1552" max="1552" width="26.5703125" style="173" customWidth="1"/>
    <col min="1553" max="1553" width="7.7109375" style="173" customWidth="1"/>
    <col min="1554" max="1554" width="19.42578125" style="173" customWidth="1"/>
    <col min="1555" max="1555" width="44.28515625" style="173" customWidth="1"/>
    <col min="1556" max="1556" width="17" style="173" customWidth="1"/>
    <col min="1557" max="1557" width="15.5703125" style="173" customWidth="1"/>
    <col min="1558" max="1558" width="14.140625" style="173" customWidth="1"/>
    <col min="1559" max="1559" width="1.7109375" style="173" customWidth="1"/>
    <col min="1560" max="1560" width="13.7109375" style="173" customWidth="1"/>
    <col min="1561" max="1561" width="13.85546875" style="173" bestFit="1" customWidth="1"/>
    <col min="1562" max="1562" width="2.5703125" style="173" customWidth="1"/>
    <col min="1563" max="1563" width="12.42578125" style="173" customWidth="1"/>
    <col min="1564" max="1564" width="13.5703125" style="173" customWidth="1"/>
    <col min="1565" max="1565" width="2.5703125" style="173" customWidth="1"/>
    <col min="1566" max="1566" width="12.42578125" style="173" customWidth="1"/>
    <col min="1567" max="1567" width="13.5703125" style="173" customWidth="1"/>
    <col min="1568" max="1568" width="2.5703125" style="173" customWidth="1"/>
    <col min="1569" max="1569" width="11.5703125" style="173" customWidth="1"/>
    <col min="1570" max="1570" width="13" style="173" customWidth="1"/>
    <col min="1571" max="1571" width="1.42578125" style="173" customWidth="1"/>
    <col min="1572" max="1572" width="10.5703125" style="173" customWidth="1"/>
    <col min="1573" max="1804" width="11" style="173"/>
    <col min="1805" max="1805" width="1.5703125" style="173" customWidth="1"/>
    <col min="1806" max="1806" width="8.5703125" style="173" customWidth="1"/>
    <col min="1807" max="1807" width="28.7109375" style="173" customWidth="1"/>
    <col min="1808" max="1808" width="26.5703125" style="173" customWidth="1"/>
    <col min="1809" max="1809" width="7.7109375" style="173" customWidth="1"/>
    <col min="1810" max="1810" width="19.42578125" style="173" customWidth="1"/>
    <col min="1811" max="1811" width="44.28515625" style="173" customWidth="1"/>
    <col min="1812" max="1812" width="17" style="173" customWidth="1"/>
    <col min="1813" max="1813" width="15.5703125" style="173" customWidth="1"/>
    <col min="1814" max="1814" width="14.140625" style="173" customWidth="1"/>
    <col min="1815" max="1815" width="1.7109375" style="173" customWidth="1"/>
    <col min="1816" max="1816" width="13.7109375" style="173" customWidth="1"/>
    <col min="1817" max="1817" width="13.85546875" style="173" bestFit="1" customWidth="1"/>
    <col min="1818" max="1818" width="2.5703125" style="173" customWidth="1"/>
    <col min="1819" max="1819" width="12.42578125" style="173" customWidth="1"/>
    <col min="1820" max="1820" width="13.5703125" style="173" customWidth="1"/>
    <col min="1821" max="1821" width="2.5703125" style="173" customWidth="1"/>
    <col min="1822" max="1822" width="12.42578125" style="173" customWidth="1"/>
    <col min="1823" max="1823" width="13.5703125" style="173" customWidth="1"/>
    <col min="1824" max="1824" width="2.5703125" style="173" customWidth="1"/>
    <col min="1825" max="1825" width="11.5703125" style="173" customWidth="1"/>
    <col min="1826" max="1826" width="13" style="173" customWidth="1"/>
    <col min="1827" max="1827" width="1.42578125" style="173" customWidth="1"/>
    <col min="1828" max="1828" width="10.5703125" style="173" customWidth="1"/>
    <col min="1829" max="2060" width="11" style="173"/>
    <col min="2061" max="2061" width="1.5703125" style="173" customWidth="1"/>
    <col min="2062" max="2062" width="8.5703125" style="173" customWidth="1"/>
    <col min="2063" max="2063" width="28.7109375" style="173" customWidth="1"/>
    <col min="2064" max="2064" width="26.5703125" style="173" customWidth="1"/>
    <col min="2065" max="2065" width="7.7109375" style="173" customWidth="1"/>
    <col min="2066" max="2066" width="19.42578125" style="173" customWidth="1"/>
    <col min="2067" max="2067" width="44.28515625" style="173" customWidth="1"/>
    <col min="2068" max="2068" width="17" style="173" customWidth="1"/>
    <col min="2069" max="2069" width="15.5703125" style="173" customWidth="1"/>
    <col min="2070" max="2070" width="14.140625" style="173" customWidth="1"/>
    <col min="2071" max="2071" width="1.7109375" style="173" customWidth="1"/>
    <col min="2072" max="2072" width="13.7109375" style="173" customWidth="1"/>
    <col min="2073" max="2073" width="13.85546875" style="173" bestFit="1" customWidth="1"/>
    <col min="2074" max="2074" width="2.5703125" style="173" customWidth="1"/>
    <col min="2075" max="2075" width="12.42578125" style="173" customWidth="1"/>
    <col min="2076" max="2076" width="13.5703125" style="173" customWidth="1"/>
    <col min="2077" max="2077" width="2.5703125" style="173" customWidth="1"/>
    <col min="2078" max="2078" width="12.42578125" style="173" customWidth="1"/>
    <col min="2079" max="2079" width="13.5703125" style="173" customWidth="1"/>
    <col min="2080" max="2080" width="2.5703125" style="173" customWidth="1"/>
    <col min="2081" max="2081" width="11.5703125" style="173" customWidth="1"/>
    <col min="2082" max="2082" width="13" style="173" customWidth="1"/>
    <col min="2083" max="2083" width="1.42578125" style="173" customWidth="1"/>
    <col min="2084" max="2084" width="10.5703125" style="173" customWidth="1"/>
    <col min="2085" max="2316" width="11" style="173"/>
    <col min="2317" max="2317" width="1.5703125" style="173" customWidth="1"/>
    <col min="2318" max="2318" width="8.5703125" style="173" customWidth="1"/>
    <col min="2319" max="2319" width="28.7109375" style="173" customWidth="1"/>
    <col min="2320" max="2320" width="26.5703125" style="173" customWidth="1"/>
    <col min="2321" max="2321" width="7.7109375" style="173" customWidth="1"/>
    <col min="2322" max="2322" width="19.42578125" style="173" customWidth="1"/>
    <col min="2323" max="2323" width="44.28515625" style="173" customWidth="1"/>
    <col min="2324" max="2324" width="17" style="173" customWidth="1"/>
    <col min="2325" max="2325" width="15.5703125" style="173" customWidth="1"/>
    <col min="2326" max="2326" width="14.140625" style="173" customWidth="1"/>
    <col min="2327" max="2327" width="1.7109375" style="173" customWidth="1"/>
    <col min="2328" max="2328" width="13.7109375" style="173" customWidth="1"/>
    <col min="2329" max="2329" width="13.85546875" style="173" bestFit="1" customWidth="1"/>
    <col min="2330" max="2330" width="2.5703125" style="173" customWidth="1"/>
    <col min="2331" max="2331" width="12.42578125" style="173" customWidth="1"/>
    <col min="2332" max="2332" width="13.5703125" style="173" customWidth="1"/>
    <col min="2333" max="2333" width="2.5703125" style="173" customWidth="1"/>
    <col min="2334" max="2334" width="12.42578125" style="173" customWidth="1"/>
    <col min="2335" max="2335" width="13.5703125" style="173" customWidth="1"/>
    <col min="2336" max="2336" width="2.5703125" style="173" customWidth="1"/>
    <col min="2337" max="2337" width="11.5703125" style="173" customWidth="1"/>
    <col min="2338" max="2338" width="13" style="173" customWidth="1"/>
    <col min="2339" max="2339" width="1.42578125" style="173" customWidth="1"/>
    <col min="2340" max="2340" width="10.5703125" style="173" customWidth="1"/>
    <col min="2341" max="2572" width="11" style="173"/>
    <col min="2573" max="2573" width="1.5703125" style="173" customWidth="1"/>
    <col min="2574" max="2574" width="8.5703125" style="173" customWidth="1"/>
    <col min="2575" max="2575" width="28.7109375" style="173" customWidth="1"/>
    <col min="2576" max="2576" width="26.5703125" style="173" customWidth="1"/>
    <col min="2577" max="2577" width="7.7109375" style="173" customWidth="1"/>
    <col min="2578" max="2578" width="19.42578125" style="173" customWidth="1"/>
    <col min="2579" max="2579" width="44.28515625" style="173" customWidth="1"/>
    <col min="2580" max="2580" width="17" style="173" customWidth="1"/>
    <col min="2581" max="2581" width="15.5703125" style="173" customWidth="1"/>
    <col min="2582" max="2582" width="14.140625" style="173" customWidth="1"/>
    <col min="2583" max="2583" width="1.7109375" style="173" customWidth="1"/>
    <col min="2584" max="2584" width="13.7109375" style="173" customWidth="1"/>
    <col min="2585" max="2585" width="13.85546875" style="173" bestFit="1" customWidth="1"/>
    <col min="2586" max="2586" width="2.5703125" style="173" customWidth="1"/>
    <col min="2587" max="2587" width="12.42578125" style="173" customWidth="1"/>
    <col min="2588" max="2588" width="13.5703125" style="173" customWidth="1"/>
    <col min="2589" max="2589" width="2.5703125" style="173" customWidth="1"/>
    <col min="2590" max="2590" width="12.42578125" style="173" customWidth="1"/>
    <col min="2591" max="2591" width="13.5703125" style="173" customWidth="1"/>
    <col min="2592" max="2592" width="2.5703125" style="173" customWidth="1"/>
    <col min="2593" max="2593" width="11.5703125" style="173" customWidth="1"/>
    <col min="2594" max="2594" width="13" style="173" customWidth="1"/>
    <col min="2595" max="2595" width="1.42578125" style="173" customWidth="1"/>
    <col min="2596" max="2596" width="10.5703125" style="173" customWidth="1"/>
    <col min="2597" max="2828" width="11" style="173"/>
    <col min="2829" max="2829" width="1.5703125" style="173" customWidth="1"/>
    <col min="2830" max="2830" width="8.5703125" style="173" customWidth="1"/>
    <col min="2831" max="2831" width="28.7109375" style="173" customWidth="1"/>
    <col min="2832" max="2832" width="26.5703125" style="173" customWidth="1"/>
    <col min="2833" max="2833" width="7.7109375" style="173" customWidth="1"/>
    <col min="2834" max="2834" width="19.42578125" style="173" customWidth="1"/>
    <col min="2835" max="2835" width="44.28515625" style="173" customWidth="1"/>
    <col min="2836" max="2836" width="17" style="173" customWidth="1"/>
    <col min="2837" max="2837" width="15.5703125" style="173" customWidth="1"/>
    <col min="2838" max="2838" width="14.140625" style="173" customWidth="1"/>
    <col min="2839" max="2839" width="1.7109375" style="173" customWidth="1"/>
    <col min="2840" max="2840" width="13.7109375" style="173" customWidth="1"/>
    <col min="2841" max="2841" width="13.85546875" style="173" bestFit="1" customWidth="1"/>
    <col min="2842" max="2842" width="2.5703125" style="173" customWidth="1"/>
    <col min="2843" max="2843" width="12.42578125" style="173" customWidth="1"/>
    <col min="2844" max="2844" width="13.5703125" style="173" customWidth="1"/>
    <col min="2845" max="2845" width="2.5703125" style="173" customWidth="1"/>
    <col min="2846" max="2846" width="12.42578125" style="173" customWidth="1"/>
    <col min="2847" max="2847" width="13.5703125" style="173" customWidth="1"/>
    <col min="2848" max="2848" width="2.5703125" style="173" customWidth="1"/>
    <col min="2849" max="2849" width="11.5703125" style="173" customWidth="1"/>
    <col min="2850" max="2850" width="13" style="173" customWidth="1"/>
    <col min="2851" max="2851" width="1.42578125" style="173" customWidth="1"/>
    <col min="2852" max="2852" width="10.5703125" style="173" customWidth="1"/>
    <col min="2853" max="3084" width="11" style="173"/>
    <col min="3085" max="3085" width="1.5703125" style="173" customWidth="1"/>
    <col min="3086" max="3086" width="8.5703125" style="173" customWidth="1"/>
    <col min="3087" max="3087" width="28.7109375" style="173" customWidth="1"/>
    <col min="3088" max="3088" width="26.5703125" style="173" customWidth="1"/>
    <col min="3089" max="3089" width="7.7109375" style="173" customWidth="1"/>
    <col min="3090" max="3090" width="19.42578125" style="173" customWidth="1"/>
    <col min="3091" max="3091" width="44.28515625" style="173" customWidth="1"/>
    <col min="3092" max="3092" width="17" style="173" customWidth="1"/>
    <col min="3093" max="3093" width="15.5703125" style="173" customWidth="1"/>
    <col min="3094" max="3094" width="14.140625" style="173" customWidth="1"/>
    <col min="3095" max="3095" width="1.7109375" style="173" customWidth="1"/>
    <col min="3096" max="3096" width="13.7109375" style="173" customWidth="1"/>
    <col min="3097" max="3097" width="13.85546875" style="173" bestFit="1" customWidth="1"/>
    <col min="3098" max="3098" width="2.5703125" style="173" customWidth="1"/>
    <col min="3099" max="3099" width="12.42578125" style="173" customWidth="1"/>
    <col min="3100" max="3100" width="13.5703125" style="173" customWidth="1"/>
    <col min="3101" max="3101" width="2.5703125" style="173" customWidth="1"/>
    <col min="3102" max="3102" width="12.42578125" style="173" customWidth="1"/>
    <col min="3103" max="3103" width="13.5703125" style="173" customWidth="1"/>
    <col min="3104" max="3104" width="2.5703125" style="173" customWidth="1"/>
    <col min="3105" max="3105" width="11.5703125" style="173" customWidth="1"/>
    <col min="3106" max="3106" width="13" style="173" customWidth="1"/>
    <col min="3107" max="3107" width="1.42578125" style="173" customWidth="1"/>
    <col min="3108" max="3108" width="10.5703125" style="173" customWidth="1"/>
    <col min="3109" max="3340" width="11" style="173"/>
    <col min="3341" max="3341" width="1.5703125" style="173" customWidth="1"/>
    <col min="3342" max="3342" width="8.5703125" style="173" customWidth="1"/>
    <col min="3343" max="3343" width="28.7109375" style="173" customWidth="1"/>
    <col min="3344" max="3344" width="26.5703125" style="173" customWidth="1"/>
    <col min="3345" max="3345" width="7.7109375" style="173" customWidth="1"/>
    <col min="3346" max="3346" width="19.42578125" style="173" customWidth="1"/>
    <col min="3347" max="3347" width="44.28515625" style="173" customWidth="1"/>
    <col min="3348" max="3348" width="17" style="173" customWidth="1"/>
    <col min="3349" max="3349" width="15.5703125" style="173" customWidth="1"/>
    <col min="3350" max="3350" width="14.140625" style="173" customWidth="1"/>
    <col min="3351" max="3351" width="1.7109375" style="173" customWidth="1"/>
    <col min="3352" max="3352" width="13.7109375" style="173" customWidth="1"/>
    <col min="3353" max="3353" width="13.85546875" style="173" bestFit="1" customWidth="1"/>
    <col min="3354" max="3354" width="2.5703125" style="173" customWidth="1"/>
    <col min="3355" max="3355" width="12.42578125" style="173" customWidth="1"/>
    <col min="3356" max="3356" width="13.5703125" style="173" customWidth="1"/>
    <col min="3357" max="3357" width="2.5703125" style="173" customWidth="1"/>
    <col min="3358" max="3358" width="12.42578125" style="173" customWidth="1"/>
    <col min="3359" max="3359" width="13.5703125" style="173" customWidth="1"/>
    <col min="3360" max="3360" width="2.5703125" style="173" customWidth="1"/>
    <col min="3361" max="3361" width="11.5703125" style="173" customWidth="1"/>
    <col min="3362" max="3362" width="13" style="173" customWidth="1"/>
    <col min="3363" max="3363" width="1.42578125" style="173" customWidth="1"/>
    <col min="3364" max="3364" width="10.5703125" style="173" customWidth="1"/>
    <col min="3365" max="3596" width="11" style="173"/>
    <col min="3597" max="3597" width="1.5703125" style="173" customWidth="1"/>
    <col min="3598" max="3598" width="8.5703125" style="173" customWidth="1"/>
    <col min="3599" max="3599" width="28.7109375" style="173" customWidth="1"/>
    <col min="3600" max="3600" width="26.5703125" style="173" customWidth="1"/>
    <col min="3601" max="3601" width="7.7109375" style="173" customWidth="1"/>
    <col min="3602" max="3602" width="19.42578125" style="173" customWidth="1"/>
    <col min="3603" max="3603" width="44.28515625" style="173" customWidth="1"/>
    <col min="3604" max="3604" width="17" style="173" customWidth="1"/>
    <col min="3605" max="3605" width="15.5703125" style="173" customWidth="1"/>
    <col min="3606" max="3606" width="14.140625" style="173" customWidth="1"/>
    <col min="3607" max="3607" width="1.7109375" style="173" customWidth="1"/>
    <col min="3608" max="3608" width="13.7109375" style="173" customWidth="1"/>
    <col min="3609" max="3609" width="13.85546875" style="173" bestFit="1" customWidth="1"/>
    <col min="3610" max="3610" width="2.5703125" style="173" customWidth="1"/>
    <col min="3611" max="3611" width="12.42578125" style="173" customWidth="1"/>
    <col min="3612" max="3612" width="13.5703125" style="173" customWidth="1"/>
    <col min="3613" max="3613" width="2.5703125" style="173" customWidth="1"/>
    <col min="3614" max="3614" width="12.42578125" style="173" customWidth="1"/>
    <col min="3615" max="3615" width="13.5703125" style="173" customWidth="1"/>
    <col min="3616" max="3616" width="2.5703125" style="173" customWidth="1"/>
    <col min="3617" max="3617" width="11.5703125" style="173" customWidth="1"/>
    <col min="3618" max="3618" width="13" style="173" customWidth="1"/>
    <col min="3619" max="3619" width="1.42578125" style="173" customWidth="1"/>
    <col min="3620" max="3620" width="10.5703125" style="173" customWidth="1"/>
    <col min="3621" max="3852" width="11" style="173"/>
    <col min="3853" max="3853" width="1.5703125" style="173" customWidth="1"/>
    <col min="3854" max="3854" width="8.5703125" style="173" customWidth="1"/>
    <col min="3855" max="3855" width="28.7109375" style="173" customWidth="1"/>
    <col min="3856" max="3856" width="26.5703125" style="173" customWidth="1"/>
    <col min="3857" max="3857" width="7.7109375" style="173" customWidth="1"/>
    <col min="3858" max="3858" width="19.42578125" style="173" customWidth="1"/>
    <col min="3859" max="3859" width="44.28515625" style="173" customWidth="1"/>
    <col min="3860" max="3860" width="17" style="173" customWidth="1"/>
    <col min="3861" max="3861" width="15.5703125" style="173" customWidth="1"/>
    <col min="3862" max="3862" width="14.140625" style="173" customWidth="1"/>
    <col min="3863" max="3863" width="1.7109375" style="173" customWidth="1"/>
    <col min="3864" max="3864" width="13.7109375" style="173" customWidth="1"/>
    <col min="3865" max="3865" width="13.85546875" style="173" bestFit="1" customWidth="1"/>
    <col min="3866" max="3866" width="2.5703125" style="173" customWidth="1"/>
    <col min="3867" max="3867" width="12.42578125" style="173" customWidth="1"/>
    <col min="3868" max="3868" width="13.5703125" style="173" customWidth="1"/>
    <col min="3869" max="3869" width="2.5703125" style="173" customWidth="1"/>
    <col min="3870" max="3870" width="12.42578125" style="173" customWidth="1"/>
    <col min="3871" max="3871" width="13.5703125" style="173" customWidth="1"/>
    <col min="3872" max="3872" width="2.5703125" style="173" customWidth="1"/>
    <col min="3873" max="3873" width="11.5703125" style="173" customWidth="1"/>
    <col min="3874" max="3874" width="13" style="173" customWidth="1"/>
    <col min="3875" max="3875" width="1.42578125" style="173" customWidth="1"/>
    <col min="3876" max="3876" width="10.5703125" style="173" customWidth="1"/>
    <col min="3877" max="4108" width="11" style="173"/>
    <col min="4109" max="4109" width="1.5703125" style="173" customWidth="1"/>
    <col min="4110" max="4110" width="8.5703125" style="173" customWidth="1"/>
    <col min="4111" max="4111" width="28.7109375" style="173" customWidth="1"/>
    <col min="4112" max="4112" width="26.5703125" style="173" customWidth="1"/>
    <col min="4113" max="4113" width="7.7109375" style="173" customWidth="1"/>
    <col min="4114" max="4114" width="19.42578125" style="173" customWidth="1"/>
    <col min="4115" max="4115" width="44.28515625" style="173" customWidth="1"/>
    <col min="4116" max="4116" width="17" style="173" customWidth="1"/>
    <col min="4117" max="4117" width="15.5703125" style="173" customWidth="1"/>
    <col min="4118" max="4118" width="14.140625" style="173" customWidth="1"/>
    <col min="4119" max="4119" width="1.7109375" style="173" customWidth="1"/>
    <col min="4120" max="4120" width="13.7109375" style="173" customWidth="1"/>
    <col min="4121" max="4121" width="13.85546875" style="173" bestFit="1" customWidth="1"/>
    <col min="4122" max="4122" width="2.5703125" style="173" customWidth="1"/>
    <col min="4123" max="4123" width="12.42578125" style="173" customWidth="1"/>
    <col min="4124" max="4124" width="13.5703125" style="173" customWidth="1"/>
    <col min="4125" max="4125" width="2.5703125" style="173" customWidth="1"/>
    <col min="4126" max="4126" width="12.42578125" style="173" customWidth="1"/>
    <col min="4127" max="4127" width="13.5703125" style="173" customWidth="1"/>
    <col min="4128" max="4128" width="2.5703125" style="173" customWidth="1"/>
    <col min="4129" max="4129" width="11.5703125" style="173" customWidth="1"/>
    <col min="4130" max="4130" width="13" style="173" customWidth="1"/>
    <col min="4131" max="4131" width="1.42578125" style="173" customWidth="1"/>
    <col min="4132" max="4132" width="10.5703125" style="173" customWidth="1"/>
    <col min="4133" max="4364" width="11" style="173"/>
    <col min="4365" max="4365" width="1.5703125" style="173" customWidth="1"/>
    <col min="4366" max="4366" width="8.5703125" style="173" customWidth="1"/>
    <col min="4367" max="4367" width="28.7109375" style="173" customWidth="1"/>
    <col min="4368" max="4368" width="26.5703125" style="173" customWidth="1"/>
    <col min="4369" max="4369" width="7.7109375" style="173" customWidth="1"/>
    <col min="4370" max="4370" width="19.42578125" style="173" customWidth="1"/>
    <col min="4371" max="4371" width="44.28515625" style="173" customWidth="1"/>
    <col min="4372" max="4372" width="17" style="173" customWidth="1"/>
    <col min="4373" max="4373" width="15.5703125" style="173" customWidth="1"/>
    <col min="4374" max="4374" width="14.140625" style="173" customWidth="1"/>
    <col min="4375" max="4375" width="1.7109375" style="173" customWidth="1"/>
    <col min="4376" max="4376" width="13.7109375" style="173" customWidth="1"/>
    <col min="4377" max="4377" width="13.85546875" style="173" bestFit="1" customWidth="1"/>
    <col min="4378" max="4378" width="2.5703125" style="173" customWidth="1"/>
    <col min="4379" max="4379" width="12.42578125" style="173" customWidth="1"/>
    <col min="4380" max="4380" width="13.5703125" style="173" customWidth="1"/>
    <col min="4381" max="4381" width="2.5703125" style="173" customWidth="1"/>
    <col min="4382" max="4382" width="12.42578125" style="173" customWidth="1"/>
    <col min="4383" max="4383" width="13.5703125" style="173" customWidth="1"/>
    <col min="4384" max="4384" width="2.5703125" style="173" customWidth="1"/>
    <col min="4385" max="4385" width="11.5703125" style="173" customWidth="1"/>
    <col min="4386" max="4386" width="13" style="173" customWidth="1"/>
    <col min="4387" max="4387" width="1.42578125" style="173" customWidth="1"/>
    <col min="4388" max="4388" width="10.5703125" style="173" customWidth="1"/>
    <col min="4389" max="4620" width="11" style="173"/>
    <col min="4621" max="4621" width="1.5703125" style="173" customWidth="1"/>
    <col min="4622" max="4622" width="8.5703125" style="173" customWidth="1"/>
    <col min="4623" max="4623" width="28.7109375" style="173" customWidth="1"/>
    <col min="4624" max="4624" width="26.5703125" style="173" customWidth="1"/>
    <col min="4625" max="4625" width="7.7109375" style="173" customWidth="1"/>
    <col min="4626" max="4626" width="19.42578125" style="173" customWidth="1"/>
    <col min="4627" max="4627" width="44.28515625" style="173" customWidth="1"/>
    <col min="4628" max="4628" width="17" style="173" customWidth="1"/>
    <col min="4629" max="4629" width="15.5703125" style="173" customWidth="1"/>
    <col min="4630" max="4630" width="14.140625" style="173" customWidth="1"/>
    <col min="4631" max="4631" width="1.7109375" style="173" customWidth="1"/>
    <col min="4632" max="4632" width="13.7109375" style="173" customWidth="1"/>
    <col min="4633" max="4633" width="13.85546875" style="173" bestFit="1" customWidth="1"/>
    <col min="4634" max="4634" width="2.5703125" style="173" customWidth="1"/>
    <col min="4635" max="4635" width="12.42578125" style="173" customWidth="1"/>
    <col min="4636" max="4636" width="13.5703125" style="173" customWidth="1"/>
    <col min="4637" max="4637" width="2.5703125" style="173" customWidth="1"/>
    <col min="4638" max="4638" width="12.42578125" style="173" customWidth="1"/>
    <col min="4639" max="4639" width="13.5703125" style="173" customWidth="1"/>
    <col min="4640" max="4640" width="2.5703125" style="173" customWidth="1"/>
    <col min="4641" max="4641" width="11.5703125" style="173" customWidth="1"/>
    <col min="4642" max="4642" width="13" style="173" customWidth="1"/>
    <col min="4643" max="4643" width="1.42578125" style="173" customWidth="1"/>
    <col min="4644" max="4644" width="10.5703125" style="173" customWidth="1"/>
    <col min="4645" max="4876" width="11" style="173"/>
    <col min="4877" max="4877" width="1.5703125" style="173" customWidth="1"/>
    <col min="4878" max="4878" width="8.5703125" style="173" customWidth="1"/>
    <col min="4879" max="4879" width="28.7109375" style="173" customWidth="1"/>
    <col min="4880" max="4880" width="26.5703125" style="173" customWidth="1"/>
    <col min="4881" max="4881" width="7.7109375" style="173" customWidth="1"/>
    <col min="4882" max="4882" width="19.42578125" style="173" customWidth="1"/>
    <col min="4883" max="4883" width="44.28515625" style="173" customWidth="1"/>
    <col min="4884" max="4884" width="17" style="173" customWidth="1"/>
    <col min="4885" max="4885" width="15.5703125" style="173" customWidth="1"/>
    <col min="4886" max="4886" width="14.140625" style="173" customWidth="1"/>
    <col min="4887" max="4887" width="1.7109375" style="173" customWidth="1"/>
    <col min="4888" max="4888" width="13.7109375" style="173" customWidth="1"/>
    <col min="4889" max="4889" width="13.85546875" style="173" bestFit="1" customWidth="1"/>
    <col min="4890" max="4890" width="2.5703125" style="173" customWidth="1"/>
    <col min="4891" max="4891" width="12.42578125" style="173" customWidth="1"/>
    <col min="4892" max="4892" width="13.5703125" style="173" customWidth="1"/>
    <col min="4893" max="4893" width="2.5703125" style="173" customWidth="1"/>
    <col min="4894" max="4894" width="12.42578125" style="173" customWidth="1"/>
    <col min="4895" max="4895" width="13.5703125" style="173" customWidth="1"/>
    <col min="4896" max="4896" width="2.5703125" style="173" customWidth="1"/>
    <col min="4897" max="4897" width="11.5703125" style="173" customWidth="1"/>
    <col min="4898" max="4898" width="13" style="173" customWidth="1"/>
    <col min="4899" max="4899" width="1.42578125" style="173" customWidth="1"/>
    <col min="4900" max="4900" width="10.5703125" style="173" customWidth="1"/>
    <col min="4901" max="5132" width="11" style="173"/>
    <col min="5133" max="5133" width="1.5703125" style="173" customWidth="1"/>
    <col min="5134" max="5134" width="8.5703125" style="173" customWidth="1"/>
    <col min="5135" max="5135" width="28.7109375" style="173" customWidth="1"/>
    <col min="5136" max="5136" width="26.5703125" style="173" customWidth="1"/>
    <col min="5137" max="5137" width="7.7109375" style="173" customWidth="1"/>
    <col min="5138" max="5138" width="19.42578125" style="173" customWidth="1"/>
    <col min="5139" max="5139" width="44.28515625" style="173" customWidth="1"/>
    <col min="5140" max="5140" width="17" style="173" customWidth="1"/>
    <col min="5141" max="5141" width="15.5703125" style="173" customWidth="1"/>
    <col min="5142" max="5142" width="14.140625" style="173" customWidth="1"/>
    <col min="5143" max="5143" width="1.7109375" style="173" customWidth="1"/>
    <col min="5144" max="5144" width="13.7109375" style="173" customWidth="1"/>
    <col min="5145" max="5145" width="13.85546875" style="173" bestFit="1" customWidth="1"/>
    <col min="5146" max="5146" width="2.5703125" style="173" customWidth="1"/>
    <col min="5147" max="5147" width="12.42578125" style="173" customWidth="1"/>
    <col min="5148" max="5148" width="13.5703125" style="173" customWidth="1"/>
    <col min="5149" max="5149" width="2.5703125" style="173" customWidth="1"/>
    <col min="5150" max="5150" width="12.42578125" style="173" customWidth="1"/>
    <col min="5151" max="5151" width="13.5703125" style="173" customWidth="1"/>
    <col min="5152" max="5152" width="2.5703125" style="173" customWidth="1"/>
    <col min="5153" max="5153" width="11.5703125" style="173" customWidth="1"/>
    <col min="5154" max="5154" width="13" style="173" customWidth="1"/>
    <col min="5155" max="5155" width="1.42578125" style="173" customWidth="1"/>
    <col min="5156" max="5156" width="10.5703125" style="173" customWidth="1"/>
    <col min="5157" max="5388" width="11" style="173"/>
    <col min="5389" max="5389" width="1.5703125" style="173" customWidth="1"/>
    <col min="5390" max="5390" width="8.5703125" style="173" customWidth="1"/>
    <col min="5391" max="5391" width="28.7109375" style="173" customWidth="1"/>
    <col min="5392" max="5392" width="26.5703125" style="173" customWidth="1"/>
    <col min="5393" max="5393" width="7.7109375" style="173" customWidth="1"/>
    <col min="5394" max="5394" width="19.42578125" style="173" customWidth="1"/>
    <col min="5395" max="5395" width="44.28515625" style="173" customWidth="1"/>
    <col min="5396" max="5396" width="17" style="173" customWidth="1"/>
    <col min="5397" max="5397" width="15.5703125" style="173" customWidth="1"/>
    <col min="5398" max="5398" width="14.140625" style="173" customWidth="1"/>
    <col min="5399" max="5399" width="1.7109375" style="173" customWidth="1"/>
    <col min="5400" max="5400" width="13.7109375" style="173" customWidth="1"/>
    <col min="5401" max="5401" width="13.85546875" style="173" bestFit="1" customWidth="1"/>
    <col min="5402" max="5402" width="2.5703125" style="173" customWidth="1"/>
    <col min="5403" max="5403" width="12.42578125" style="173" customWidth="1"/>
    <col min="5404" max="5404" width="13.5703125" style="173" customWidth="1"/>
    <col min="5405" max="5405" width="2.5703125" style="173" customWidth="1"/>
    <col min="5406" max="5406" width="12.42578125" style="173" customWidth="1"/>
    <col min="5407" max="5407" width="13.5703125" style="173" customWidth="1"/>
    <col min="5408" max="5408" width="2.5703125" style="173" customWidth="1"/>
    <col min="5409" max="5409" width="11.5703125" style="173" customWidth="1"/>
    <col min="5410" max="5410" width="13" style="173" customWidth="1"/>
    <col min="5411" max="5411" width="1.42578125" style="173" customWidth="1"/>
    <col min="5412" max="5412" width="10.5703125" style="173" customWidth="1"/>
    <col min="5413" max="5644" width="11" style="173"/>
    <col min="5645" max="5645" width="1.5703125" style="173" customWidth="1"/>
    <col min="5646" max="5646" width="8.5703125" style="173" customWidth="1"/>
    <col min="5647" max="5647" width="28.7109375" style="173" customWidth="1"/>
    <col min="5648" max="5648" width="26.5703125" style="173" customWidth="1"/>
    <col min="5649" max="5649" width="7.7109375" style="173" customWidth="1"/>
    <col min="5650" max="5650" width="19.42578125" style="173" customWidth="1"/>
    <col min="5651" max="5651" width="44.28515625" style="173" customWidth="1"/>
    <col min="5652" max="5652" width="17" style="173" customWidth="1"/>
    <col min="5653" max="5653" width="15.5703125" style="173" customWidth="1"/>
    <col min="5654" max="5654" width="14.140625" style="173" customWidth="1"/>
    <col min="5655" max="5655" width="1.7109375" style="173" customWidth="1"/>
    <col min="5656" max="5656" width="13.7109375" style="173" customWidth="1"/>
    <col min="5657" max="5657" width="13.85546875" style="173" bestFit="1" customWidth="1"/>
    <col min="5658" max="5658" width="2.5703125" style="173" customWidth="1"/>
    <col min="5659" max="5659" width="12.42578125" style="173" customWidth="1"/>
    <col min="5660" max="5660" width="13.5703125" style="173" customWidth="1"/>
    <col min="5661" max="5661" width="2.5703125" style="173" customWidth="1"/>
    <col min="5662" max="5662" width="12.42578125" style="173" customWidth="1"/>
    <col min="5663" max="5663" width="13.5703125" style="173" customWidth="1"/>
    <col min="5664" max="5664" width="2.5703125" style="173" customWidth="1"/>
    <col min="5665" max="5665" width="11.5703125" style="173" customWidth="1"/>
    <col min="5666" max="5666" width="13" style="173" customWidth="1"/>
    <col min="5667" max="5667" width="1.42578125" style="173" customWidth="1"/>
    <col min="5668" max="5668" width="10.5703125" style="173" customWidth="1"/>
    <col min="5669" max="5900" width="11" style="173"/>
    <col min="5901" max="5901" width="1.5703125" style="173" customWidth="1"/>
    <col min="5902" max="5902" width="8.5703125" style="173" customWidth="1"/>
    <col min="5903" max="5903" width="28.7109375" style="173" customWidth="1"/>
    <col min="5904" max="5904" width="26.5703125" style="173" customWidth="1"/>
    <col min="5905" max="5905" width="7.7109375" style="173" customWidth="1"/>
    <col min="5906" max="5906" width="19.42578125" style="173" customWidth="1"/>
    <col min="5907" max="5907" width="44.28515625" style="173" customWidth="1"/>
    <col min="5908" max="5908" width="17" style="173" customWidth="1"/>
    <col min="5909" max="5909" width="15.5703125" style="173" customWidth="1"/>
    <col min="5910" max="5910" width="14.140625" style="173" customWidth="1"/>
    <col min="5911" max="5911" width="1.7109375" style="173" customWidth="1"/>
    <col min="5912" max="5912" width="13.7109375" style="173" customWidth="1"/>
    <col min="5913" max="5913" width="13.85546875" style="173" bestFit="1" customWidth="1"/>
    <col min="5914" max="5914" width="2.5703125" style="173" customWidth="1"/>
    <col min="5915" max="5915" width="12.42578125" style="173" customWidth="1"/>
    <col min="5916" max="5916" width="13.5703125" style="173" customWidth="1"/>
    <col min="5917" max="5917" width="2.5703125" style="173" customWidth="1"/>
    <col min="5918" max="5918" width="12.42578125" style="173" customWidth="1"/>
    <col min="5919" max="5919" width="13.5703125" style="173" customWidth="1"/>
    <col min="5920" max="5920" width="2.5703125" style="173" customWidth="1"/>
    <col min="5921" max="5921" width="11.5703125" style="173" customWidth="1"/>
    <col min="5922" max="5922" width="13" style="173" customWidth="1"/>
    <col min="5923" max="5923" width="1.42578125" style="173" customWidth="1"/>
    <col min="5924" max="5924" width="10.5703125" style="173" customWidth="1"/>
    <col min="5925" max="6156" width="11" style="173"/>
    <col min="6157" max="6157" width="1.5703125" style="173" customWidth="1"/>
    <col min="6158" max="6158" width="8.5703125" style="173" customWidth="1"/>
    <col min="6159" max="6159" width="28.7109375" style="173" customWidth="1"/>
    <col min="6160" max="6160" width="26.5703125" style="173" customWidth="1"/>
    <col min="6161" max="6161" width="7.7109375" style="173" customWidth="1"/>
    <col min="6162" max="6162" width="19.42578125" style="173" customWidth="1"/>
    <col min="6163" max="6163" width="44.28515625" style="173" customWidth="1"/>
    <col min="6164" max="6164" width="17" style="173" customWidth="1"/>
    <col min="6165" max="6165" width="15.5703125" style="173" customWidth="1"/>
    <col min="6166" max="6166" width="14.140625" style="173" customWidth="1"/>
    <col min="6167" max="6167" width="1.7109375" style="173" customWidth="1"/>
    <col min="6168" max="6168" width="13.7109375" style="173" customWidth="1"/>
    <col min="6169" max="6169" width="13.85546875" style="173" bestFit="1" customWidth="1"/>
    <col min="6170" max="6170" width="2.5703125" style="173" customWidth="1"/>
    <col min="6171" max="6171" width="12.42578125" style="173" customWidth="1"/>
    <col min="6172" max="6172" width="13.5703125" style="173" customWidth="1"/>
    <col min="6173" max="6173" width="2.5703125" style="173" customWidth="1"/>
    <col min="6174" max="6174" width="12.42578125" style="173" customWidth="1"/>
    <col min="6175" max="6175" width="13.5703125" style="173" customWidth="1"/>
    <col min="6176" max="6176" width="2.5703125" style="173" customWidth="1"/>
    <col min="6177" max="6177" width="11.5703125" style="173" customWidth="1"/>
    <col min="6178" max="6178" width="13" style="173" customWidth="1"/>
    <col min="6179" max="6179" width="1.42578125" style="173" customWidth="1"/>
    <col min="6180" max="6180" width="10.5703125" style="173" customWidth="1"/>
    <col min="6181" max="6412" width="11" style="173"/>
    <col min="6413" max="6413" width="1.5703125" style="173" customWidth="1"/>
    <col min="6414" max="6414" width="8.5703125" style="173" customWidth="1"/>
    <col min="6415" max="6415" width="28.7109375" style="173" customWidth="1"/>
    <col min="6416" max="6416" width="26.5703125" style="173" customWidth="1"/>
    <col min="6417" max="6417" width="7.7109375" style="173" customWidth="1"/>
    <col min="6418" max="6418" width="19.42578125" style="173" customWidth="1"/>
    <col min="6419" max="6419" width="44.28515625" style="173" customWidth="1"/>
    <col min="6420" max="6420" width="17" style="173" customWidth="1"/>
    <col min="6421" max="6421" width="15.5703125" style="173" customWidth="1"/>
    <col min="6422" max="6422" width="14.140625" style="173" customWidth="1"/>
    <col min="6423" max="6423" width="1.7109375" style="173" customWidth="1"/>
    <col min="6424" max="6424" width="13.7109375" style="173" customWidth="1"/>
    <col min="6425" max="6425" width="13.85546875" style="173" bestFit="1" customWidth="1"/>
    <col min="6426" max="6426" width="2.5703125" style="173" customWidth="1"/>
    <col min="6427" max="6427" width="12.42578125" style="173" customWidth="1"/>
    <col min="6428" max="6428" width="13.5703125" style="173" customWidth="1"/>
    <col min="6429" max="6429" width="2.5703125" style="173" customWidth="1"/>
    <col min="6430" max="6430" width="12.42578125" style="173" customWidth="1"/>
    <col min="6431" max="6431" width="13.5703125" style="173" customWidth="1"/>
    <col min="6432" max="6432" width="2.5703125" style="173" customWidth="1"/>
    <col min="6433" max="6433" width="11.5703125" style="173" customWidth="1"/>
    <col min="6434" max="6434" width="13" style="173" customWidth="1"/>
    <col min="6435" max="6435" width="1.42578125" style="173" customWidth="1"/>
    <col min="6436" max="6436" width="10.5703125" style="173" customWidth="1"/>
    <col min="6437" max="6668" width="11" style="173"/>
    <col min="6669" max="6669" width="1.5703125" style="173" customWidth="1"/>
    <col min="6670" max="6670" width="8.5703125" style="173" customWidth="1"/>
    <col min="6671" max="6671" width="28.7109375" style="173" customWidth="1"/>
    <col min="6672" max="6672" width="26.5703125" style="173" customWidth="1"/>
    <col min="6673" max="6673" width="7.7109375" style="173" customWidth="1"/>
    <col min="6674" max="6674" width="19.42578125" style="173" customWidth="1"/>
    <col min="6675" max="6675" width="44.28515625" style="173" customWidth="1"/>
    <col min="6676" max="6676" width="17" style="173" customWidth="1"/>
    <col min="6677" max="6677" width="15.5703125" style="173" customWidth="1"/>
    <col min="6678" max="6678" width="14.140625" style="173" customWidth="1"/>
    <col min="6679" max="6679" width="1.7109375" style="173" customWidth="1"/>
    <col min="6680" max="6680" width="13.7109375" style="173" customWidth="1"/>
    <col min="6681" max="6681" width="13.85546875" style="173" bestFit="1" customWidth="1"/>
    <col min="6682" max="6682" width="2.5703125" style="173" customWidth="1"/>
    <col min="6683" max="6683" width="12.42578125" style="173" customWidth="1"/>
    <col min="6684" max="6684" width="13.5703125" style="173" customWidth="1"/>
    <col min="6685" max="6685" width="2.5703125" style="173" customWidth="1"/>
    <col min="6686" max="6686" width="12.42578125" style="173" customWidth="1"/>
    <col min="6687" max="6687" width="13.5703125" style="173" customWidth="1"/>
    <col min="6688" max="6688" width="2.5703125" style="173" customWidth="1"/>
    <col min="6689" max="6689" width="11.5703125" style="173" customWidth="1"/>
    <col min="6690" max="6690" width="13" style="173" customWidth="1"/>
    <col min="6691" max="6691" width="1.42578125" style="173" customWidth="1"/>
    <col min="6692" max="6692" width="10.5703125" style="173" customWidth="1"/>
    <col min="6693" max="6924" width="11" style="173"/>
    <col min="6925" max="6925" width="1.5703125" style="173" customWidth="1"/>
    <col min="6926" max="6926" width="8.5703125" style="173" customWidth="1"/>
    <col min="6927" max="6927" width="28.7109375" style="173" customWidth="1"/>
    <col min="6928" max="6928" width="26.5703125" style="173" customWidth="1"/>
    <col min="6929" max="6929" width="7.7109375" style="173" customWidth="1"/>
    <col min="6930" max="6930" width="19.42578125" style="173" customWidth="1"/>
    <col min="6931" max="6931" width="44.28515625" style="173" customWidth="1"/>
    <col min="6932" max="6932" width="17" style="173" customWidth="1"/>
    <col min="6933" max="6933" width="15.5703125" style="173" customWidth="1"/>
    <col min="6934" max="6934" width="14.140625" style="173" customWidth="1"/>
    <col min="6935" max="6935" width="1.7109375" style="173" customWidth="1"/>
    <col min="6936" max="6936" width="13.7109375" style="173" customWidth="1"/>
    <col min="6937" max="6937" width="13.85546875" style="173" bestFit="1" customWidth="1"/>
    <col min="6938" max="6938" width="2.5703125" style="173" customWidth="1"/>
    <col min="6939" max="6939" width="12.42578125" style="173" customWidth="1"/>
    <col min="6940" max="6940" width="13.5703125" style="173" customWidth="1"/>
    <col min="6941" max="6941" width="2.5703125" style="173" customWidth="1"/>
    <col min="6942" max="6942" width="12.42578125" style="173" customWidth="1"/>
    <col min="6943" max="6943" width="13.5703125" style="173" customWidth="1"/>
    <col min="6944" max="6944" width="2.5703125" style="173" customWidth="1"/>
    <col min="6945" max="6945" width="11.5703125" style="173" customWidth="1"/>
    <col min="6946" max="6946" width="13" style="173" customWidth="1"/>
    <col min="6947" max="6947" width="1.42578125" style="173" customWidth="1"/>
    <col min="6948" max="6948" width="10.5703125" style="173" customWidth="1"/>
    <col min="6949" max="7180" width="11" style="173"/>
    <col min="7181" max="7181" width="1.5703125" style="173" customWidth="1"/>
    <col min="7182" max="7182" width="8.5703125" style="173" customWidth="1"/>
    <col min="7183" max="7183" width="28.7109375" style="173" customWidth="1"/>
    <col min="7184" max="7184" width="26.5703125" style="173" customWidth="1"/>
    <col min="7185" max="7185" width="7.7109375" style="173" customWidth="1"/>
    <col min="7186" max="7186" width="19.42578125" style="173" customWidth="1"/>
    <col min="7187" max="7187" width="44.28515625" style="173" customWidth="1"/>
    <col min="7188" max="7188" width="17" style="173" customWidth="1"/>
    <col min="7189" max="7189" width="15.5703125" style="173" customWidth="1"/>
    <col min="7190" max="7190" width="14.140625" style="173" customWidth="1"/>
    <col min="7191" max="7191" width="1.7109375" style="173" customWidth="1"/>
    <col min="7192" max="7192" width="13.7109375" style="173" customWidth="1"/>
    <col min="7193" max="7193" width="13.85546875" style="173" bestFit="1" customWidth="1"/>
    <col min="7194" max="7194" width="2.5703125" style="173" customWidth="1"/>
    <col min="7195" max="7195" width="12.42578125" style="173" customWidth="1"/>
    <col min="7196" max="7196" width="13.5703125" style="173" customWidth="1"/>
    <col min="7197" max="7197" width="2.5703125" style="173" customWidth="1"/>
    <col min="7198" max="7198" width="12.42578125" style="173" customWidth="1"/>
    <col min="7199" max="7199" width="13.5703125" style="173" customWidth="1"/>
    <col min="7200" max="7200" width="2.5703125" style="173" customWidth="1"/>
    <col min="7201" max="7201" width="11.5703125" style="173" customWidth="1"/>
    <col min="7202" max="7202" width="13" style="173" customWidth="1"/>
    <col min="7203" max="7203" width="1.42578125" style="173" customWidth="1"/>
    <col min="7204" max="7204" width="10.5703125" style="173" customWidth="1"/>
    <col min="7205" max="7436" width="11" style="173"/>
    <col min="7437" max="7437" width="1.5703125" style="173" customWidth="1"/>
    <col min="7438" max="7438" width="8.5703125" style="173" customWidth="1"/>
    <col min="7439" max="7439" width="28.7109375" style="173" customWidth="1"/>
    <col min="7440" max="7440" width="26.5703125" style="173" customWidth="1"/>
    <col min="7441" max="7441" width="7.7109375" style="173" customWidth="1"/>
    <col min="7442" max="7442" width="19.42578125" style="173" customWidth="1"/>
    <col min="7443" max="7443" width="44.28515625" style="173" customWidth="1"/>
    <col min="7444" max="7444" width="17" style="173" customWidth="1"/>
    <col min="7445" max="7445" width="15.5703125" style="173" customWidth="1"/>
    <col min="7446" max="7446" width="14.140625" style="173" customWidth="1"/>
    <col min="7447" max="7447" width="1.7109375" style="173" customWidth="1"/>
    <col min="7448" max="7448" width="13.7109375" style="173" customWidth="1"/>
    <col min="7449" max="7449" width="13.85546875" style="173" bestFit="1" customWidth="1"/>
    <col min="7450" max="7450" width="2.5703125" style="173" customWidth="1"/>
    <col min="7451" max="7451" width="12.42578125" style="173" customWidth="1"/>
    <col min="7452" max="7452" width="13.5703125" style="173" customWidth="1"/>
    <col min="7453" max="7453" width="2.5703125" style="173" customWidth="1"/>
    <col min="7454" max="7454" width="12.42578125" style="173" customWidth="1"/>
    <col min="7455" max="7455" width="13.5703125" style="173" customWidth="1"/>
    <col min="7456" max="7456" width="2.5703125" style="173" customWidth="1"/>
    <col min="7457" max="7457" width="11.5703125" style="173" customWidth="1"/>
    <col min="7458" max="7458" width="13" style="173" customWidth="1"/>
    <col min="7459" max="7459" width="1.42578125" style="173" customWidth="1"/>
    <col min="7460" max="7460" width="10.5703125" style="173" customWidth="1"/>
    <col min="7461" max="7692" width="11" style="173"/>
    <col min="7693" max="7693" width="1.5703125" style="173" customWidth="1"/>
    <col min="7694" max="7694" width="8.5703125" style="173" customWidth="1"/>
    <col min="7695" max="7695" width="28.7109375" style="173" customWidth="1"/>
    <col min="7696" max="7696" width="26.5703125" style="173" customWidth="1"/>
    <col min="7697" max="7697" width="7.7109375" style="173" customWidth="1"/>
    <col min="7698" max="7698" width="19.42578125" style="173" customWidth="1"/>
    <col min="7699" max="7699" width="44.28515625" style="173" customWidth="1"/>
    <col min="7700" max="7700" width="17" style="173" customWidth="1"/>
    <col min="7701" max="7701" width="15.5703125" style="173" customWidth="1"/>
    <col min="7702" max="7702" width="14.140625" style="173" customWidth="1"/>
    <col min="7703" max="7703" width="1.7109375" style="173" customWidth="1"/>
    <col min="7704" max="7704" width="13.7109375" style="173" customWidth="1"/>
    <col min="7705" max="7705" width="13.85546875" style="173" bestFit="1" customWidth="1"/>
    <col min="7706" max="7706" width="2.5703125" style="173" customWidth="1"/>
    <col min="7707" max="7707" width="12.42578125" style="173" customWidth="1"/>
    <col min="7708" max="7708" width="13.5703125" style="173" customWidth="1"/>
    <col min="7709" max="7709" width="2.5703125" style="173" customWidth="1"/>
    <col min="7710" max="7710" width="12.42578125" style="173" customWidth="1"/>
    <col min="7711" max="7711" width="13.5703125" style="173" customWidth="1"/>
    <col min="7712" max="7712" width="2.5703125" style="173" customWidth="1"/>
    <col min="7713" max="7713" width="11.5703125" style="173" customWidth="1"/>
    <col min="7714" max="7714" width="13" style="173" customWidth="1"/>
    <col min="7715" max="7715" width="1.42578125" style="173" customWidth="1"/>
    <col min="7716" max="7716" width="10.5703125" style="173" customWidth="1"/>
    <col min="7717" max="7948" width="11" style="173"/>
    <col min="7949" max="7949" width="1.5703125" style="173" customWidth="1"/>
    <col min="7950" max="7950" width="8.5703125" style="173" customWidth="1"/>
    <col min="7951" max="7951" width="28.7109375" style="173" customWidth="1"/>
    <col min="7952" max="7952" width="26.5703125" style="173" customWidth="1"/>
    <col min="7953" max="7953" width="7.7109375" style="173" customWidth="1"/>
    <col min="7954" max="7954" width="19.42578125" style="173" customWidth="1"/>
    <col min="7955" max="7955" width="44.28515625" style="173" customWidth="1"/>
    <col min="7956" max="7956" width="17" style="173" customWidth="1"/>
    <col min="7957" max="7957" width="15.5703125" style="173" customWidth="1"/>
    <col min="7958" max="7958" width="14.140625" style="173" customWidth="1"/>
    <col min="7959" max="7959" width="1.7109375" style="173" customWidth="1"/>
    <col min="7960" max="7960" width="13.7109375" style="173" customWidth="1"/>
    <col min="7961" max="7961" width="13.85546875" style="173" bestFit="1" customWidth="1"/>
    <col min="7962" max="7962" width="2.5703125" style="173" customWidth="1"/>
    <col min="7963" max="7963" width="12.42578125" style="173" customWidth="1"/>
    <col min="7964" max="7964" width="13.5703125" style="173" customWidth="1"/>
    <col min="7965" max="7965" width="2.5703125" style="173" customWidth="1"/>
    <col min="7966" max="7966" width="12.42578125" style="173" customWidth="1"/>
    <col min="7967" max="7967" width="13.5703125" style="173" customWidth="1"/>
    <col min="7968" max="7968" width="2.5703125" style="173" customWidth="1"/>
    <col min="7969" max="7969" width="11.5703125" style="173" customWidth="1"/>
    <col min="7970" max="7970" width="13" style="173" customWidth="1"/>
    <col min="7971" max="7971" width="1.42578125" style="173" customWidth="1"/>
    <col min="7972" max="7972" width="10.5703125" style="173" customWidth="1"/>
    <col min="7973" max="8204" width="11" style="173"/>
    <col min="8205" max="8205" width="1.5703125" style="173" customWidth="1"/>
    <col min="8206" max="8206" width="8.5703125" style="173" customWidth="1"/>
    <col min="8207" max="8207" width="28.7109375" style="173" customWidth="1"/>
    <col min="8208" max="8208" width="26.5703125" style="173" customWidth="1"/>
    <col min="8209" max="8209" width="7.7109375" style="173" customWidth="1"/>
    <col min="8210" max="8210" width="19.42578125" style="173" customWidth="1"/>
    <col min="8211" max="8211" width="44.28515625" style="173" customWidth="1"/>
    <col min="8212" max="8212" width="17" style="173" customWidth="1"/>
    <col min="8213" max="8213" width="15.5703125" style="173" customWidth="1"/>
    <col min="8214" max="8214" width="14.140625" style="173" customWidth="1"/>
    <col min="8215" max="8215" width="1.7109375" style="173" customWidth="1"/>
    <col min="8216" max="8216" width="13.7109375" style="173" customWidth="1"/>
    <col min="8217" max="8217" width="13.85546875" style="173" bestFit="1" customWidth="1"/>
    <col min="8218" max="8218" width="2.5703125" style="173" customWidth="1"/>
    <col min="8219" max="8219" width="12.42578125" style="173" customWidth="1"/>
    <col min="8220" max="8220" width="13.5703125" style="173" customWidth="1"/>
    <col min="8221" max="8221" width="2.5703125" style="173" customWidth="1"/>
    <col min="8222" max="8222" width="12.42578125" style="173" customWidth="1"/>
    <col min="8223" max="8223" width="13.5703125" style="173" customWidth="1"/>
    <col min="8224" max="8224" width="2.5703125" style="173" customWidth="1"/>
    <col min="8225" max="8225" width="11.5703125" style="173" customWidth="1"/>
    <col min="8226" max="8226" width="13" style="173" customWidth="1"/>
    <col min="8227" max="8227" width="1.42578125" style="173" customWidth="1"/>
    <col min="8228" max="8228" width="10.5703125" style="173" customWidth="1"/>
    <col min="8229" max="8460" width="11" style="173"/>
    <col min="8461" max="8461" width="1.5703125" style="173" customWidth="1"/>
    <col min="8462" max="8462" width="8.5703125" style="173" customWidth="1"/>
    <col min="8463" max="8463" width="28.7109375" style="173" customWidth="1"/>
    <col min="8464" max="8464" width="26.5703125" style="173" customWidth="1"/>
    <col min="8465" max="8465" width="7.7109375" style="173" customWidth="1"/>
    <col min="8466" max="8466" width="19.42578125" style="173" customWidth="1"/>
    <col min="8467" max="8467" width="44.28515625" style="173" customWidth="1"/>
    <col min="8468" max="8468" width="17" style="173" customWidth="1"/>
    <col min="8469" max="8469" width="15.5703125" style="173" customWidth="1"/>
    <col min="8470" max="8470" width="14.140625" style="173" customWidth="1"/>
    <col min="8471" max="8471" width="1.7109375" style="173" customWidth="1"/>
    <col min="8472" max="8472" width="13.7109375" style="173" customWidth="1"/>
    <col min="8473" max="8473" width="13.85546875" style="173" bestFit="1" customWidth="1"/>
    <col min="8474" max="8474" width="2.5703125" style="173" customWidth="1"/>
    <col min="8475" max="8475" width="12.42578125" style="173" customWidth="1"/>
    <col min="8476" max="8476" width="13.5703125" style="173" customWidth="1"/>
    <col min="8477" max="8477" width="2.5703125" style="173" customWidth="1"/>
    <col min="8478" max="8478" width="12.42578125" style="173" customWidth="1"/>
    <col min="8479" max="8479" width="13.5703125" style="173" customWidth="1"/>
    <col min="8480" max="8480" width="2.5703125" style="173" customWidth="1"/>
    <col min="8481" max="8481" width="11.5703125" style="173" customWidth="1"/>
    <col min="8482" max="8482" width="13" style="173" customWidth="1"/>
    <col min="8483" max="8483" width="1.42578125" style="173" customWidth="1"/>
    <col min="8484" max="8484" width="10.5703125" style="173" customWidth="1"/>
    <col min="8485" max="8716" width="11" style="173"/>
    <col min="8717" max="8717" width="1.5703125" style="173" customWidth="1"/>
    <col min="8718" max="8718" width="8.5703125" style="173" customWidth="1"/>
    <col min="8719" max="8719" width="28.7109375" style="173" customWidth="1"/>
    <col min="8720" max="8720" width="26.5703125" style="173" customWidth="1"/>
    <col min="8721" max="8721" width="7.7109375" style="173" customWidth="1"/>
    <col min="8722" max="8722" width="19.42578125" style="173" customWidth="1"/>
    <col min="8723" max="8723" width="44.28515625" style="173" customWidth="1"/>
    <col min="8724" max="8724" width="17" style="173" customWidth="1"/>
    <col min="8725" max="8725" width="15.5703125" style="173" customWidth="1"/>
    <col min="8726" max="8726" width="14.140625" style="173" customWidth="1"/>
    <col min="8727" max="8727" width="1.7109375" style="173" customWidth="1"/>
    <col min="8728" max="8728" width="13.7109375" style="173" customWidth="1"/>
    <col min="8729" max="8729" width="13.85546875" style="173" bestFit="1" customWidth="1"/>
    <col min="8730" max="8730" width="2.5703125" style="173" customWidth="1"/>
    <col min="8731" max="8731" width="12.42578125" style="173" customWidth="1"/>
    <col min="8732" max="8732" width="13.5703125" style="173" customWidth="1"/>
    <col min="8733" max="8733" width="2.5703125" style="173" customWidth="1"/>
    <col min="8734" max="8734" width="12.42578125" style="173" customWidth="1"/>
    <col min="8735" max="8735" width="13.5703125" style="173" customWidth="1"/>
    <col min="8736" max="8736" width="2.5703125" style="173" customWidth="1"/>
    <col min="8737" max="8737" width="11.5703125" style="173" customWidth="1"/>
    <col min="8738" max="8738" width="13" style="173" customWidth="1"/>
    <col min="8739" max="8739" width="1.42578125" style="173" customWidth="1"/>
    <col min="8740" max="8740" width="10.5703125" style="173" customWidth="1"/>
    <col min="8741" max="8972" width="11" style="173"/>
    <col min="8973" max="8973" width="1.5703125" style="173" customWidth="1"/>
    <col min="8974" max="8974" width="8.5703125" style="173" customWidth="1"/>
    <col min="8975" max="8975" width="28.7109375" style="173" customWidth="1"/>
    <col min="8976" max="8976" width="26.5703125" style="173" customWidth="1"/>
    <col min="8977" max="8977" width="7.7109375" style="173" customWidth="1"/>
    <col min="8978" max="8978" width="19.42578125" style="173" customWidth="1"/>
    <col min="8979" max="8979" width="44.28515625" style="173" customWidth="1"/>
    <col min="8980" max="8980" width="17" style="173" customWidth="1"/>
    <col min="8981" max="8981" width="15.5703125" style="173" customWidth="1"/>
    <col min="8982" max="8982" width="14.140625" style="173" customWidth="1"/>
    <col min="8983" max="8983" width="1.7109375" style="173" customWidth="1"/>
    <col min="8984" max="8984" width="13.7109375" style="173" customWidth="1"/>
    <col min="8985" max="8985" width="13.85546875" style="173" bestFit="1" customWidth="1"/>
    <col min="8986" max="8986" width="2.5703125" style="173" customWidth="1"/>
    <col min="8987" max="8987" width="12.42578125" style="173" customWidth="1"/>
    <col min="8988" max="8988" width="13.5703125" style="173" customWidth="1"/>
    <col min="8989" max="8989" width="2.5703125" style="173" customWidth="1"/>
    <col min="8990" max="8990" width="12.42578125" style="173" customWidth="1"/>
    <col min="8991" max="8991" width="13.5703125" style="173" customWidth="1"/>
    <col min="8992" max="8992" width="2.5703125" style="173" customWidth="1"/>
    <col min="8993" max="8993" width="11.5703125" style="173" customWidth="1"/>
    <col min="8994" max="8994" width="13" style="173" customWidth="1"/>
    <col min="8995" max="8995" width="1.42578125" style="173" customWidth="1"/>
    <col min="8996" max="8996" width="10.5703125" style="173" customWidth="1"/>
    <col min="8997" max="9228" width="11" style="173"/>
    <col min="9229" max="9229" width="1.5703125" style="173" customWidth="1"/>
    <col min="9230" max="9230" width="8.5703125" style="173" customWidth="1"/>
    <col min="9231" max="9231" width="28.7109375" style="173" customWidth="1"/>
    <col min="9232" max="9232" width="26.5703125" style="173" customWidth="1"/>
    <col min="9233" max="9233" width="7.7109375" style="173" customWidth="1"/>
    <col min="9234" max="9234" width="19.42578125" style="173" customWidth="1"/>
    <col min="9235" max="9235" width="44.28515625" style="173" customWidth="1"/>
    <col min="9236" max="9236" width="17" style="173" customWidth="1"/>
    <col min="9237" max="9237" width="15.5703125" style="173" customWidth="1"/>
    <col min="9238" max="9238" width="14.140625" style="173" customWidth="1"/>
    <col min="9239" max="9239" width="1.7109375" style="173" customWidth="1"/>
    <col min="9240" max="9240" width="13.7109375" style="173" customWidth="1"/>
    <col min="9241" max="9241" width="13.85546875" style="173" bestFit="1" customWidth="1"/>
    <col min="9242" max="9242" width="2.5703125" style="173" customWidth="1"/>
    <col min="9243" max="9243" width="12.42578125" style="173" customWidth="1"/>
    <col min="9244" max="9244" width="13.5703125" style="173" customWidth="1"/>
    <col min="9245" max="9245" width="2.5703125" style="173" customWidth="1"/>
    <col min="9246" max="9246" width="12.42578125" style="173" customWidth="1"/>
    <col min="9247" max="9247" width="13.5703125" style="173" customWidth="1"/>
    <col min="9248" max="9248" width="2.5703125" style="173" customWidth="1"/>
    <col min="9249" max="9249" width="11.5703125" style="173" customWidth="1"/>
    <col min="9250" max="9250" width="13" style="173" customWidth="1"/>
    <col min="9251" max="9251" width="1.42578125" style="173" customWidth="1"/>
    <col min="9252" max="9252" width="10.5703125" style="173" customWidth="1"/>
    <col min="9253" max="9484" width="11" style="173"/>
    <col min="9485" max="9485" width="1.5703125" style="173" customWidth="1"/>
    <col min="9486" max="9486" width="8.5703125" style="173" customWidth="1"/>
    <col min="9487" max="9487" width="28.7109375" style="173" customWidth="1"/>
    <col min="9488" max="9488" width="26.5703125" style="173" customWidth="1"/>
    <col min="9489" max="9489" width="7.7109375" style="173" customWidth="1"/>
    <col min="9490" max="9490" width="19.42578125" style="173" customWidth="1"/>
    <col min="9491" max="9491" width="44.28515625" style="173" customWidth="1"/>
    <col min="9492" max="9492" width="17" style="173" customWidth="1"/>
    <col min="9493" max="9493" width="15.5703125" style="173" customWidth="1"/>
    <col min="9494" max="9494" width="14.140625" style="173" customWidth="1"/>
    <col min="9495" max="9495" width="1.7109375" style="173" customWidth="1"/>
    <col min="9496" max="9496" width="13.7109375" style="173" customWidth="1"/>
    <col min="9497" max="9497" width="13.85546875" style="173" bestFit="1" customWidth="1"/>
    <col min="9498" max="9498" width="2.5703125" style="173" customWidth="1"/>
    <col min="9499" max="9499" width="12.42578125" style="173" customWidth="1"/>
    <col min="9500" max="9500" width="13.5703125" style="173" customWidth="1"/>
    <col min="9501" max="9501" width="2.5703125" style="173" customWidth="1"/>
    <col min="9502" max="9502" width="12.42578125" style="173" customWidth="1"/>
    <col min="9503" max="9503" width="13.5703125" style="173" customWidth="1"/>
    <col min="9504" max="9504" width="2.5703125" style="173" customWidth="1"/>
    <col min="9505" max="9505" width="11.5703125" style="173" customWidth="1"/>
    <col min="9506" max="9506" width="13" style="173" customWidth="1"/>
    <col min="9507" max="9507" width="1.42578125" style="173" customWidth="1"/>
    <col min="9508" max="9508" width="10.5703125" style="173" customWidth="1"/>
    <col min="9509" max="9740" width="11" style="173"/>
    <col min="9741" max="9741" width="1.5703125" style="173" customWidth="1"/>
    <col min="9742" max="9742" width="8.5703125" style="173" customWidth="1"/>
    <col min="9743" max="9743" width="28.7109375" style="173" customWidth="1"/>
    <col min="9744" max="9744" width="26.5703125" style="173" customWidth="1"/>
    <col min="9745" max="9745" width="7.7109375" style="173" customWidth="1"/>
    <col min="9746" max="9746" width="19.42578125" style="173" customWidth="1"/>
    <col min="9747" max="9747" width="44.28515625" style="173" customWidth="1"/>
    <col min="9748" max="9748" width="17" style="173" customWidth="1"/>
    <col min="9749" max="9749" width="15.5703125" style="173" customWidth="1"/>
    <col min="9750" max="9750" width="14.140625" style="173" customWidth="1"/>
    <col min="9751" max="9751" width="1.7109375" style="173" customWidth="1"/>
    <col min="9752" max="9752" width="13.7109375" style="173" customWidth="1"/>
    <col min="9753" max="9753" width="13.85546875" style="173" bestFit="1" customWidth="1"/>
    <col min="9754" max="9754" width="2.5703125" style="173" customWidth="1"/>
    <col min="9755" max="9755" width="12.42578125" style="173" customWidth="1"/>
    <col min="9756" max="9756" width="13.5703125" style="173" customWidth="1"/>
    <col min="9757" max="9757" width="2.5703125" style="173" customWidth="1"/>
    <col min="9758" max="9758" width="12.42578125" style="173" customWidth="1"/>
    <col min="9759" max="9759" width="13.5703125" style="173" customWidth="1"/>
    <col min="9760" max="9760" width="2.5703125" style="173" customWidth="1"/>
    <col min="9761" max="9761" width="11.5703125" style="173" customWidth="1"/>
    <col min="9762" max="9762" width="13" style="173" customWidth="1"/>
    <col min="9763" max="9763" width="1.42578125" style="173" customWidth="1"/>
    <col min="9764" max="9764" width="10.5703125" style="173" customWidth="1"/>
    <col min="9765" max="9996" width="11" style="173"/>
    <col min="9997" max="9997" width="1.5703125" style="173" customWidth="1"/>
    <col min="9998" max="9998" width="8.5703125" style="173" customWidth="1"/>
    <col min="9999" max="9999" width="28.7109375" style="173" customWidth="1"/>
    <col min="10000" max="10000" width="26.5703125" style="173" customWidth="1"/>
    <col min="10001" max="10001" width="7.7109375" style="173" customWidth="1"/>
    <col min="10002" max="10002" width="19.42578125" style="173" customWidth="1"/>
    <col min="10003" max="10003" width="44.28515625" style="173" customWidth="1"/>
    <col min="10004" max="10004" width="17" style="173" customWidth="1"/>
    <col min="10005" max="10005" width="15.5703125" style="173" customWidth="1"/>
    <col min="10006" max="10006" width="14.140625" style="173" customWidth="1"/>
    <col min="10007" max="10007" width="1.7109375" style="173" customWidth="1"/>
    <col min="10008" max="10008" width="13.7109375" style="173" customWidth="1"/>
    <col min="10009" max="10009" width="13.85546875" style="173" bestFit="1" customWidth="1"/>
    <col min="10010" max="10010" width="2.5703125" style="173" customWidth="1"/>
    <col min="10011" max="10011" width="12.42578125" style="173" customWidth="1"/>
    <col min="10012" max="10012" width="13.5703125" style="173" customWidth="1"/>
    <col min="10013" max="10013" width="2.5703125" style="173" customWidth="1"/>
    <col min="10014" max="10014" width="12.42578125" style="173" customWidth="1"/>
    <col min="10015" max="10015" width="13.5703125" style="173" customWidth="1"/>
    <col min="10016" max="10016" width="2.5703125" style="173" customWidth="1"/>
    <col min="10017" max="10017" width="11.5703125" style="173" customWidth="1"/>
    <col min="10018" max="10018" width="13" style="173" customWidth="1"/>
    <col min="10019" max="10019" width="1.42578125" style="173" customWidth="1"/>
    <col min="10020" max="10020" width="10.5703125" style="173" customWidth="1"/>
    <col min="10021" max="10252" width="11" style="173"/>
    <col min="10253" max="10253" width="1.5703125" style="173" customWidth="1"/>
    <col min="10254" max="10254" width="8.5703125" style="173" customWidth="1"/>
    <col min="10255" max="10255" width="28.7109375" style="173" customWidth="1"/>
    <col min="10256" max="10256" width="26.5703125" style="173" customWidth="1"/>
    <col min="10257" max="10257" width="7.7109375" style="173" customWidth="1"/>
    <col min="10258" max="10258" width="19.42578125" style="173" customWidth="1"/>
    <col min="10259" max="10259" width="44.28515625" style="173" customWidth="1"/>
    <col min="10260" max="10260" width="17" style="173" customWidth="1"/>
    <col min="10261" max="10261" width="15.5703125" style="173" customWidth="1"/>
    <col min="10262" max="10262" width="14.140625" style="173" customWidth="1"/>
    <col min="10263" max="10263" width="1.7109375" style="173" customWidth="1"/>
    <col min="10264" max="10264" width="13.7109375" style="173" customWidth="1"/>
    <col min="10265" max="10265" width="13.85546875" style="173" bestFit="1" customWidth="1"/>
    <col min="10266" max="10266" width="2.5703125" style="173" customWidth="1"/>
    <col min="10267" max="10267" width="12.42578125" style="173" customWidth="1"/>
    <col min="10268" max="10268" width="13.5703125" style="173" customWidth="1"/>
    <col min="10269" max="10269" width="2.5703125" style="173" customWidth="1"/>
    <col min="10270" max="10270" width="12.42578125" style="173" customWidth="1"/>
    <col min="10271" max="10271" width="13.5703125" style="173" customWidth="1"/>
    <col min="10272" max="10272" width="2.5703125" style="173" customWidth="1"/>
    <col min="10273" max="10273" width="11.5703125" style="173" customWidth="1"/>
    <col min="10274" max="10274" width="13" style="173" customWidth="1"/>
    <col min="10275" max="10275" width="1.42578125" style="173" customWidth="1"/>
    <col min="10276" max="10276" width="10.5703125" style="173" customWidth="1"/>
    <col min="10277" max="10508" width="11" style="173"/>
    <col min="10509" max="10509" width="1.5703125" style="173" customWidth="1"/>
    <col min="10510" max="10510" width="8.5703125" style="173" customWidth="1"/>
    <col min="10511" max="10511" width="28.7109375" style="173" customWidth="1"/>
    <col min="10512" max="10512" width="26.5703125" style="173" customWidth="1"/>
    <col min="10513" max="10513" width="7.7109375" style="173" customWidth="1"/>
    <col min="10514" max="10514" width="19.42578125" style="173" customWidth="1"/>
    <col min="10515" max="10515" width="44.28515625" style="173" customWidth="1"/>
    <col min="10516" max="10516" width="17" style="173" customWidth="1"/>
    <col min="10517" max="10517" width="15.5703125" style="173" customWidth="1"/>
    <col min="10518" max="10518" width="14.140625" style="173" customWidth="1"/>
    <col min="10519" max="10519" width="1.7109375" style="173" customWidth="1"/>
    <col min="10520" max="10520" width="13.7109375" style="173" customWidth="1"/>
    <col min="10521" max="10521" width="13.85546875" style="173" bestFit="1" customWidth="1"/>
    <col min="10522" max="10522" width="2.5703125" style="173" customWidth="1"/>
    <col min="10523" max="10523" width="12.42578125" style="173" customWidth="1"/>
    <col min="10524" max="10524" width="13.5703125" style="173" customWidth="1"/>
    <col min="10525" max="10525" width="2.5703125" style="173" customWidth="1"/>
    <col min="10526" max="10526" width="12.42578125" style="173" customWidth="1"/>
    <col min="10527" max="10527" width="13.5703125" style="173" customWidth="1"/>
    <col min="10528" max="10528" width="2.5703125" style="173" customWidth="1"/>
    <col min="10529" max="10529" width="11.5703125" style="173" customWidth="1"/>
    <col min="10530" max="10530" width="13" style="173" customWidth="1"/>
    <col min="10531" max="10531" width="1.42578125" style="173" customWidth="1"/>
    <col min="10532" max="10532" width="10.5703125" style="173" customWidth="1"/>
    <col min="10533" max="10764" width="11" style="173"/>
    <col min="10765" max="10765" width="1.5703125" style="173" customWidth="1"/>
    <col min="10766" max="10766" width="8.5703125" style="173" customWidth="1"/>
    <col min="10767" max="10767" width="28.7109375" style="173" customWidth="1"/>
    <col min="10768" max="10768" width="26.5703125" style="173" customWidth="1"/>
    <col min="10769" max="10769" width="7.7109375" style="173" customWidth="1"/>
    <col min="10770" max="10770" width="19.42578125" style="173" customWidth="1"/>
    <col min="10771" max="10771" width="44.28515625" style="173" customWidth="1"/>
    <col min="10772" max="10772" width="17" style="173" customWidth="1"/>
    <col min="10773" max="10773" width="15.5703125" style="173" customWidth="1"/>
    <col min="10774" max="10774" width="14.140625" style="173" customWidth="1"/>
    <col min="10775" max="10775" width="1.7109375" style="173" customWidth="1"/>
    <col min="10776" max="10776" width="13.7109375" style="173" customWidth="1"/>
    <col min="10777" max="10777" width="13.85546875" style="173" bestFit="1" customWidth="1"/>
    <col min="10778" max="10778" width="2.5703125" style="173" customWidth="1"/>
    <col min="10779" max="10779" width="12.42578125" style="173" customWidth="1"/>
    <col min="10780" max="10780" width="13.5703125" style="173" customWidth="1"/>
    <col min="10781" max="10781" width="2.5703125" style="173" customWidth="1"/>
    <col min="10782" max="10782" width="12.42578125" style="173" customWidth="1"/>
    <col min="10783" max="10783" width="13.5703125" style="173" customWidth="1"/>
    <col min="10784" max="10784" width="2.5703125" style="173" customWidth="1"/>
    <col min="10785" max="10785" width="11.5703125" style="173" customWidth="1"/>
    <col min="10786" max="10786" width="13" style="173" customWidth="1"/>
    <col min="10787" max="10787" width="1.42578125" style="173" customWidth="1"/>
    <col min="10788" max="10788" width="10.5703125" style="173" customWidth="1"/>
    <col min="10789" max="11020" width="11" style="173"/>
    <col min="11021" max="11021" width="1.5703125" style="173" customWidth="1"/>
    <col min="11022" max="11022" width="8.5703125" style="173" customWidth="1"/>
    <col min="11023" max="11023" width="28.7109375" style="173" customWidth="1"/>
    <col min="11024" max="11024" width="26.5703125" style="173" customWidth="1"/>
    <col min="11025" max="11025" width="7.7109375" style="173" customWidth="1"/>
    <col min="11026" max="11026" width="19.42578125" style="173" customWidth="1"/>
    <col min="11027" max="11027" width="44.28515625" style="173" customWidth="1"/>
    <col min="11028" max="11028" width="17" style="173" customWidth="1"/>
    <col min="11029" max="11029" width="15.5703125" style="173" customWidth="1"/>
    <col min="11030" max="11030" width="14.140625" style="173" customWidth="1"/>
    <col min="11031" max="11031" width="1.7109375" style="173" customWidth="1"/>
    <col min="11032" max="11032" width="13.7109375" style="173" customWidth="1"/>
    <col min="11033" max="11033" width="13.85546875" style="173" bestFit="1" customWidth="1"/>
    <col min="11034" max="11034" width="2.5703125" style="173" customWidth="1"/>
    <col min="11035" max="11035" width="12.42578125" style="173" customWidth="1"/>
    <col min="11036" max="11036" width="13.5703125" style="173" customWidth="1"/>
    <col min="11037" max="11037" width="2.5703125" style="173" customWidth="1"/>
    <col min="11038" max="11038" width="12.42578125" style="173" customWidth="1"/>
    <col min="11039" max="11039" width="13.5703125" style="173" customWidth="1"/>
    <col min="11040" max="11040" width="2.5703125" style="173" customWidth="1"/>
    <col min="11041" max="11041" width="11.5703125" style="173" customWidth="1"/>
    <col min="11042" max="11042" width="13" style="173" customWidth="1"/>
    <col min="11043" max="11043" width="1.42578125" style="173" customWidth="1"/>
    <col min="11044" max="11044" width="10.5703125" style="173" customWidth="1"/>
    <col min="11045" max="11276" width="11" style="173"/>
    <col min="11277" max="11277" width="1.5703125" style="173" customWidth="1"/>
    <col min="11278" max="11278" width="8.5703125" style="173" customWidth="1"/>
    <col min="11279" max="11279" width="28.7109375" style="173" customWidth="1"/>
    <col min="11280" max="11280" width="26.5703125" style="173" customWidth="1"/>
    <col min="11281" max="11281" width="7.7109375" style="173" customWidth="1"/>
    <col min="11282" max="11282" width="19.42578125" style="173" customWidth="1"/>
    <col min="11283" max="11283" width="44.28515625" style="173" customWidth="1"/>
    <col min="11284" max="11284" width="17" style="173" customWidth="1"/>
    <col min="11285" max="11285" width="15.5703125" style="173" customWidth="1"/>
    <col min="11286" max="11286" width="14.140625" style="173" customWidth="1"/>
    <col min="11287" max="11287" width="1.7109375" style="173" customWidth="1"/>
    <col min="11288" max="11288" width="13.7109375" style="173" customWidth="1"/>
    <col min="11289" max="11289" width="13.85546875" style="173" bestFit="1" customWidth="1"/>
    <col min="11290" max="11290" width="2.5703125" style="173" customWidth="1"/>
    <col min="11291" max="11291" width="12.42578125" style="173" customWidth="1"/>
    <col min="11292" max="11292" width="13.5703125" style="173" customWidth="1"/>
    <col min="11293" max="11293" width="2.5703125" style="173" customWidth="1"/>
    <col min="11294" max="11294" width="12.42578125" style="173" customWidth="1"/>
    <col min="11295" max="11295" width="13.5703125" style="173" customWidth="1"/>
    <col min="11296" max="11296" width="2.5703125" style="173" customWidth="1"/>
    <col min="11297" max="11297" width="11.5703125" style="173" customWidth="1"/>
    <col min="11298" max="11298" width="13" style="173" customWidth="1"/>
    <col min="11299" max="11299" width="1.42578125" style="173" customWidth="1"/>
    <col min="11300" max="11300" width="10.5703125" style="173" customWidth="1"/>
    <col min="11301" max="11532" width="11" style="173"/>
    <col min="11533" max="11533" width="1.5703125" style="173" customWidth="1"/>
    <col min="11534" max="11534" width="8.5703125" style="173" customWidth="1"/>
    <col min="11535" max="11535" width="28.7109375" style="173" customWidth="1"/>
    <col min="11536" max="11536" width="26.5703125" style="173" customWidth="1"/>
    <col min="11537" max="11537" width="7.7109375" style="173" customWidth="1"/>
    <col min="11538" max="11538" width="19.42578125" style="173" customWidth="1"/>
    <col min="11539" max="11539" width="44.28515625" style="173" customWidth="1"/>
    <col min="11540" max="11540" width="17" style="173" customWidth="1"/>
    <col min="11541" max="11541" width="15.5703125" style="173" customWidth="1"/>
    <col min="11542" max="11542" width="14.140625" style="173" customWidth="1"/>
    <col min="11543" max="11543" width="1.7109375" style="173" customWidth="1"/>
    <col min="11544" max="11544" width="13.7109375" style="173" customWidth="1"/>
    <col min="11545" max="11545" width="13.85546875" style="173" bestFit="1" customWidth="1"/>
    <col min="11546" max="11546" width="2.5703125" style="173" customWidth="1"/>
    <col min="11547" max="11547" width="12.42578125" style="173" customWidth="1"/>
    <col min="11548" max="11548" width="13.5703125" style="173" customWidth="1"/>
    <col min="11549" max="11549" width="2.5703125" style="173" customWidth="1"/>
    <col min="11550" max="11550" width="12.42578125" style="173" customWidth="1"/>
    <col min="11551" max="11551" width="13.5703125" style="173" customWidth="1"/>
    <col min="11552" max="11552" width="2.5703125" style="173" customWidth="1"/>
    <col min="11553" max="11553" width="11.5703125" style="173" customWidth="1"/>
    <col min="11554" max="11554" width="13" style="173" customWidth="1"/>
    <col min="11555" max="11555" width="1.42578125" style="173" customWidth="1"/>
    <col min="11556" max="11556" width="10.5703125" style="173" customWidth="1"/>
    <col min="11557" max="11788" width="11" style="173"/>
    <col min="11789" max="11789" width="1.5703125" style="173" customWidth="1"/>
    <col min="11790" max="11790" width="8.5703125" style="173" customWidth="1"/>
    <col min="11791" max="11791" width="28.7109375" style="173" customWidth="1"/>
    <col min="11792" max="11792" width="26.5703125" style="173" customWidth="1"/>
    <col min="11793" max="11793" width="7.7109375" style="173" customWidth="1"/>
    <col min="11794" max="11794" width="19.42578125" style="173" customWidth="1"/>
    <col min="11795" max="11795" width="44.28515625" style="173" customWidth="1"/>
    <col min="11796" max="11796" width="17" style="173" customWidth="1"/>
    <col min="11797" max="11797" width="15.5703125" style="173" customWidth="1"/>
    <col min="11798" max="11798" width="14.140625" style="173" customWidth="1"/>
    <col min="11799" max="11799" width="1.7109375" style="173" customWidth="1"/>
    <col min="11800" max="11800" width="13.7109375" style="173" customWidth="1"/>
    <col min="11801" max="11801" width="13.85546875" style="173" bestFit="1" customWidth="1"/>
    <col min="11802" max="11802" width="2.5703125" style="173" customWidth="1"/>
    <col min="11803" max="11803" width="12.42578125" style="173" customWidth="1"/>
    <col min="11804" max="11804" width="13.5703125" style="173" customWidth="1"/>
    <col min="11805" max="11805" width="2.5703125" style="173" customWidth="1"/>
    <col min="11806" max="11806" width="12.42578125" style="173" customWidth="1"/>
    <col min="11807" max="11807" width="13.5703125" style="173" customWidth="1"/>
    <col min="11808" max="11808" width="2.5703125" style="173" customWidth="1"/>
    <col min="11809" max="11809" width="11.5703125" style="173" customWidth="1"/>
    <col min="11810" max="11810" width="13" style="173" customWidth="1"/>
    <col min="11811" max="11811" width="1.42578125" style="173" customWidth="1"/>
    <col min="11812" max="11812" width="10.5703125" style="173" customWidth="1"/>
    <col min="11813" max="12044" width="11" style="173"/>
    <col min="12045" max="12045" width="1.5703125" style="173" customWidth="1"/>
    <col min="12046" max="12046" width="8.5703125" style="173" customWidth="1"/>
    <col min="12047" max="12047" width="28.7109375" style="173" customWidth="1"/>
    <col min="12048" max="12048" width="26.5703125" style="173" customWidth="1"/>
    <col min="12049" max="12049" width="7.7109375" style="173" customWidth="1"/>
    <col min="12050" max="12050" width="19.42578125" style="173" customWidth="1"/>
    <col min="12051" max="12051" width="44.28515625" style="173" customWidth="1"/>
    <col min="12052" max="12052" width="17" style="173" customWidth="1"/>
    <col min="12053" max="12053" width="15.5703125" style="173" customWidth="1"/>
    <col min="12054" max="12054" width="14.140625" style="173" customWidth="1"/>
    <col min="12055" max="12055" width="1.7109375" style="173" customWidth="1"/>
    <col min="12056" max="12056" width="13.7109375" style="173" customWidth="1"/>
    <col min="12057" max="12057" width="13.85546875" style="173" bestFit="1" customWidth="1"/>
    <col min="12058" max="12058" width="2.5703125" style="173" customWidth="1"/>
    <col min="12059" max="12059" width="12.42578125" style="173" customWidth="1"/>
    <col min="12060" max="12060" width="13.5703125" style="173" customWidth="1"/>
    <col min="12061" max="12061" width="2.5703125" style="173" customWidth="1"/>
    <col min="12062" max="12062" width="12.42578125" style="173" customWidth="1"/>
    <col min="12063" max="12063" width="13.5703125" style="173" customWidth="1"/>
    <col min="12064" max="12064" width="2.5703125" style="173" customWidth="1"/>
    <col min="12065" max="12065" width="11.5703125" style="173" customWidth="1"/>
    <col min="12066" max="12066" width="13" style="173" customWidth="1"/>
    <col min="12067" max="12067" width="1.42578125" style="173" customWidth="1"/>
    <col min="12068" max="12068" width="10.5703125" style="173" customWidth="1"/>
    <col min="12069" max="12300" width="11" style="173"/>
    <col min="12301" max="12301" width="1.5703125" style="173" customWidth="1"/>
    <col min="12302" max="12302" width="8.5703125" style="173" customWidth="1"/>
    <col min="12303" max="12303" width="28.7109375" style="173" customWidth="1"/>
    <col min="12304" max="12304" width="26.5703125" style="173" customWidth="1"/>
    <col min="12305" max="12305" width="7.7109375" style="173" customWidth="1"/>
    <col min="12306" max="12306" width="19.42578125" style="173" customWidth="1"/>
    <col min="12307" max="12307" width="44.28515625" style="173" customWidth="1"/>
    <col min="12308" max="12308" width="17" style="173" customWidth="1"/>
    <col min="12309" max="12309" width="15.5703125" style="173" customWidth="1"/>
    <col min="12310" max="12310" width="14.140625" style="173" customWidth="1"/>
    <col min="12311" max="12311" width="1.7109375" style="173" customWidth="1"/>
    <col min="12312" max="12312" width="13.7109375" style="173" customWidth="1"/>
    <col min="12313" max="12313" width="13.85546875" style="173" bestFit="1" customWidth="1"/>
    <col min="12314" max="12314" width="2.5703125" style="173" customWidth="1"/>
    <col min="12315" max="12315" width="12.42578125" style="173" customWidth="1"/>
    <col min="12316" max="12316" width="13.5703125" style="173" customWidth="1"/>
    <col min="12317" max="12317" width="2.5703125" style="173" customWidth="1"/>
    <col min="12318" max="12318" width="12.42578125" style="173" customWidth="1"/>
    <col min="12319" max="12319" width="13.5703125" style="173" customWidth="1"/>
    <col min="12320" max="12320" width="2.5703125" style="173" customWidth="1"/>
    <col min="12321" max="12321" width="11.5703125" style="173" customWidth="1"/>
    <col min="12322" max="12322" width="13" style="173" customWidth="1"/>
    <col min="12323" max="12323" width="1.42578125" style="173" customWidth="1"/>
    <col min="12324" max="12324" width="10.5703125" style="173" customWidth="1"/>
    <col min="12325" max="12556" width="11" style="173"/>
    <col min="12557" max="12557" width="1.5703125" style="173" customWidth="1"/>
    <col min="12558" max="12558" width="8.5703125" style="173" customWidth="1"/>
    <col min="12559" max="12559" width="28.7109375" style="173" customWidth="1"/>
    <col min="12560" max="12560" width="26.5703125" style="173" customWidth="1"/>
    <col min="12561" max="12561" width="7.7109375" style="173" customWidth="1"/>
    <col min="12562" max="12562" width="19.42578125" style="173" customWidth="1"/>
    <col min="12563" max="12563" width="44.28515625" style="173" customWidth="1"/>
    <col min="12564" max="12564" width="17" style="173" customWidth="1"/>
    <col min="12565" max="12565" width="15.5703125" style="173" customWidth="1"/>
    <col min="12566" max="12566" width="14.140625" style="173" customWidth="1"/>
    <col min="12567" max="12567" width="1.7109375" style="173" customWidth="1"/>
    <col min="12568" max="12568" width="13.7109375" style="173" customWidth="1"/>
    <col min="12569" max="12569" width="13.85546875" style="173" bestFit="1" customWidth="1"/>
    <col min="12570" max="12570" width="2.5703125" style="173" customWidth="1"/>
    <col min="12571" max="12571" width="12.42578125" style="173" customWidth="1"/>
    <col min="12572" max="12572" width="13.5703125" style="173" customWidth="1"/>
    <col min="12573" max="12573" width="2.5703125" style="173" customWidth="1"/>
    <col min="12574" max="12574" width="12.42578125" style="173" customWidth="1"/>
    <col min="12575" max="12575" width="13.5703125" style="173" customWidth="1"/>
    <col min="12576" max="12576" width="2.5703125" style="173" customWidth="1"/>
    <col min="12577" max="12577" width="11.5703125" style="173" customWidth="1"/>
    <col min="12578" max="12578" width="13" style="173" customWidth="1"/>
    <col min="12579" max="12579" width="1.42578125" style="173" customWidth="1"/>
    <col min="12580" max="12580" width="10.5703125" style="173" customWidth="1"/>
    <col min="12581" max="12812" width="11" style="173"/>
    <col min="12813" max="12813" width="1.5703125" style="173" customWidth="1"/>
    <col min="12814" max="12814" width="8.5703125" style="173" customWidth="1"/>
    <col min="12815" max="12815" width="28.7109375" style="173" customWidth="1"/>
    <col min="12816" max="12816" width="26.5703125" style="173" customWidth="1"/>
    <col min="12817" max="12817" width="7.7109375" style="173" customWidth="1"/>
    <col min="12818" max="12818" width="19.42578125" style="173" customWidth="1"/>
    <col min="12819" max="12819" width="44.28515625" style="173" customWidth="1"/>
    <col min="12820" max="12820" width="17" style="173" customWidth="1"/>
    <col min="12821" max="12821" width="15.5703125" style="173" customWidth="1"/>
    <col min="12822" max="12822" width="14.140625" style="173" customWidth="1"/>
    <col min="12823" max="12823" width="1.7109375" style="173" customWidth="1"/>
    <col min="12824" max="12824" width="13.7109375" style="173" customWidth="1"/>
    <col min="12825" max="12825" width="13.85546875" style="173" bestFit="1" customWidth="1"/>
    <col min="12826" max="12826" width="2.5703125" style="173" customWidth="1"/>
    <col min="12827" max="12827" width="12.42578125" style="173" customWidth="1"/>
    <col min="12828" max="12828" width="13.5703125" style="173" customWidth="1"/>
    <col min="12829" max="12829" width="2.5703125" style="173" customWidth="1"/>
    <col min="12830" max="12830" width="12.42578125" style="173" customWidth="1"/>
    <col min="12831" max="12831" width="13.5703125" style="173" customWidth="1"/>
    <col min="12832" max="12832" width="2.5703125" style="173" customWidth="1"/>
    <col min="12833" max="12833" width="11.5703125" style="173" customWidth="1"/>
    <col min="12834" max="12834" width="13" style="173" customWidth="1"/>
    <col min="12835" max="12835" width="1.42578125" style="173" customWidth="1"/>
    <col min="12836" max="12836" width="10.5703125" style="173" customWidth="1"/>
    <col min="12837" max="13068" width="11" style="173"/>
    <col min="13069" max="13069" width="1.5703125" style="173" customWidth="1"/>
    <col min="13070" max="13070" width="8.5703125" style="173" customWidth="1"/>
    <col min="13071" max="13071" width="28.7109375" style="173" customWidth="1"/>
    <col min="13072" max="13072" width="26.5703125" style="173" customWidth="1"/>
    <col min="13073" max="13073" width="7.7109375" style="173" customWidth="1"/>
    <col min="13074" max="13074" width="19.42578125" style="173" customWidth="1"/>
    <col min="13075" max="13075" width="44.28515625" style="173" customWidth="1"/>
    <col min="13076" max="13076" width="17" style="173" customWidth="1"/>
    <col min="13077" max="13077" width="15.5703125" style="173" customWidth="1"/>
    <col min="13078" max="13078" width="14.140625" style="173" customWidth="1"/>
    <col min="13079" max="13079" width="1.7109375" style="173" customWidth="1"/>
    <col min="13080" max="13080" width="13.7109375" style="173" customWidth="1"/>
    <col min="13081" max="13081" width="13.85546875" style="173" bestFit="1" customWidth="1"/>
    <col min="13082" max="13082" width="2.5703125" style="173" customWidth="1"/>
    <col min="13083" max="13083" width="12.42578125" style="173" customWidth="1"/>
    <col min="13084" max="13084" width="13.5703125" style="173" customWidth="1"/>
    <col min="13085" max="13085" width="2.5703125" style="173" customWidth="1"/>
    <col min="13086" max="13086" width="12.42578125" style="173" customWidth="1"/>
    <col min="13087" max="13087" width="13.5703125" style="173" customWidth="1"/>
    <col min="13088" max="13088" width="2.5703125" style="173" customWidth="1"/>
    <col min="13089" max="13089" width="11.5703125" style="173" customWidth="1"/>
    <col min="13090" max="13090" width="13" style="173" customWidth="1"/>
    <col min="13091" max="13091" width="1.42578125" style="173" customWidth="1"/>
    <col min="13092" max="13092" width="10.5703125" style="173" customWidth="1"/>
    <col min="13093" max="13324" width="11" style="173"/>
    <col min="13325" max="13325" width="1.5703125" style="173" customWidth="1"/>
    <col min="13326" max="13326" width="8.5703125" style="173" customWidth="1"/>
    <col min="13327" max="13327" width="28.7109375" style="173" customWidth="1"/>
    <col min="13328" max="13328" width="26.5703125" style="173" customWidth="1"/>
    <col min="13329" max="13329" width="7.7109375" style="173" customWidth="1"/>
    <col min="13330" max="13330" width="19.42578125" style="173" customWidth="1"/>
    <col min="13331" max="13331" width="44.28515625" style="173" customWidth="1"/>
    <col min="13332" max="13332" width="17" style="173" customWidth="1"/>
    <col min="13333" max="13333" width="15.5703125" style="173" customWidth="1"/>
    <col min="13334" max="13334" width="14.140625" style="173" customWidth="1"/>
    <col min="13335" max="13335" width="1.7109375" style="173" customWidth="1"/>
    <col min="13336" max="13336" width="13.7109375" style="173" customWidth="1"/>
    <col min="13337" max="13337" width="13.85546875" style="173" bestFit="1" customWidth="1"/>
    <col min="13338" max="13338" width="2.5703125" style="173" customWidth="1"/>
    <col min="13339" max="13339" width="12.42578125" style="173" customWidth="1"/>
    <col min="13340" max="13340" width="13.5703125" style="173" customWidth="1"/>
    <col min="13341" max="13341" width="2.5703125" style="173" customWidth="1"/>
    <col min="13342" max="13342" width="12.42578125" style="173" customWidth="1"/>
    <col min="13343" max="13343" width="13.5703125" style="173" customWidth="1"/>
    <col min="13344" max="13344" width="2.5703125" style="173" customWidth="1"/>
    <col min="13345" max="13345" width="11.5703125" style="173" customWidth="1"/>
    <col min="13346" max="13346" width="13" style="173" customWidth="1"/>
    <col min="13347" max="13347" width="1.42578125" style="173" customWidth="1"/>
    <col min="13348" max="13348" width="10.5703125" style="173" customWidth="1"/>
    <col min="13349" max="13580" width="11" style="173"/>
    <col min="13581" max="13581" width="1.5703125" style="173" customWidth="1"/>
    <col min="13582" max="13582" width="8.5703125" style="173" customWidth="1"/>
    <col min="13583" max="13583" width="28.7109375" style="173" customWidth="1"/>
    <col min="13584" max="13584" width="26.5703125" style="173" customWidth="1"/>
    <col min="13585" max="13585" width="7.7109375" style="173" customWidth="1"/>
    <col min="13586" max="13586" width="19.42578125" style="173" customWidth="1"/>
    <col min="13587" max="13587" width="44.28515625" style="173" customWidth="1"/>
    <col min="13588" max="13588" width="17" style="173" customWidth="1"/>
    <col min="13589" max="13589" width="15.5703125" style="173" customWidth="1"/>
    <col min="13590" max="13590" width="14.140625" style="173" customWidth="1"/>
    <col min="13591" max="13591" width="1.7109375" style="173" customWidth="1"/>
    <col min="13592" max="13592" width="13.7109375" style="173" customWidth="1"/>
    <col min="13593" max="13593" width="13.85546875" style="173" bestFit="1" customWidth="1"/>
    <col min="13594" max="13594" width="2.5703125" style="173" customWidth="1"/>
    <col min="13595" max="13595" width="12.42578125" style="173" customWidth="1"/>
    <col min="13596" max="13596" width="13.5703125" style="173" customWidth="1"/>
    <col min="13597" max="13597" width="2.5703125" style="173" customWidth="1"/>
    <col min="13598" max="13598" width="12.42578125" style="173" customWidth="1"/>
    <col min="13599" max="13599" width="13.5703125" style="173" customWidth="1"/>
    <col min="13600" max="13600" width="2.5703125" style="173" customWidth="1"/>
    <col min="13601" max="13601" width="11.5703125" style="173" customWidth="1"/>
    <col min="13602" max="13602" width="13" style="173" customWidth="1"/>
    <col min="13603" max="13603" width="1.42578125" style="173" customWidth="1"/>
    <col min="13604" max="13604" width="10.5703125" style="173" customWidth="1"/>
    <col min="13605" max="13836" width="11" style="173"/>
    <col min="13837" max="13837" width="1.5703125" style="173" customWidth="1"/>
    <col min="13838" max="13838" width="8.5703125" style="173" customWidth="1"/>
    <col min="13839" max="13839" width="28.7109375" style="173" customWidth="1"/>
    <col min="13840" max="13840" width="26.5703125" style="173" customWidth="1"/>
    <col min="13841" max="13841" width="7.7109375" style="173" customWidth="1"/>
    <col min="13842" max="13842" width="19.42578125" style="173" customWidth="1"/>
    <col min="13843" max="13843" width="44.28515625" style="173" customWidth="1"/>
    <col min="13844" max="13844" width="17" style="173" customWidth="1"/>
    <col min="13845" max="13845" width="15.5703125" style="173" customWidth="1"/>
    <col min="13846" max="13846" width="14.140625" style="173" customWidth="1"/>
    <col min="13847" max="13847" width="1.7109375" style="173" customWidth="1"/>
    <col min="13848" max="13848" width="13.7109375" style="173" customWidth="1"/>
    <col min="13849" max="13849" width="13.85546875" style="173" bestFit="1" customWidth="1"/>
    <col min="13850" max="13850" width="2.5703125" style="173" customWidth="1"/>
    <col min="13851" max="13851" width="12.42578125" style="173" customWidth="1"/>
    <col min="13852" max="13852" width="13.5703125" style="173" customWidth="1"/>
    <col min="13853" max="13853" width="2.5703125" style="173" customWidth="1"/>
    <col min="13854" max="13854" width="12.42578125" style="173" customWidth="1"/>
    <col min="13855" max="13855" width="13.5703125" style="173" customWidth="1"/>
    <col min="13856" max="13856" width="2.5703125" style="173" customWidth="1"/>
    <col min="13857" max="13857" width="11.5703125" style="173" customWidth="1"/>
    <col min="13858" max="13858" width="13" style="173" customWidth="1"/>
    <col min="13859" max="13859" width="1.42578125" style="173" customWidth="1"/>
    <col min="13860" max="13860" width="10.5703125" style="173" customWidth="1"/>
    <col min="13861" max="14092" width="11" style="173"/>
    <col min="14093" max="14093" width="1.5703125" style="173" customWidth="1"/>
    <col min="14094" max="14094" width="8.5703125" style="173" customWidth="1"/>
    <col min="14095" max="14095" width="28.7109375" style="173" customWidth="1"/>
    <col min="14096" max="14096" width="26.5703125" style="173" customWidth="1"/>
    <col min="14097" max="14097" width="7.7109375" style="173" customWidth="1"/>
    <col min="14098" max="14098" width="19.42578125" style="173" customWidth="1"/>
    <col min="14099" max="14099" width="44.28515625" style="173" customWidth="1"/>
    <col min="14100" max="14100" width="17" style="173" customWidth="1"/>
    <col min="14101" max="14101" width="15.5703125" style="173" customWidth="1"/>
    <col min="14102" max="14102" width="14.140625" style="173" customWidth="1"/>
    <col min="14103" max="14103" width="1.7109375" style="173" customWidth="1"/>
    <col min="14104" max="14104" width="13.7109375" style="173" customWidth="1"/>
    <col min="14105" max="14105" width="13.85546875" style="173" bestFit="1" customWidth="1"/>
    <col min="14106" max="14106" width="2.5703125" style="173" customWidth="1"/>
    <col min="14107" max="14107" width="12.42578125" style="173" customWidth="1"/>
    <col min="14108" max="14108" width="13.5703125" style="173" customWidth="1"/>
    <col min="14109" max="14109" width="2.5703125" style="173" customWidth="1"/>
    <col min="14110" max="14110" width="12.42578125" style="173" customWidth="1"/>
    <col min="14111" max="14111" width="13.5703125" style="173" customWidth="1"/>
    <col min="14112" max="14112" width="2.5703125" style="173" customWidth="1"/>
    <col min="14113" max="14113" width="11.5703125" style="173" customWidth="1"/>
    <col min="14114" max="14114" width="13" style="173" customWidth="1"/>
    <col min="14115" max="14115" width="1.42578125" style="173" customWidth="1"/>
    <col min="14116" max="14116" width="10.5703125" style="173" customWidth="1"/>
    <col min="14117" max="14348" width="11" style="173"/>
    <col min="14349" max="14349" width="1.5703125" style="173" customWidth="1"/>
    <col min="14350" max="14350" width="8.5703125" style="173" customWidth="1"/>
    <col min="14351" max="14351" width="28.7109375" style="173" customWidth="1"/>
    <col min="14352" max="14352" width="26.5703125" style="173" customWidth="1"/>
    <col min="14353" max="14353" width="7.7109375" style="173" customWidth="1"/>
    <col min="14354" max="14354" width="19.42578125" style="173" customWidth="1"/>
    <col min="14355" max="14355" width="44.28515625" style="173" customWidth="1"/>
    <col min="14356" max="14356" width="17" style="173" customWidth="1"/>
    <col min="14357" max="14357" width="15.5703125" style="173" customWidth="1"/>
    <col min="14358" max="14358" width="14.140625" style="173" customWidth="1"/>
    <col min="14359" max="14359" width="1.7109375" style="173" customWidth="1"/>
    <col min="14360" max="14360" width="13.7109375" style="173" customWidth="1"/>
    <col min="14361" max="14361" width="13.85546875" style="173" bestFit="1" customWidth="1"/>
    <col min="14362" max="14362" width="2.5703125" style="173" customWidth="1"/>
    <col min="14363" max="14363" width="12.42578125" style="173" customWidth="1"/>
    <col min="14364" max="14364" width="13.5703125" style="173" customWidth="1"/>
    <col min="14365" max="14365" width="2.5703125" style="173" customWidth="1"/>
    <col min="14366" max="14366" width="12.42578125" style="173" customWidth="1"/>
    <col min="14367" max="14367" width="13.5703125" style="173" customWidth="1"/>
    <col min="14368" max="14368" width="2.5703125" style="173" customWidth="1"/>
    <col min="14369" max="14369" width="11.5703125" style="173" customWidth="1"/>
    <col min="14370" max="14370" width="13" style="173" customWidth="1"/>
    <col min="14371" max="14371" width="1.42578125" style="173" customWidth="1"/>
    <col min="14372" max="14372" width="10.5703125" style="173" customWidth="1"/>
    <col min="14373" max="14604" width="11" style="173"/>
    <col min="14605" max="14605" width="1.5703125" style="173" customWidth="1"/>
    <col min="14606" max="14606" width="8.5703125" style="173" customWidth="1"/>
    <col min="14607" max="14607" width="28.7109375" style="173" customWidth="1"/>
    <col min="14608" max="14608" width="26.5703125" style="173" customWidth="1"/>
    <col min="14609" max="14609" width="7.7109375" style="173" customWidth="1"/>
    <col min="14610" max="14610" width="19.42578125" style="173" customWidth="1"/>
    <col min="14611" max="14611" width="44.28515625" style="173" customWidth="1"/>
    <col min="14612" max="14612" width="17" style="173" customWidth="1"/>
    <col min="14613" max="14613" width="15.5703125" style="173" customWidth="1"/>
    <col min="14614" max="14614" width="14.140625" style="173" customWidth="1"/>
    <col min="14615" max="14615" width="1.7109375" style="173" customWidth="1"/>
    <col min="14616" max="14616" width="13.7109375" style="173" customWidth="1"/>
    <col min="14617" max="14617" width="13.85546875" style="173" bestFit="1" customWidth="1"/>
    <col min="14618" max="14618" width="2.5703125" style="173" customWidth="1"/>
    <col min="14619" max="14619" width="12.42578125" style="173" customWidth="1"/>
    <col min="14620" max="14620" width="13.5703125" style="173" customWidth="1"/>
    <col min="14621" max="14621" width="2.5703125" style="173" customWidth="1"/>
    <col min="14622" max="14622" width="12.42578125" style="173" customWidth="1"/>
    <col min="14623" max="14623" width="13.5703125" style="173" customWidth="1"/>
    <col min="14624" max="14624" width="2.5703125" style="173" customWidth="1"/>
    <col min="14625" max="14625" width="11.5703125" style="173" customWidth="1"/>
    <col min="14626" max="14626" width="13" style="173" customWidth="1"/>
    <col min="14627" max="14627" width="1.42578125" style="173" customWidth="1"/>
    <col min="14628" max="14628" width="10.5703125" style="173" customWidth="1"/>
    <col min="14629" max="14860" width="11" style="173"/>
    <col min="14861" max="14861" width="1.5703125" style="173" customWidth="1"/>
    <col min="14862" max="14862" width="8.5703125" style="173" customWidth="1"/>
    <col min="14863" max="14863" width="28.7109375" style="173" customWidth="1"/>
    <col min="14864" max="14864" width="26.5703125" style="173" customWidth="1"/>
    <col min="14865" max="14865" width="7.7109375" style="173" customWidth="1"/>
    <col min="14866" max="14866" width="19.42578125" style="173" customWidth="1"/>
    <col min="14867" max="14867" width="44.28515625" style="173" customWidth="1"/>
    <col min="14868" max="14868" width="17" style="173" customWidth="1"/>
    <col min="14869" max="14869" width="15.5703125" style="173" customWidth="1"/>
    <col min="14870" max="14870" width="14.140625" style="173" customWidth="1"/>
    <col min="14871" max="14871" width="1.7109375" style="173" customWidth="1"/>
    <col min="14872" max="14872" width="13.7109375" style="173" customWidth="1"/>
    <col min="14873" max="14873" width="13.85546875" style="173" bestFit="1" customWidth="1"/>
    <col min="14874" max="14874" width="2.5703125" style="173" customWidth="1"/>
    <col min="14875" max="14875" width="12.42578125" style="173" customWidth="1"/>
    <col min="14876" max="14876" width="13.5703125" style="173" customWidth="1"/>
    <col min="14877" max="14877" width="2.5703125" style="173" customWidth="1"/>
    <col min="14878" max="14878" width="12.42578125" style="173" customWidth="1"/>
    <col min="14879" max="14879" width="13.5703125" style="173" customWidth="1"/>
    <col min="14880" max="14880" width="2.5703125" style="173" customWidth="1"/>
    <col min="14881" max="14881" width="11.5703125" style="173" customWidth="1"/>
    <col min="14882" max="14882" width="13" style="173" customWidth="1"/>
    <col min="14883" max="14883" width="1.42578125" style="173" customWidth="1"/>
    <col min="14884" max="14884" width="10.5703125" style="173" customWidth="1"/>
    <col min="14885" max="15116" width="11" style="173"/>
    <col min="15117" max="15117" width="1.5703125" style="173" customWidth="1"/>
    <col min="15118" max="15118" width="8.5703125" style="173" customWidth="1"/>
    <col min="15119" max="15119" width="28.7109375" style="173" customWidth="1"/>
    <col min="15120" max="15120" width="26.5703125" style="173" customWidth="1"/>
    <col min="15121" max="15121" width="7.7109375" style="173" customWidth="1"/>
    <col min="15122" max="15122" width="19.42578125" style="173" customWidth="1"/>
    <col min="15123" max="15123" width="44.28515625" style="173" customWidth="1"/>
    <col min="15124" max="15124" width="17" style="173" customWidth="1"/>
    <col min="15125" max="15125" width="15.5703125" style="173" customWidth="1"/>
    <col min="15126" max="15126" width="14.140625" style="173" customWidth="1"/>
    <col min="15127" max="15127" width="1.7109375" style="173" customWidth="1"/>
    <col min="15128" max="15128" width="13.7109375" style="173" customWidth="1"/>
    <col min="15129" max="15129" width="13.85546875" style="173" bestFit="1" customWidth="1"/>
    <col min="15130" max="15130" width="2.5703125" style="173" customWidth="1"/>
    <col min="15131" max="15131" width="12.42578125" style="173" customWidth="1"/>
    <col min="15132" max="15132" width="13.5703125" style="173" customWidth="1"/>
    <col min="15133" max="15133" width="2.5703125" style="173" customWidth="1"/>
    <col min="15134" max="15134" width="12.42578125" style="173" customWidth="1"/>
    <col min="15135" max="15135" width="13.5703125" style="173" customWidth="1"/>
    <col min="15136" max="15136" width="2.5703125" style="173" customWidth="1"/>
    <col min="15137" max="15137" width="11.5703125" style="173" customWidth="1"/>
    <col min="15138" max="15138" width="13" style="173" customWidth="1"/>
    <col min="15139" max="15139" width="1.42578125" style="173" customWidth="1"/>
    <col min="15140" max="15140" width="10.5703125" style="173" customWidth="1"/>
    <col min="15141" max="15372" width="11" style="173"/>
    <col min="15373" max="15373" width="1.5703125" style="173" customWidth="1"/>
    <col min="15374" max="15374" width="8.5703125" style="173" customWidth="1"/>
    <col min="15375" max="15375" width="28.7109375" style="173" customWidth="1"/>
    <col min="15376" max="15376" width="26.5703125" style="173" customWidth="1"/>
    <col min="15377" max="15377" width="7.7109375" style="173" customWidth="1"/>
    <col min="15378" max="15378" width="19.42578125" style="173" customWidth="1"/>
    <col min="15379" max="15379" width="44.28515625" style="173" customWidth="1"/>
    <col min="15380" max="15380" width="17" style="173" customWidth="1"/>
    <col min="15381" max="15381" width="15.5703125" style="173" customWidth="1"/>
    <col min="15382" max="15382" width="14.140625" style="173" customWidth="1"/>
    <col min="15383" max="15383" width="1.7109375" style="173" customWidth="1"/>
    <col min="15384" max="15384" width="13.7109375" style="173" customWidth="1"/>
    <col min="15385" max="15385" width="13.85546875" style="173" bestFit="1" customWidth="1"/>
    <col min="15386" max="15386" width="2.5703125" style="173" customWidth="1"/>
    <col min="15387" max="15387" width="12.42578125" style="173" customWidth="1"/>
    <col min="15388" max="15388" width="13.5703125" style="173" customWidth="1"/>
    <col min="15389" max="15389" width="2.5703125" style="173" customWidth="1"/>
    <col min="15390" max="15390" width="12.42578125" style="173" customWidth="1"/>
    <col min="15391" max="15391" width="13.5703125" style="173" customWidth="1"/>
    <col min="15392" max="15392" width="2.5703125" style="173" customWidth="1"/>
    <col min="15393" max="15393" width="11.5703125" style="173" customWidth="1"/>
    <col min="15394" max="15394" width="13" style="173" customWidth="1"/>
    <col min="15395" max="15395" width="1.42578125" style="173" customWidth="1"/>
    <col min="15396" max="15396" width="10.5703125" style="173" customWidth="1"/>
    <col min="15397" max="15628" width="11" style="173"/>
    <col min="15629" max="15629" width="1.5703125" style="173" customWidth="1"/>
    <col min="15630" max="15630" width="8.5703125" style="173" customWidth="1"/>
    <col min="15631" max="15631" width="28.7109375" style="173" customWidth="1"/>
    <col min="15632" max="15632" width="26.5703125" style="173" customWidth="1"/>
    <col min="15633" max="15633" width="7.7109375" style="173" customWidth="1"/>
    <col min="15634" max="15634" width="19.42578125" style="173" customWidth="1"/>
    <col min="15635" max="15635" width="44.28515625" style="173" customWidth="1"/>
    <col min="15636" max="15636" width="17" style="173" customWidth="1"/>
    <col min="15637" max="15637" width="15.5703125" style="173" customWidth="1"/>
    <col min="15638" max="15638" width="14.140625" style="173" customWidth="1"/>
    <col min="15639" max="15639" width="1.7109375" style="173" customWidth="1"/>
    <col min="15640" max="15640" width="13.7109375" style="173" customWidth="1"/>
    <col min="15641" max="15641" width="13.85546875" style="173" bestFit="1" customWidth="1"/>
    <col min="15642" max="15642" width="2.5703125" style="173" customWidth="1"/>
    <col min="15643" max="15643" width="12.42578125" style="173" customWidth="1"/>
    <col min="15644" max="15644" width="13.5703125" style="173" customWidth="1"/>
    <col min="15645" max="15645" width="2.5703125" style="173" customWidth="1"/>
    <col min="15646" max="15646" width="12.42578125" style="173" customWidth="1"/>
    <col min="15647" max="15647" width="13.5703125" style="173" customWidth="1"/>
    <col min="15648" max="15648" width="2.5703125" style="173" customWidth="1"/>
    <col min="15649" max="15649" width="11.5703125" style="173" customWidth="1"/>
    <col min="15650" max="15650" width="13" style="173" customWidth="1"/>
    <col min="15651" max="15651" width="1.42578125" style="173" customWidth="1"/>
    <col min="15652" max="15652" width="10.5703125" style="173" customWidth="1"/>
    <col min="15653" max="15884" width="11" style="173"/>
    <col min="15885" max="15885" width="1.5703125" style="173" customWidth="1"/>
    <col min="15886" max="15886" width="8.5703125" style="173" customWidth="1"/>
    <col min="15887" max="15887" width="28.7109375" style="173" customWidth="1"/>
    <col min="15888" max="15888" width="26.5703125" style="173" customWidth="1"/>
    <col min="15889" max="15889" width="7.7109375" style="173" customWidth="1"/>
    <col min="15890" max="15890" width="19.42578125" style="173" customWidth="1"/>
    <col min="15891" max="15891" width="44.28515625" style="173" customWidth="1"/>
    <col min="15892" max="15892" width="17" style="173" customWidth="1"/>
    <col min="15893" max="15893" width="15.5703125" style="173" customWidth="1"/>
    <col min="15894" max="15894" width="14.140625" style="173" customWidth="1"/>
    <col min="15895" max="15895" width="1.7109375" style="173" customWidth="1"/>
    <col min="15896" max="15896" width="13.7109375" style="173" customWidth="1"/>
    <col min="15897" max="15897" width="13.85546875" style="173" bestFit="1" customWidth="1"/>
    <col min="15898" max="15898" width="2.5703125" style="173" customWidth="1"/>
    <col min="15899" max="15899" width="12.42578125" style="173" customWidth="1"/>
    <col min="15900" max="15900" width="13.5703125" style="173" customWidth="1"/>
    <col min="15901" max="15901" width="2.5703125" style="173" customWidth="1"/>
    <col min="15902" max="15902" width="12.42578125" style="173" customWidth="1"/>
    <col min="15903" max="15903" width="13.5703125" style="173" customWidth="1"/>
    <col min="15904" max="15904" width="2.5703125" style="173" customWidth="1"/>
    <col min="15905" max="15905" width="11.5703125" style="173" customWidth="1"/>
    <col min="15906" max="15906" width="13" style="173" customWidth="1"/>
    <col min="15907" max="15907" width="1.42578125" style="173" customWidth="1"/>
    <col min="15908" max="15908" width="10.5703125" style="173" customWidth="1"/>
    <col min="15909" max="16140" width="11" style="173"/>
    <col min="16141" max="16141" width="1.5703125" style="173" customWidth="1"/>
    <col min="16142" max="16142" width="8.5703125" style="173" customWidth="1"/>
    <col min="16143" max="16143" width="28.7109375" style="173" customWidth="1"/>
    <col min="16144" max="16144" width="26.5703125" style="173" customWidth="1"/>
    <col min="16145" max="16145" width="7.7109375" style="173" customWidth="1"/>
    <col min="16146" max="16146" width="19.42578125" style="173" customWidth="1"/>
    <col min="16147" max="16147" width="44.28515625" style="173" customWidth="1"/>
    <col min="16148" max="16148" width="17" style="173" customWidth="1"/>
    <col min="16149" max="16149" width="15.5703125" style="173" customWidth="1"/>
    <col min="16150" max="16150" width="14.140625" style="173" customWidth="1"/>
    <col min="16151" max="16151" width="1.7109375" style="173" customWidth="1"/>
    <col min="16152" max="16152" width="13.7109375" style="173" customWidth="1"/>
    <col min="16153" max="16153" width="13.85546875" style="173" bestFit="1" customWidth="1"/>
    <col min="16154" max="16154" width="2.5703125" style="173" customWidth="1"/>
    <col min="16155" max="16155" width="12.42578125" style="173" customWidth="1"/>
    <col min="16156" max="16156" width="13.5703125" style="173" customWidth="1"/>
    <col min="16157" max="16157" width="2.5703125" style="173" customWidth="1"/>
    <col min="16158" max="16158" width="12.42578125" style="173" customWidth="1"/>
    <col min="16159" max="16159" width="13.5703125" style="173" customWidth="1"/>
    <col min="16160" max="16160" width="2.5703125" style="173" customWidth="1"/>
    <col min="16161" max="16161" width="11.5703125" style="173" customWidth="1"/>
    <col min="16162" max="16162" width="13" style="173" customWidth="1"/>
    <col min="16163" max="16163" width="1.42578125" style="173" customWidth="1"/>
    <col min="16164" max="16164" width="10.5703125" style="173" customWidth="1"/>
    <col min="16165" max="16384" width="11" style="173"/>
  </cols>
  <sheetData>
    <row r="1" spans="2:92" s="8" customFormat="1" ht="19.5" customHeight="1" x14ac:dyDescent="0.2">
      <c r="B1" s="1099"/>
      <c r="C1" s="1100"/>
      <c r="D1" s="1376" t="s">
        <v>246</v>
      </c>
      <c r="E1" s="1377"/>
      <c r="F1" s="169"/>
      <c r="G1" s="169"/>
      <c r="H1" s="1377" t="s">
        <v>247</v>
      </c>
      <c r="I1" s="1377"/>
      <c r="J1" s="1377"/>
      <c r="K1" s="1377"/>
      <c r="L1" s="1377"/>
      <c r="M1" s="1377"/>
      <c r="N1" s="1377"/>
      <c r="O1" s="1377"/>
      <c r="P1" s="1377"/>
      <c r="Q1" s="1377"/>
      <c r="R1" s="1377"/>
      <c r="S1" s="1377"/>
      <c r="T1" s="1377"/>
      <c r="U1" s="1377"/>
      <c r="V1" s="1377"/>
      <c r="W1" s="1377"/>
      <c r="X1" s="1378"/>
      <c r="Y1" s="1375"/>
      <c r="Z1" s="1376"/>
      <c r="AA1" s="1377"/>
      <c r="AB1" s="1377"/>
      <c r="AC1" s="1377"/>
      <c r="AD1" s="1377"/>
      <c r="AE1" s="1377"/>
      <c r="AF1" s="1377"/>
      <c r="AG1" s="1377"/>
      <c r="AH1" s="1377"/>
      <c r="AI1" s="1378"/>
      <c r="AJ1" s="1379"/>
      <c r="AK1" s="288"/>
    </row>
    <row r="2" spans="2:92" s="8" customFormat="1" ht="23.25" customHeight="1" x14ac:dyDescent="0.2">
      <c r="B2" s="1101"/>
      <c r="C2" s="1102"/>
      <c r="D2" s="1381" t="s">
        <v>248</v>
      </c>
      <c r="E2" s="1382"/>
      <c r="F2" s="170"/>
      <c r="G2" s="170"/>
      <c r="H2" s="1382" t="s">
        <v>209</v>
      </c>
      <c r="I2" s="1382"/>
      <c r="J2" s="1382"/>
      <c r="K2" s="1382"/>
      <c r="L2" s="1382"/>
      <c r="M2" s="1382"/>
      <c r="N2" s="1382"/>
      <c r="O2" s="1382"/>
      <c r="P2" s="1382"/>
      <c r="Q2" s="1382"/>
      <c r="R2" s="1382"/>
      <c r="S2" s="1382"/>
      <c r="T2" s="1382"/>
      <c r="U2" s="1382"/>
      <c r="V2" s="1382"/>
      <c r="W2" s="1382"/>
      <c r="X2" s="1383"/>
      <c r="Y2" s="1380"/>
      <c r="Z2" s="1381"/>
      <c r="AA2" s="1382"/>
      <c r="AB2" s="1382"/>
      <c r="AC2" s="1382"/>
      <c r="AD2" s="1382"/>
      <c r="AE2" s="1382"/>
      <c r="AF2" s="1382"/>
      <c r="AG2" s="1382"/>
      <c r="AH2" s="1382"/>
      <c r="AI2" s="1383"/>
      <c r="AJ2" s="1384"/>
      <c r="AK2" s="288"/>
    </row>
    <row r="3" spans="2:92" s="8" customFormat="1" ht="19.5" customHeight="1" thickBot="1" x14ac:dyDescent="0.25">
      <c r="B3" s="1103"/>
      <c r="C3" s="1104"/>
      <c r="D3" s="1386" t="s">
        <v>242</v>
      </c>
      <c r="E3" s="1387"/>
      <c r="F3" s="171"/>
      <c r="G3" s="171"/>
      <c r="H3" s="171" t="s">
        <v>251</v>
      </c>
      <c r="I3" s="1390" t="s">
        <v>252</v>
      </c>
      <c r="J3" s="1390"/>
      <c r="K3" s="1390"/>
      <c r="L3" s="1390"/>
      <c r="M3" s="1390"/>
      <c r="N3" s="1390"/>
      <c r="O3" s="1390"/>
      <c r="P3" s="1390"/>
      <c r="Q3" s="1390"/>
      <c r="R3" s="1390"/>
      <c r="S3" s="289"/>
      <c r="T3" s="1388" t="s">
        <v>249</v>
      </c>
      <c r="U3" s="1391"/>
      <c r="V3" s="1391"/>
      <c r="W3" s="1386"/>
      <c r="X3" s="172">
        <v>1</v>
      </c>
      <c r="Y3" s="1385"/>
      <c r="Z3" s="1386"/>
      <c r="AA3" s="1387"/>
      <c r="AB3" s="1387"/>
      <c r="AC3" s="1387"/>
      <c r="AD3" s="1387"/>
      <c r="AE3" s="1387"/>
      <c r="AF3" s="1387"/>
      <c r="AG3" s="1387"/>
      <c r="AH3" s="1387"/>
      <c r="AI3" s="1388"/>
      <c r="AJ3" s="1389"/>
      <c r="AK3" s="288"/>
    </row>
    <row r="4" spans="2:92" ht="18.75" thickBot="1" x14ac:dyDescent="0.25">
      <c r="B4" s="286"/>
      <c r="C4" s="286"/>
      <c r="D4" s="286"/>
      <c r="E4" s="286"/>
      <c r="F4" s="286"/>
      <c r="G4" s="286"/>
      <c r="H4" s="286"/>
      <c r="I4" s="286"/>
      <c r="J4" s="286"/>
      <c r="K4" s="286"/>
      <c r="L4" s="286"/>
      <c r="M4" s="286"/>
      <c r="N4" s="286"/>
      <c r="O4" s="286"/>
      <c r="P4" s="287"/>
      <c r="Q4" s="286"/>
      <c r="R4" s="286"/>
      <c r="S4" s="286"/>
      <c r="T4" s="286"/>
      <c r="U4" s="286"/>
      <c r="V4" s="286"/>
      <c r="W4" s="287"/>
      <c r="X4" s="286"/>
      <c r="Y4" s="286"/>
      <c r="Z4" s="286"/>
      <c r="AA4" s="286"/>
      <c r="AB4" s="286"/>
      <c r="AC4" s="286"/>
      <c r="AD4" s="287"/>
      <c r="AE4" s="286"/>
      <c r="AF4" s="286"/>
      <c r="AG4" s="286"/>
      <c r="AH4" s="286"/>
      <c r="AI4" s="286"/>
      <c r="AJ4" s="286"/>
    </row>
    <row r="5" spans="2:92" ht="18.75" customHeight="1" thickBot="1" x14ac:dyDescent="0.25">
      <c r="B5" s="1399" t="s">
        <v>1169</v>
      </c>
      <c r="C5" s="1400"/>
      <c r="D5" s="1399" t="s">
        <v>1168</v>
      </c>
      <c r="E5" s="1400"/>
      <c r="F5" s="290"/>
      <c r="G5" s="290"/>
      <c r="AJ5" s="194"/>
    </row>
    <row r="6" spans="2:92" ht="18.75" customHeight="1" x14ac:dyDescent="0.2">
      <c r="B6" s="285" t="s">
        <v>180</v>
      </c>
      <c r="C6" s="284" t="s">
        <v>181</v>
      </c>
      <c r="D6" s="285" t="s">
        <v>180</v>
      </c>
      <c r="E6" s="284" t="s">
        <v>181</v>
      </c>
      <c r="F6" s="291"/>
      <c r="G6" s="291"/>
      <c r="AJ6" s="194"/>
    </row>
    <row r="7" spans="2:92" ht="18.75" customHeight="1" x14ac:dyDescent="0.2">
      <c r="B7" s="283" t="s">
        <v>196</v>
      </c>
      <c r="C7" s="277" t="s">
        <v>198</v>
      </c>
      <c r="D7" s="283" t="s">
        <v>1167</v>
      </c>
      <c r="E7" s="277" t="s">
        <v>198</v>
      </c>
      <c r="F7" s="291"/>
      <c r="G7" s="291"/>
      <c r="H7" s="180"/>
      <c r="I7" s="276"/>
      <c r="K7" s="275"/>
      <c r="L7" s="275"/>
      <c r="AJ7" s="194"/>
    </row>
    <row r="8" spans="2:92" ht="25.5" x14ac:dyDescent="0.2">
      <c r="B8" s="282" t="s">
        <v>1166</v>
      </c>
      <c r="C8" s="277" t="s">
        <v>182</v>
      </c>
      <c r="D8" s="282" t="s">
        <v>1165</v>
      </c>
      <c r="E8" s="277" t="s">
        <v>182</v>
      </c>
      <c r="F8" s="291"/>
      <c r="G8" s="291"/>
      <c r="I8" s="276"/>
      <c r="J8" s="281"/>
      <c r="K8" s="275"/>
      <c r="L8" s="275"/>
      <c r="AJ8" s="280"/>
    </row>
    <row r="9" spans="2:92" ht="25.5" x14ac:dyDescent="0.2">
      <c r="B9" s="279" t="s">
        <v>1164</v>
      </c>
      <c r="C9" s="277" t="s">
        <v>183</v>
      </c>
      <c r="D9" s="279" t="s">
        <v>1163</v>
      </c>
      <c r="E9" s="277" t="s">
        <v>183</v>
      </c>
      <c r="F9" s="291"/>
      <c r="G9" s="291"/>
      <c r="I9" s="276"/>
      <c r="J9" s="276"/>
      <c r="K9" s="275"/>
      <c r="L9" s="275"/>
      <c r="AJ9" s="270"/>
    </row>
    <row r="10" spans="2:92" ht="15" x14ac:dyDescent="0.2">
      <c r="B10" s="278" t="s">
        <v>195</v>
      </c>
      <c r="C10" s="277" t="s">
        <v>184</v>
      </c>
      <c r="D10" s="278" t="s">
        <v>1162</v>
      </c>
      <c r="E10" s="277" t="s">
        <v>184</v>
      </c>
      <c r="F10" s="291"/>
      <c r="G10" s="291"/>
      <c r="I10" s="276"/>
      <c r="K10" s="275"/>
      <c r="L10" s="275"/>
      <c r="AJ10" s="270"/>
    </row>
    <row r="11" spans="2:92" ht="15.75" thickBot="1" x14ac:dyDescent="0.25">
      <c r="B11" s="274" t="s">
        <v>185</v>
      </c>
      <c r="C11" s="272" t="s">
        <v>186</v>
      </c>
      <c r="D11" s="273" t="s">
        <v>1161</v>
      </c>
      <c r="E11" s="272" t="s">
        <v>186</v>
      </c>
      <c r="F11" s="291"/>
      <c r="G11" s="291"/>
      <c r="AJ11" s="270"/>
    </row>
    <row r="12" spans="2:92" ht="15.75" thickBot="1" x14ac:dyDescent="0.25">
      <c r="D12" s="271"/>
      <c r="E12" s="271"/>
      <c r="F12" s="271"/>
      <c r="G12" s="271"/>
      <c r="H12" s="271"/>
      <c r="AJ12" s="270"/>
    </row>
    <row r="13" spans="2:92" ht="21" customHeight="1" thickBot="1" x14ac:dyDescent="0.25">
      <c r="I13" s="269"/>
      <c r="J13" s="1425" t="s">
        <v>199</v>
      </c>
      <c r="K13" s="1426"/>
      <c r="L13" s="1426"/>
      <c r="M13" s="1426"/>
      <c r="N13" s="1426"/>
      <c r="O13" s="1426"/>
      <c r="P13" s="1426"/>
      <c r="Q13" s="1427"/>
      <c r="R13" s="1427"/>
      <c r="S13" s="1427"/>
      <c r="T13" s="1427"/>
      <c r="U13" s="1427"/>
      <c r="V13" s="1427"/>
      <c r="W13" s="1426"/>
      <c r="X13" s="1427"/>
      <c r="Y13" s="1427"/>
      <c r="Z13" s="1427"/>
      <c r="AA13" s="1427"/>
      <c r="AB13" s="1427"/>
      <c r="AC13" s="1427"/>
      <c r="AD13" s="1427"/>
      <c r="AE13" s="1427"/>
      <c r="AF13" s="1427"/>
      <c r="AG13" s="1427"/>
      <c r="AH13" s="1427"/>
      <c r="AI13" s="1427"/>
      <c r="AJ13" s="1428"/>
      <c r="AL13" s="1405" t="s">
        <v>199</v>
      </c>
      <c r="AM13" s="1406"/>
      <c r="AN13" s="1406"/>
      <c r="AO13" s="1406"/>
      <c r="AP13" s="1406"/>
      <c r="AQ13" s="1406"/>
      <c r="AR13" s="1406"/>
      <c r="AS13" s="1406"/>
      <c r="AT13" s="1406"/>
      <c r="AU13" s="1406"/>
      <c r="AV13" s="1406"/>
      <c r="AW13" s="1406"/>
      <c r="AX13" s="1407"/>
      <c r="AZ13" s="1405" t="s">
        <v>200</v>
      </c>
      <c r="BA13" s="1406"/>
      <c r="BB13" s="1406"/>
      <c r="BC13" s="1406"/>
      <c r="BD13" s="1406"/>
      <c r="BE13" s="1406"/>
      <c r="BF13" s="1406"/>
      <c r="BG13" s="1406"/>
      <c r="BH13" s="1406"/>
      <c r="BI13" s="1406"/>
      <c r="BJ13" s="1406"/>
      <c r="BK13" s="1406"/>
      <c r="BL13" s="1407"/>
      <c r="BN13" s="1405" t="s">
        <v>201</v>
      </c>
      <c r="BO13" s="1406"/>
      <c r="BP13" s="1406"/>
      <c r="BQ13" s="1406"/>
      <c r="BR13" s="1406"/>
      <c r="BS13" s="1406"/>
      <c r="BT13" s="1406"/>
      <c r="BU13" s="1406"/>
      <c r="BV13" s="1406"/>
      <c r="BW13" s="1406"/>
      <c r="BX13" s="1406"/>
      <c r="BY13" s="1406"/>
      <c r="BZ13" s="1407"/>
      <c r="CB13" s="1405" t="s">
        <v>202</v>
      </c>
      <c r="CC13" s="1406"/>
      <c r="CD13" s="1406"/>
      <c r="CE13" s="1406"/>
      <c r="CF13" s="1406"/>
      <c r="CG13" s="1406"/>
      <c r="CH13" s="1406"/>
      <c r="CI13" s="1406"/>
      <c r="CJ13" s="1406"/>
      <c r="CK13" s="1406"/>
      <c r="CL13" s="1406"/>
      <c r="CM13" s="1406"/>
      <c r="CN13" s="1407"/>
    </row>
    <row r="14" spans="2:92" s="259" customFormat="1" ht="59.25" customHeight="1" thickBot="1" x14ac:dyDescent="0.3">
      <c r="B14" s="268" t="s">
        <v>203</v>
      </c>
      <c r="C14" s="268" t="s">
        <v>205</v>
      </c>
      <c r="D14" s="268" t="s">
        <v>258</v>
      </c>
      <c r="E14" s="268" t="s">
        <v>206</v>
      </c>
      <c r="F14" s="292" t="s">
        <v>255</v>
      </c>
      <c r="G14" s="292" t="s">
        <v>207</v>
      </c>
      <c r="H14" s="267" t="s">
        <v>0</v>
      </c>
      <c r="I14" s="266"/>
      <c r="J14" s="264" t="s">
        <v>211</v>
      </c>
      <c r="K14" s="1401" t="s">
        <v>1160</v>
      </c>
      <c r="L14" s="1402"/>
      <c r="M14" s="1403" t="s">
        <v>210</v>
      </c>
      <c r="N14" s="1404"/>
      <c r="O14" s="1404"/>
      <c r="P14" s="265"/>
      <c r="Q14" s="298" t="s">
        <v>212</v>
      </c>
      <c r="R14" s="1397" t="s">
        <v>1160</v>
      </c>
      <c r="S14" s="1398"/>
      <c r="T14" s="1394" t="s">
        <v>210</v>
      </c>
      <c r="U14" s="1395"/>
      <c r="V14" s="1395"/>
      <c r="W14" s="265"/>
      <c r="X14" s="301" t="s">
        <v>213</v>
      </c>
      <c r="Y14" s="1429" t="s">
        <v>1160</v>
      </c>
      <c r="Z14" s="1430"/>
      <c r="AA14" s="1394" t="s">
        <v>210</v>
      </c>
      <c r="AB14" s="1395"/>
      <c r="AC14" s="1396"/>
      <c r="AD14" s="265"/>
      <c r="AE14" s="264" t="s">
        <v>214</v>
      </c>
      <c r="AF14" s="1401" t="s">
        <v>1160</v>
      </c>
      <c r="AG14" s="1431"/>
      <c r="AH14" s="1408" t="s">
        <v>210</v>
      </c>
      <c r="AI14" s="1404"/>
      <c r="AJ14" s="263" t="s">
        <v>215</v>
      </c>
      <c r="AK14" s="262"/>
      <c r="AL14" s="260"/>
      <c r="AM14" s="260"/>
      <c r="AN14" s="261"/>
      <c r="AO14" s="260"/>
      <c r="AP14" s="260"/>
      <c r="AQ14" s="261"/>
      <c r="AR14" s="260"/>
      <c r="AS14" s="260"/>
      <c r="AT14" s="261"/>
      <c r="AU14" s="260"/>
      <c r="AV14" s="260"/>
      <c r="AW14" s="261"/>
      <c r="AX14" s="260"/>
      <c r="AZ14" s="260"/>
      <c r="BA14" s="260"/>
      <c r="BB14" s="261"/>
      <c r="BC14" s="260"/>
      <c r="BD14" s="260"/>
      <c r="BE14" s="261"/>
      <c r="BF14" s="260"/>
      <c r="BG14" s="260"/>
      <c r="BH14" s="261"/>
      <c r="BI14" s="260"/>
      <c r="BJ14" s="260"/>
      <c r="BK14" s="261"/>
      <c r="BL14" s="260"/>
      <c r="BN14" s="260"/>
      <c r="BO14" s="260"/>
      <c r="BP14" s="261"/>
      <c r="BQ14" s="260"/>
      <c r="BR14" s="260"/>
      <c r="BS14" s="261"/>
      <c r="BT14" s="260"/>
      <c r="BU14" s="260"/>
      <c r="BV14" s="261"/>
      <c r="BW14" s="260"/>
      <c r="BX14" s="260"/>
      <c r="BY14" s="261"/>
      <c r="BZ14" s="260"/>
      <c r="CB14" s="260"/>
      <c r="CC14" s="260"/>
      <c r="CD14" s="261"/>
      <c r="CE14" s="260"/>
      <c r="CF14" s="260"/>
      <c r="CG14" s="261"/>
      <c r="CH14" s="260"/>
      <c r="CI14" s="260"/>
      <c r="CJ14" s="261"/>
      <c r="CK14" s="260"/>
      <c r="CL14" s="260"/>
      <c r="CM14" s="261"/>
      <c r="CN14" s="260"/>
    </row>
    <row r="15" spans="2:92" ht="69.75" customHeight="1" thickBot="1" x14ac:dyDescent="0.25">
      <c r="B15" s="1361" t="s">
        <v>1151</v>
      </c>
      <c r="C15" s="1445" t="s">
        <v>345</v>
      </c>
      <c r="D15" s="1423" t="s">
        <v>1152</v>
      </c>
      <c r="E15" s="1364" t="s">
        <v>13</v>
      </c>
      <c r="F15" s="1444" t="s">
        <v>330</v>
      </c>
      <c r="G15" s="297" t="str">
        <f>+'Plan de Accion Proyectos estrat'!K9</f>
        <v>Paquetes de recobros y reclamaciones del rezago entregados para pago certificados por la Firma Interventora / Grupo supervisor de la ADRES o quien haga sus veces</v>
      </c>
      <c r="H15" s="1446" t="s">
        <v>219</v>
      </c>
      <c r="I15" s="207"/>
      <c r="J15" s="258">
        <f>+'Plan de Accion Proyectos estrat'!AJ9</f>
        <v>0</v>
      </c>
      <c r="K15" s="254">
        <f>+'Plan de Accion Proyectos estrat'!BS9</f>
        <v>0</v>
      </c>
      <c r="L15" s="254">
        <f>IF(K15&gt;100%,100%,K15)</f>
        <v>0</v>
      </c>
      <c r="M15" s="254">
        <f>+'Plan de Accion Proyectos estrat'!AL9</f>
        <v>0</v>
      </c>
      <c r="N15" s="254">
        <f>IF(M15&gt;100%,100%,M15)</f>
        <v>0</v>
      </c>
      <c r="O15" s="254">
        <f>+N15</f>
        <v>0</v>
      </c>
      <c r="P15" s="216"/>
      <c r="Q15" s="258">
        <f>+'Plan de Accion Proyectos estrat'!AT9</f>
        <v>0</v>
      </c>
      <c r="R15" s="254">
        <f>+'Plan de Accion Proyectos estrat'!BU9</f>
        <v>0</v>
      </c>
      <c r="S15" s="257">
        <f>IF(R15&gt;100%,100%,R15)</f>
        <v>0</v>
      </c>
      <c r="T15" s="254">
        <f>+'Plan de Accion Proyectos estrat'!AV9</f>
        <v>0</v>
      </c>
      <c r="U15" s="254">
        <f>IF(T15&gt;100%,100%,T15)</f>
        <v>0</v>
      </c>
      <c r="V15" s="256">
        <f>+U15</f>
        <v>0</v>
      </c>
      <c r="W15" s="216"/>
      <c r="X15" s="258">
        <f>+'Plan de Accion Proyectos estrat'!BD9</f>
        <v>0</v>
      </c>
      <c r="Y15" s="254">
        <f>+'Plan de Accion Proyectos estrat'!BW9</f>
        <v>0</v>
      </c>
      <c r="Z15" s="257">
        <f>IF(Y15&gt;100%,100%,Y15)</f>
        <v>0</v>
      </c>
      <c r="AA15" s="302">
        <f>+'Plan de Accion Proyectos estrat'!BF9</f>
        <v>0</v>
      </c>
      <c r="AB15" s="302">
        <f>IF(AA15&gt;100%,100%,AA15)</f>
        <v>0</v>
      </c>
      <c r="AC15" s="303">
        <f>+AB15</f>
        <v>0</v>
      </c>
      <c r="AD15" s="216"/>
      <c r="AE15" s="258">
        <f>+'Plan de Accion Proyectos estrat'!AT9</f>
        <v>0</v>
      </c>
      <c r="AF15" s="254">
        <f>+'Plan de Accion Proyectos estrat'!BY9</f>
        <v>0</v>
      </c>
      <c r="AG15" s="257">
        <f>IF(AF15&gt;100%,100%,AF15)</f>
        <v>0</v>
      </c>
      <c r="AH15" s="254">
        <f>+'Plan de Accion Proyectos estrat'!BP9</f>
        <v>0</v>
      </c>
      <c r="AI15" s="256">
        <f>IF(AH15&gt;100%,100%,AH15)</f>
        <v>0</v>
      </c>
      <c r="AJ15" s="208"/>
      <c r="AL15" s="255"/>
      <c r="AM15" s="206"/>
      <c r="AN15" s="207"/>
      <c r="AO15" s="255"/>
      <c r="AP15" s="206"/>
      <c r="AQ15" s="207"/>
      <c r="AR15" s="255"/>
      <c r="AS15" s="206"/>
      <c r="AT15" s="207"/>
      <c r="AU15" s="255"/>
      <c r="AV15" s="206"/>
      <c r="AW15" s="205"/>
      <c r="AX15" s="204"/>
      <c r="AZ15" s="255"/>
      <c r="BA15" s="206"/>
      <c r="BB15" s="207"/>
      <c r="BC15" s="255"/>
      <c r="BD15" s="206"/>
      <c r="BE15" s="207"/>
      <c r="BF15" s="255"/>
      <c r="BG15" s="206"/>
      <c r="BH15" s="207"/>
      <c r="BI15" s="255"/>
      <c r="BJ15" s="206"/>
      <c r="BK15" s="205"/>
      <c r="BL15" s="204"/>
      <c r="BN15" s="255"/>
      <c r="BO15" s="206"/>
      <c r="BP15" s="207"/>
      <c r="BQ15" s="255"/>
      <c r="BR15" s="206"/>
      <c r="BS15" s="207"/>
      <c r="BT15" s="255"/>
      <c r="BU15" s="206"/>
      <c r="BV15" s="207"/>
      <c r="BW15" s="255"/>
      <c r="BX15" s="206"/>
      <c r="BY15" s="205"/>
      <c r="BZ15" s="204"/>
      <c r="CB15" s="255"/>
      <c r="CC15" s="206"/>
      <c r="CD15" s="207"/>
      <c r="CE15" s="255"/>
      <c r="CF15" s="206"/>
      <c r="CG15" s="207"/>
      <c r="CH15" s="255"/>
      <c r="CI15" s="206"/>
      <c r="CJ15" s="207"/>
      <c r="CK15" s="255"/>
      <c r="CL15" s="206"/>
      <c r="CM15" s="205"/>
      <c r="CN15" s="204"/>
    </row>
    <row r="16" spans="2:92" ht="99.75" x14ac:dyDescent="0.2">
      <c r="B16" s="1362"/>
      <c r="C16" s="1314"/>
      <c r="D16" s="1424"/>
      <c r="E16" s="1320"/>
      <c r="F16" s="1317"/>
      <c r="G16" s="322" t="str">
        <f>+'Plan de Accion Proyectos estrat'!K14</f>
        <v>Apoyos técnicos enviados a la OAJ en recobros y reclamaciones una vez son entregados los reportes a la DOP por la Dirección de Tecnología de la Información</v>
      </c>
      <c r="H16" s="1447"/>
      <c r="I16" s="207"/>
      <c r="J16" s="310">
        <f>+'Plan de Accion Proyectos estrat'!AJ14</f>
        <v>0.68888888888888888</v>
      </c>
      <c r="K16" s="483">
        <f>+'Plan de Accion Proyectos estrat'!BS14</f>
        <v>0.68888888888888888</v>
      </c>
      <c r="L16" s="483">
        <f>IF(K16&gt;100%,100%,K16)</f>
        <v>0.68888888888888888</v>
      </c>
      <c r="M16" s="483">
        <f>+'Plan de Accion Proyectos estrat'!AL14</f>
        <v>0.17222222222222222</v>
      </c>
      <c r="N16" s="483">
        <f>IF(M16&gt;100%,100%,M16)</f>
        <v>0.17222222222222222</v>
      </c>
      <c r="O16" s="483">
        <f>+N16</f>
        <v>0.17222222222222222</v>
      </c>
      <c r="P16" s="216"/>
      <c r="Q16" s="310">
        <f>+'Plan de Accion Proyectos estrat'!AT14</f>
        <v>1</v>
      </c>
      <c r="R16" s="311">
        <f>+'Plan de Accion Proyectos estrat'!BU14</f>
        <v>1</v>
      </c>
      <c r="S16" s="215">
        <f>IF(R16&gt;100%,100%,R16)</f>
        <v>1</v>
      </c>
      <c r="T16" s="311">
        <f>+'Plan de Accion Proyectos estrat'!AV14</f>
        <v>0.42222222222222222</v>
      </c>
      <c r="U16" s="311">
        <f>IF(T16&gt;100%,100%,T16)</f>
        <v>0.42222222222222222</v>
      </c>
      <c r="V16" s="214">
        <f>+U16</f>
        <v>0.42222222222222222</v>
      </c>
      <c r="W16" s="216"/>
      <c r="X16" s="310">
        <f>+'Plan de Accion Proyectos estrat'!BD14</f>
        <v>1</v>
      </c>
      <c r="Y16" s="311">
        <f>+'Plan de Accion Proyectos estrat'!BW14</f>
        <v>1</v>
      </c>
      <c r="Z16" s="215">
        <f>IF(Y16&gt;100%,100%,Y16)</f>
        <v>1</v>
      </c>
      <c r="AA16" s="296">
        <f>+'Plan de Accion Proyectos estrat'!BF14</f>
        <v>0.67222222222222228</v>
      </c>
      <c r="AB16" s="296">
        <f>IF(AA16&gt;100%,100%,AA16)</f>
        <v>0.67222222222222228</v>
      </c>
      <c r="AC16" s="309">
        <f>+AB16</f>
        <v>0.67222222222222228</v>
      </c>
      <c r="AD16" s="216"/>
      <c r="AE16" s="310">
        <f>+'Plan de Accion Proyectos estrat'!AT14</f>
        <v>1</v>
      </c>
      <c r="AF16" s="311">
        <f>+'Plan de Accion Proyectos estrat'!BY14</f>
        <v>0</v>
      </c>
      <c r="AG16" s="215">
        <f>IF(AF16&gt;100%,100%,AF16)</f>
        <v>0</v>
      </c>
      <c r="AH16" s="311">
        <f>+'Plan de Accion Proyectos estrat'!BP14</f>
        <v>0.67222222222222228</v>
      </c>
      <c r="AI16" s="214">
        <f>IF(AH16&gt;100%,100%,AH16)</f>
        <v>0.67222222222222228</v>
      </c>
      <c r="AJ16" s="1432"/>
      <c r="AL16" s="1412"/>
      <c r="AM16" s="1409"/>
      <c r="AN16" s="207"/>
      <c r="AO16" s="1418"/>
      <c r="AP16" s="1409"/>
      <c r="AQ16" s="207"/>
      <c r="AR16" s="1412"/>
      <c r="AS16" s="1409"/>
      <c r="AT16" s="207"/>
      <c r="AU16" s="1412"/>
      <c r="AV16" s="1409"/>
      <c r="AW16" s="205"/>
      <c r="AX16" s="1415"/>
      <c r="AZ16" s="1412"/>
      <c r="BA16" s="1409"/>
      <c r="BB16" s="207"/>
      <c r="BC16" s="1418"/>
      <c r="BD16" s="1409"/>
      <c r="BE16" s="207"/>
      <c r="BF16" s="1412"/>
      <c r="BG16" s="1409"/>
      <c r="BH16" s="207"/>
      <c r="BI16" s="1412"/>
      <c r="BJ16" s="1409"/>
      <c r="BK16" s="205"/>
      <c r="BL16" s="1415"/>
      <c r="BN16" s="1412"/>
      <c r="BO16" s="1409"/>
      <c r="BP16" s="207"/>
      <c r="BQ16" s="1418"/>
      <c r="BR16" s="1409"/>
      <c r="BS16" s="207"/>
      <c r="BT16" s="1412"/>
      <c r="BU16" s="1409"/>
      <c r="BV16" s="207"/>
      <c r="BW16" s="1412"/>
      <c r="BX16" s="1409"/>
      <c r="BY16" s="205"/>
      <c r="BZ16" s="1415"/>
      <c r="CB16" s="1412"/>
      <c r="CC16" s="1409"/>
      <c r="CD16" s="207"/>
      <c r="CE16" s="1418"/>
      <c r="CF16" s="1409"/>
      <c r="CG16" s="207"/>
      <c r="CH16" s="1412"/>
      <c r="CI16" s="1409"/>
      <c r="CJ16" s="207"/>
      <c r="CK16" s="1412"/>
      <c r="CL16" s="1409"/>
      <c r="CM16" s="205"/>
      <c r="CN16" s="1415"/>
    </row>
    <row r="17" spans="2:92" ht="62.25" customHeight="1" x14ac:dyDescent="0.2">
      <c r="B17" s="1362"/>
      <c r="C17" s="1329"/>
      <c r="D17" s="1424"/>
      <c r="E17" s="1321"/>
      <c r="F17" s="1318"/>
      <c r="G17" s="295" t="str">
        <f>+'Plan de Accion Proyectos estrat'!K15</f>
        <v>Informe de alternativas para optimizar y sistematizar el proceso de auditoria integral</v>
      </c>
      <c r="H17" s="1447"/>
      <c r="I17" s="207"/>
      <c r="J17" s="310">
        <f>+'Plan de Accion Proyectos estrat'!AJ15</f>
        <v>0.43058492742551568</v>
      </c>
      <c r="K17" s="483">
        <f>+'Plan de Accion Proyectos estrat'!BS15</f>
        <v>0.43058492742551568</v>
      </c>
      <c r="L17" s="483">
        <f>IF(K17&gt;100%,100%,K17)</f>
        <v>0.43058492742551568</v>
      </c>
      <c r="M17" s="483">
        <f>+'Plan de Accion Proyectos estrat'!AL15</f>
        <v>7.8288168622821036E-2</v>
      </c>
      <c r="N17" s="483">
        <f>IF(M17&gt;100%,100%,M17)</f>
        <v>7.8288168622821036E-2</v>
      </c>
      <c r="O17" s="483">
        <f>+N17</f>
        <v>7.8288168622821036E-2</v>
      </c>
      <c r="P17" s="216"/>
      <c r="Q17" s="310">
        <f>+'Plan de Accion Proyectos estrat'!AT15</f>
        <v>1.4352830909090908</v>
      </c>
      <c r="R17" s="311">
        <f>+'Plan de Accion Proyectos estrat'!BU15</f>
        <v>1.4352830909090908</v>
      </c>
      <c r="S17" s="215">
        <f>IF(R17&gt;100%,100%,R17)</f>
        <v>1</v>
      </c>
      <c r="T17" s="311">
        <f>+'Plan de Accion Proyectos estrat'!AV15</f>
        <v>0.4697290115980276</v>
      </c>
      <c r="U17" s="311">
        <f>IF(T17&gt;100%,100%,T17)</f>
        <v>0.4697290115980276</v>
      </c>
      <c r="V17" s="214">
        <f>+U17</f>
        <v>0.4697290115980276</v>
      </c>
      <c r="W17" s="216">
        <v>1</v>
      </c>
      <c r="X17" s="310">
        <f>+'Plan de Accion Proyectos estrat'!BD15</f>
        <v>1.4352830909090908</v>
      </c>
      <c r="Y17" s="311">
        <f>+'Plan de Accion Proyectos estrat'!BW15</f>
        <v>1.4352830909090908</v>
      </c>
      <c r="Z17" s="215">
        <f>IF(Y17&gt;100%,100%,Y17)</f>
        <v>1</v>
      </c>
      <c r="AA17" s="296">
        <f>+'Plan de Accion Proyectos estrat'!BF15</f>
        <v>0.86116985457323414</v>
      </c>
      <c r="AB17" s="296">
        <f>IF(AA17&gt;100%,100%,AA17)</f>
        <v>0.86116985457323414</v>
      </c>
      <c r="AC17" s="309">
        <f>+AB17</f>
        <v>0.86116985457323414</v>
      </c>
      <c r="AD17" s="216">
        <v>1</v>
      </c>
      <c r="AE17" s="310">
        <f>+'Plan de Accion Proyectos estrat'!AT15</f>
        <v>1.4352830909090908</v>
      </c>
      <c r="AF17" s="311">
        <f>+'Plan de Accion Proyectos estrat'!BY15</f>
        <v>0</v>
      </c>
      <c r="AG17" s="215">
        <f>IF(AF17&gt;100%,100%,AF17)</f>
        <v>0</v>
      </c>
      <c r="AH17" s="311">
        <f>+'Plan de Accion Proyectos estrat'!BP15</f>
        <v>0.86116985457323414</v>
      </c>
      <c r="AI17" s="214">
        <f>IF(AH17&gt;100%,100%,AH17)</f>
        <v>0.86116985457323414</v>
      </c>
      <c r="AJ17" s="1433"/>
      <c r="AL17" s="1413"/>
      <c r="AM17" s="1410"/>
      <c r="AN17" s="207"/>
      <c r="AO17" s="1419"/>
      <c r="AP17" s="1410"/>
      <c r="AQ17" s="207"/>
      <c r="AR17" s="1413"/>
      <c r="AS17" s="1410"/>
      <c r="AT17" s="207"/>
      <c r="AU17" s="1413"/>
      <c r="AV17" s="1410"/>
      <c r="AW17" s="205"/>
      <c r="AX17" s="1416"/>
      <c r="AZ17" s="1413"/>
      <c r="BA17" s="1410"/>
      <c r="BB17" s="207"/>
      <c r="BC17" s="1419"/>
      <c r="BD17" s="1410"/>
      <c r="BE17" s="207"/>
      <c r="BF17" s="1413"/>
      <c r="BG17" s="1410"/>
      <c r="BH17" s="207"/>
      <c r="BI17" s="1413"/>
      <c r="BJ17" s="1410"/>
      <c r="BK17" s="205"/>
      <c r="BL17" s="1416"/>
      <c r="BN17" s="1413"/>
      <c r="BO17" s="1410"/>
      <c r="BP17" s="207"/>
      <c r="BQ17" s="1419"/>
      <c r="BR17" s="1410"/>
      <c r="BS17" s="207"/>
      <c r="BT17" s="1413"/>
      <c r="BU17" s="1410"/>
      <c r="BV17" s="207"/>
      <c r="BW17" s="1413"/>
      <c r="BX17" s="1410"/>
      <c r="BY17" s="205"/>
      <c r="BZ17" s="1416"/>
      <c r="CB17" s="1413"/>
      <c r="CC17" s="1410"/>
      <c r="CD17" s="207"/>
      <c r="CE17" s="1419"/>
      <c r="CF17" s="1410"/>
      <c r="CG17" s="207"/>
      <c r="CH17" s="1413"/>
      <c r="CI17" s="1410"/>
      <c r="CJ17" s="207"/>
      <c r="CK17" s="1413"/>
      <c r="CL17" s="1410"/>
      <c r="CM17" s="205"/>
      <c r="CN17" s="1416"/>
    </row>
    <row r="18" spans="2:92" ht="156.75" customHeight="1" x14ac:dyDescent="0.2">
      <c r="B18" s="1362"/>
      <c r="C18" s="1354" t="s">
        <v>1171</v>
      </c>
      <c r="D18" s="1354" t="s">
        <v>1173</v>
      </c>
      <c r="E18" s="1319" t="s">
        <v>1172</v>
      </c>
      <c r="F18" s="1355" t="s">
        <v>330</v>
      </c>
      <c r="G18" s="293" t="str">
        <f>+'Plan de Accion Proyectos estrat'!K21</f>
        <v xml:space="preserve">Estadísticas de registros de las auditorias preventivas por entidad con errores </v>
      </c>
      <c r="H18" s="1447"/>
      <c r="I18" s="207"/>
      <c r="J18" s="1302">
        <f>+'Plan de Accion Proyectos estrat'!AJ21</f>
        <v>0.63703703703703707</v>
      </c>
      <c r="K18" s="1290">
        <f>+'Plan de Accion Proyectos estrat'!BS21</f>
        <v>0.63703703703703707</v>
      </c>
      <c r="L18" s="1290">
        <f>IF(K18&gt;100%,100%,K18)</f>
        <v>0.63703703703703707</v>
      </c>
      <c r="M18" s="1290">
        <f>+'Plan de Accion Proyectos estrat'!AL21</f>
        <v>0.15925925925925927</v>
      </c>
      <c r="N18" s="1290">
        <f>IF(M18&gt;100%,100%,M18)</f>
        <v>0.15925925925925927</v>
      </c>
      <c r="O18" s="1290">
        <f>+N18</f>
        <v>0.15925925925925927</v>
      </c>
      <c r="P18" s="216"/>
      <c r="Q18" s="1302">
        <f>+'Plan de Accion Proyectos estrat'!AT21</f>
        <v>1</v>
      </c>
      <c r="R18" s="1336">
        <f>+'Plan de Accion Proyectos estrat'!BU21</f>
        <v>1</v>
      </c>
      <c r="S18" s="1336">
        <f>IF(R18&gt;100%,100%,R18)</f>
        <v>1</v>
      </c>
      <c r="T18" s="1336">
        <f>+'Plan de Accion Proyectos estrat'!AV21</f>
        <v>0.40925925925925927</v>
      </c>
      <c r="U18" s="1336">
        <f>IF(T18&gt;100%,100%,T18)</f>
        <v>0.40925925925925927</v>
      </c>
      <c r="V18" s="1338">
        <f>+U18</f>
        <v>0.40925925925925927</v>
      </c>
      <c r="W18" s="216"/>
      <c r="X18" s="1302">
        <f>+'Plan de Accion Proyectos estrat'!BD21</f>
        <v>1</v>
      </c>
      <c r="Y18" s="1336">
        <f>+'Plan de Accion Proyectos estrat'!BW21</f>
        <v>1</v>
      </c>
      <c r="Z18" s="1336">
        <f>IF(Y18&gt;100%,100%,Y18)</f>
        <v>1</v>
      </c>
      <c r="AA18" s="1366">
        <f>+'Plan de Accion Proyectos estrat'!BF21</f>
        <v>0.65925925925925921</v>
      </c>
      <c r="AB18" s="1366">
        <f>IF(AA18&gt;100%,100%,AA18)</f>
        <v>0.65925925925925921</v>
      </c>
      <c r="AC18" s="1340">
        <f>+AB18</f>
        <v>0.65925925925925921</v>
      </c>
      <c r="AD18" s="216"/>
      <c r="AE18" s="1302">
        <f>+'Plan de Accion Proyectos estrat'!AT21</f>
        <v>1</v>
      </c>
      <c r="AF18" s="1336">
        <f>+'Plan de Accion Proyectos estrat'!BY21</f>
        <v>0</v>
      </c>
      <c r="AG18" s="1336">
        <f>IF(AF18&gt;100%,100%,AF18)</f>
        <v>0</v>
      </c>
      <c r="AH18" s="1336">
        <f>+'Plan de Accion Proyectos estrat'!BP21</f>
        <v>0.65925925925925921</v>
      </c>
      <c r="AI18" s="1338">
        <f>IF(AH18&gt;100%,100%,AH18)</f>
        <v>0.65925925925925921</v>
      </c>
      <c r="AJ18" s="1433"/>
      <c r="AL18" s="1413"/>
      <c r="AM18" s="1410"/>
      <c r="AN18" s="207"/>
      <c r="AO18" s="1419"/>
      <c r="AP18" s="1410"/>
      <c r="AQ18" s="207"/>
      <c r="AR18" s="1413"/>
      <c r="AS18" s="1410"/>
      <c r="AT18" s="207"/>
      <c r="AU18" s="1413"/>
      <c r="AV18" s="1410"/>
      <c r="AW18" s="205"/>
      <c r="AX18" s="1416"/>
      <c r="AZ18" s="1413"/>
      <c r="BA18" s="1410"/>
      <c r="BB18" s="207"/>
      <c r="BC18" s="1419"/>
      <c r="BD18" s="1410"/>
      <c r="BE18" s="207"/>
      <c r="BF18" s="1413"/>
      <c r="BG18" s="1410"/>
      <c r="BH18" s="207"/>
      <c r="BI18" s="1413"/>
      <c r="BJ18" s="1410"/>
      <c r="BK18" s="205"/>
      <c r="BL18" s="1416"/>
      <c r="BN18" s="1413"/>
      <c r="BO18" s="1410"/>
      <c r="BP18" s="207"/>
      <c r="BQ18" s="1419"/>
      <c r="BR18" s="1410"/>
      <c r="BS18" s="207"/>
      <c r="BT18" s="1413"/>
      <c r="BU18" s="1410"/>
      <c r="BV18" s="207"/>
      <c r="BW18" s="1413"/>
      <c r="BX18" s="1410"/>
      <c r="BY18" s="205"/>
      <c r="BZ18" s="1416"/>
      <c r="CB18" s="1413"/>
      <c r="CC18" s="1410"/>
      <c r="CD18" s="207"/>
      <c r="CE18" s="1419"/>
      <c r="CF18" s="1410"/>
      <c r="CG18" s="207"/>
      <c r="CH18" s="1413"/>
      <c r="CI18" s="1410"/>
      <c r="CJ18" s="207"/>
      <c r="CK18" s="1413"/>
      <c r="CL18" s="1410"/>
      <c r="CM18" s="205"/>
      <c r="CN18" s="1416"/>
    </row>
    <row r="19" spans="2:92" ht="57" x14ac:dyDescent="0.2">
      <c r="B19" s="1362"/>
      <c r="C19" s="1311"/>
      <c r="D19" s="1311"/>
      <c r="E19" s="1320"/>
      <c r="F19" s="1355"/>
      <c r="G19" s="293" t="str">
        <f>+'Plan de Accion Proyectos estrat'!K22</f>
        <v>Informes de auditorias correctivas según resolución 2199 de 2013 y 4894 de 2015</v>
      </c>
      <c r="H19" s="1447"/>
      <c r="I19" s="207"/>
      <c r="J19" s="1344"/>
      <c r="K19" s="1291"/>
      <c r="L19" s="1291"/>
      <c r="M19" s="1291"/>
      <c r="N19" s="1291"/>
      <c r="O19" s="1291"/>
      <c r="P19" s="216"/>
      <c r="Q19" s="1344"/>
      <c r="R19" s="1343"/>
      <c r="S19" s="1343"/>
      <c r="T19" s="1343"/>
      <c r="U19" s="1343"/>
      <c r="V19" s="1369"/>
      <c r="W19" s="216"/>
      <c r="X19" s="1344"/>
      <c r="Y19" s="1343"/>
      <c r="Z19" s="1343"/>
      <c r="AA19" s="1367"/>
      <c r="AB19" s="1367"/>
      <c r="AC19" s="1341"/>
      <c r="AD19" s="216"/>
      <c r="AE19" s="1344"/>
      <c r="AF19" s="1343"/>
      <c r="AG19" s="1343"/>
      <c r="AH19" s="1343"/>
      <c r="AI19" s="1369"/>
      <c r="AJ19" s="1433"/>
      <c r="AL19" s="1413"/>
      <c r="AM19" s="1410"/>
      <c r="AN19" s="207"/>
      <c r="AO19" s="1419"/>
      <c r="AP19" s="1410"/>
      <c r="AQ19" s="207"/>
      <c r="AR19" s="1413"/>
      <c r="AS19" s="1410"/>
      <c r="AT19" s="207"/>
      <c r="AU19" s="1413"/>
      <c r="AV19" s="1410"/>
      <c r="AW19" s="205"/>
      <c r="AX19" s="1416"/>
      <c r="AZ19" s="1413"/>
      <c r="BA19" s="1410"/>
      <c r="BB19" s="207"/>
      <c r="BC19" s="1419"/>
      <c r="BD19" s="1410"/>
      <c r="BE19" s="207"/>
      <c r="BF19" s="1413"/>
      <c r="BG19" s="1410"/>
      <c r="BH19" s="207"/>
      <c r="BI19" s="1413"/>
      <c r="BJ19" s="1410"/>
      <c r="BK19" s="205"/>
      <c r="BL19" s="1416"/>
      <c r="BN19" s="1413"/>
      <c r="BO19" s="1410"/>
      <c r="BP19" s="207"/>
      <c r="BQ19" s="1419"/>
      <c r="BR19" s="1410"/>
      <c r="BS19" s="207"/>
      <c r="BT19" s="1413"/>
      <c r="BU19" s="1410"/>
      <c r="BV19" s="207"/>
      <c r="BW19" s="1413"/>
      <c r="BX19" s="1410"/>
      <c r="BY19" s="205"/>
      <c r="BZ19" s="1416"/>
      <c r="CB19" s="1413"/>
      <c r="CC19" s="1410"/>
      <c r="CD19" s="207"/>
      <c r="CE19" s="1419"/>
      <c r="CF19" s="1410"/>
      <c r="CG19" s="207"/>
      <c r="CH19" s="1413"/>
      <c r="CI19" s="1410"/>
      <c r="CJ19" s="207"/>
      <c r="CK19" s="1413"/>
      <c r="CL19" s="1410"/>
      <c r="CM19" s="205"/>
      <c r="CN19" s="1416"/>
    </row>
    <row r="20" spans="2:92" ht="71.25" x14ac:dyDescent="0.2">
      <c r="B20" s="1362"/>
      <c r="C20" s="1311"/>
      <c r="D20" s="1311"/>
      <c r="E20" s="1320"/>
      <c r="F20" s="1355"/>
      <c r="G20" s="293" t="str">
        <f>+'Plan de Accion Proyectos estrat'!K23</f>
        <v>Depuración de registros de BDUA de acuerdo con solicitudes del MSPS, según resolución 2199 de 2013 y 4894 de 2015</v>
      </c>
      <c r="H20" s="1447"/>
      <c r="I20" s="207"/>
      <c r="J20" s="1344"/>
      <c r="K20" s="1291"/>
      <c r="L20" s="1291"/>
      <c r="M20" s="1291"/>
      <c r="N20" s="1291"/>
      <c r="O20" s="1291"/>
      <c r="P20" s="216"/>
      <c r="Q20" s="1344"/>
      <c r="R20" s="1343"/>
      <c r="S20" s="1343"/>
      <c r="T20" s="1343"/>
      <c r="U20" s="1343"/>
      <c r="V20" s="1369"/>
      <c r="W20" s="216"/>
      <c r="X20" s="1344"/>
      <c r="Y20" s="1343"/>
      <c r="Z20" s="1343"/>
      <c r="AA20" s="1367"/>
      <c r="AB20" s="1367"/>
      <c r="AC20" s="1341"/>
      <c r="AD20" s="216"/>
      <c r="AE20" s="1344"/>
      <c r="AF20" s="1343"/>
      <c r="AG20" s="1343"/>
      <c r="AH20" s="1343"/>
      <c r="AI20" s="1369"/>
      <c r="AJ20" s="1433"/>
      <c r="AL20" s="1413"/>
      <c r="AM20" s="1410"/>
      <c r="AN20" s="207"/>
      <c r="AO20" s="1419"/>
      <c r="AP20" s="1410"/>
      <c r="AQ20" s="207"/>
      <c r="AR20" s="1413"/>
      <c r="AS20" s="1410"/>
      <c r="AT20" s="207"/>
      <c r="AU20" s="1413"/>
      <c r="AV20" s="1410"/>
      <c r="AW20" s="205"/>
      <c r="AX20" s="1416"/>
      <c r="AZ20" s="1413"/>
      <c r="BA20" s="1410"/>
      <c r="BB20" s="207"/>
      <c r="BC20" s="1419"/>
      <c r="BD20" s="1410"/>
      <c r="BE20" s="207"/>
      <c r="BF20" s="1413"/>
      <c r="BG20" s="1410"/>
      <c r="BH20" s="207"/>
      <c r="BI20" s="1413"/>
      <c r="BJ20" s="1410"/>
      <c r="BK20" s="205"/>
      <c r="BL20" s="1416"/>
      <c r="BN20" s="1413"/>
      <c r="BO20" s="1410"/>
      <c r="BP20" s="207"/>
      <c r="BQ20" s="1419"/>
      <c r="BR20" s="1410"/>
      <c r="BS20" s="207"/>
      <c r="BT20" s="1413"/>
      <c r="BU20" s="1410"/>
      <c r="BV20" s="207"/>
      <c r="BW20" s="1413"/>
      <c r="BX20" s="1410"/>
      <c r="BY20" s="205"/>
      <c r="BZ20" s="1416"/>
      <c r="CB20" s="1413"/>
      <c r="CC20" s="1410"/>
      <c r="CD20" s="207"/>
      <c r="CE20" s="1419"/>
      <c r="CF20" s="1410"/>
      <c r="CG20" s="207"/>
      <c r="CH20" s="1413"/>
      <c r="CI20" s="1410"/>
      <c r="CJ20" s="207"/>
      <c r="CK20" s="1413"/>
      <c r="CL20" s="1410"/>
      <c r="CM20" s="205"/>
      <c r="CN20" s="1416"/>
    </row>
    <row r="21" spans="2:92" ht="42.75" x14ac:dyDescent="0.2">
      <c r="B21" s="1362"/>
      <c r="C21" s="1311"/>
      <c r="D21" s="1311"/>
      <c r="E21" s="1320"/>
      <c r="F21" s="1355"/>
      <c r="G21" s="293" t="str">
        <f>+'Plan de Accion Proyectos estrat'!K24</f>
        <v>Apoyo técnico para respuestas a PQRSD relacionadas con BDUA</v>
      </c>
      <c r="H21" s="1447"/>
      <c r="I21" s="207"/>
      <c r="J21" s="1303"/>
      <c r="K21" s="1292"/>
      <c r="L21" s="1292"/>
      <c r="M21" s="1292"/>
      <c r="N21" s="1292"/>
      <c r="O21" s="1292"/>
      <c r="P21" s="216"/>
      <c r="Q21" s="1303"/>
      <c r="R21" s="1337"/>
      <c r="S21" s="1337"/>
      <c r="T21" s="1337"/>
      <c r="U21" s="1337"/>
      <c r="V21" s="1339"/>
      <c r="W21" s="216"/>
      <c r="X21" s="1303"/>
      <c r="Y21" s="1337"/>
      <c r="Z21" s="1337"/>
      <c r="AA21" s="1368"/>
      <c r="AB21" s="1368"/>
      <c r="AC21" s="1342"/>
      <c r="AD21" s="216"/>
      <c r="AE21" s="1303"/>
      <c r="AF21" s="1337"/>
      <c r="AG21" s="1337"/>
      <c r="AH21" s="1337"/>
      <c r="AI21" s="1339"/>
      <c r="AJ21" s="1433"/>
      <c r="AL21" s="1413"/>
      <c r="AM21" s="1410"/>
      <c r="AN21" s="207"/>
      <c r="AO21" s="1419"/>
      <c r="AP21" s="1410"/>
      <c r="AQ21" s="207"/>
      <c r="AR21" s="1413"/>
      <c r="AS21" s="1410"/>
      <c r="AT21" s="207"/>
      <c r="AU21" s="1413"/>
      <c r="AV21" s="1410"/>
      <c r="AW21" s="205"/>
      <c r="AX21" s="1416"/>
      <c r="AZ21" s="1413"/>
      <c r="BA21" s="1410"/>
      <c r="BB21" s="207"/>
      <c r="BC21" s="1419"/>
      <c r="BD21" s="1410"/>
      <c r="BE21" s="207"/>
      <c r="BF21" s="1413"/>
      <c r="BG21" s="1410"/>
      <c r="BH21" s="207"/>
      <c r="BI21" s="1413"/>
      <c r="BJ21" s="1410"/>
      <c r="BK21" s="205"/>
      <c r="BL21" s="1416"/>
      <c r="BN21" s="1413"/>
      <c r="BO21" s="1410"/>
      <c r="BP21" s="207"/>
      <c r="BQ21" s="1419"/>
      <c r="BR21" s="1410"/>
      <c r="BS21" s="207"/>
      <c r="BT21" s="1413"/>
      <c r="BU21" s="1410"/>
      <c r="BV21" s="207"/>
      <c r="BW21" s="1413"/>
      <c r="BX21" s="1410"/>
      <c r="BY21" s="205"/>
      <c r="BZ21" s="1416"/>
      <c r="CB21" s="1413"/>
      <c r="CC21" s="1410"/>
      <c r="CD21" s="207"/>
      <c r="CE21" s="1419"/>
      <c r="CF21" s="1410"/>
      <c r="CG21" s="207"/>
      <c r="CH21" s="1413"/>
      <c r="CI21" s="1410"/>
      <c r="CJ21" s="207"/>
      <c r="CK21" s="1413"/>
      <c r="CL21" s="1410"/>
      <c r="CM21" s="205"/>
      <c r="CN21" s="1416"/>
    </row>
    <row r="22" spans="2:92" ht="57" customHeight="1" x14ac:dyDescent="0.2">
      <c r="B22" s="1362"/>
      <c r="C22" s="1312"/>
      <c r="D22" s="1312"/>
      <c r="E22" s="1321"/>
      <c r="F22" s="1355"/>
      <c r="G22" s="322" t="str">
        <f>+'Plan de Accion Proyectos estrat'!K25</f>
        <v>Apoyo en soporte, desarrollo y mantenimiento e integración de aplicativos misionales</v>
      </c>
      <c r="H22" s="1447"/>
      <c r="I22" s="207"/>
      <c r="J22" s="310">
        <f>+'Plan de Accion Proyectos estrat'!AJ25</f>
        <v>0.18138226171520111</v>
      </c>
      <c r="K22" s="483">
        <f>+'Plan de Accion Proyectos estrat'!BS25</f>
        <v>0.18138226171520111</v>
      </c>
      <c r="L22" s="483">
        <f>IF(K22&gt;100%,100%,K22)</f>
        <v>0.18138226171520111</v>
      </c>
      <c r="M22" s="483">
        <f>+'Plan de Accion Proyectos estrat'!AL25</f>
        <v>4.5345565428800277E-2</v>
      </c>
      <c r="N22" s="483">
        <f t="shared" ref="N22:N31" si="0">IF(M22&gt;100%,100%,M22)</f>
        <v>4.5345565428800277E-2</v>
      </c>
      <c r="O22" s="483">
        <f t="shared" ref="O22:O31" si="1">+N22</f>
        <v>4.5345565428800277E-2</v>
      </c>
      <c r="P22" s="216"/>
      <c r="Q22" s="310">
        <f>+'Plan de Accion Proyectos estrat'!AT25</f>
        <v>0.2540450808733215</v>
      </c>
      <c r="R22" s="311">
        <f>+'Plan de Accion Proyectos estrat'!BU25</f>
        <v>0.2540450808733215</v>
      </c>
      <c r="S22" s="215">
        <f>IF(R22&gt;100%,100%,R22)</f>
        <v>0.2540450808733215</v>
      </c>
      <c r="T22" s="311">
        <f>+'Plan de Accion Proyectos estrat'!AV25</f>
        <v>0.10885683564713065</v>
      </c>
      <c r="U22" s="311">
        <f>IF(T22&gt;100%,100%,T22)</f>
        <v>0.10885683564713065</v>
      </c>
      <c r="V22" s="214">
        <f>+U22</f>
        <v>0.10885683564713065</v>
      </c>
      <c r="W22" s="216"/>
      <c r="X22" s="310">
        <f>+'Plan de Accion Proyectos estrat'!BD25</f>
        <v>0.21946635117361291</v>
      </c>
      <c r="Y22" s="311">
        <f>+'Plan de Accion Proyectos estrat'!BW25</f>
        <v>0.21946635117361291</v>
      </c>
      <c r="Z22" s="215">
        <f>IF(Y22&gt;100%,100%,Y22)</f>
        <v>0.21946635117361291</v>
      </c>
      <c r="AA22" s="296">
        <f>+'Plan de Accion Proyectos estrat'!BF25</f>
        <v>0.16372342344053389</v>
      </c>
      <c r="AB22" s="296">
        <f>IF(AA22&gt;100%,100%,AA22)</f>
        <v>0.16372342344053389</v>
      </c>
      <c r="AC22" s="309">
        <f>+AB22</f>
        <v>0.16372342344053389</v>
      </c>
      <c r="AD22" s="216"/>
      <c r="AE22" s="310">
        <f>+'Plan de Accion Proyectos estrat'!AT25</f>
        <v>0.2540450808733215</v>
      </c>
      <c r="AF22" s="311">
        <f>+'Plan de Accion Proyectos estrat'!BY25</f>
        <v>0</v>
      </c>
      <c r="AG22" s="215">
        <f>IF(AF22&gt;100%,100%,AF22)</f>
        <v>0</v>
      </c>
      <c r="AH22" s="311">
        <f>+'Plan de Accion Proyectos estrat'!BP25</f>
        <v>0.16372342344053389</v>
      </c>
      <c r="AI22" s="214">
        <f>IF(AH22&gt;100%,100%,AH22)</f>
        <v>0.16372342344053389</v>
      </c>
      <c r="AJ22" s="1433"/>
      <c r="AL22" s="1413"/>
      <c r="AM22" s="1410"/>
      <c r="AN22" s="207"/>
      <c r="AO22" s="1419"/>
      <c r="AP22" s="1410"/>
      <c r="AQ22" s="207"/>
      <c r="AR22" s="1413"/>
      <c r="AS22" s="1410"/>
      <c r="AT22" s="207"/>
      <c r="AU22" s="1413"/>
      <c r="AV22" s="1410"/>
      <c r="AW22" s="205"/>
      <c r="AX22" s="1416"/>
      <c r="AZ22" s="1413"/>
      <c r="BA22" s="1410"/>
      <c r="BB22" s="207"/>
      <c r="BC22" s="1419"/>
      <c r="BD22" s="1410"/>
      <c r="BE22" s="207"/>
      <c r="BF22" s="1413"/>
      <c r="BG22" s="1410"/>
      <c r="BH22" s="207"/>
      <c r="BI22" s="1413"/>
      <c r="BJ22" s="1410"/>
      <c r="BK22" s="205"/>
      <c r="BL22" s="1416"/>
      <c r="BN22" s="1413"/>
      <c r="BO22" s="1410"/>
      <c r="BP22" s="207"/>
      <c r="BQ22" s="1419"/>
      <c r="BR22" s="1410"/>
      <c r="BS22" s="207"/>
      <c r="BT22" s="1413"/>
      <c r="BU22" s="1410"/>
      <c r="BV22" s="207"/>
      <c r="BW22" s="1413"/>
      <c r="BX22" s="1410"/>
      <c r="BY22" s="205"/>
      <c r="BZ22" s="1416"/>
      <c r="CB22" s="1413"/>
      <c r="CC22" s="1410"/>
      <c r="CD22" s="207"/>
      <c r="CE22" s="1419"/>
      <c r="CF22" s="1410"/>
      <c r="CG22" s="207"/>
      <c r="CH22" s="1413"/>
      <c r="CI22" s="1410"/>
      <c r="CJ22" s="207"/>
      <c r="CK22" s="1413"/>
      <c r="CL22" s="1410"/>
      <c r="CM22" s="205"/>
      <c r="CN22" s="1416"/>
    </row>
    <row r="23" spans="2:92" ht="85.5" customHeight="1" x14ac:dyDescent="0.2">
      <c r="B23" s="1362"/>
      <c r="C23" s="1348" t="s">
        <v>344</v>
      </c>
      <c r="D23" s="1351" t="s">
        <v>340</v>
      </c>
      <c r="E23" s="1316" t="s">
        <v>12</v>
      </c>
      <c r="F23" s="1316" t="s">
        <v>330</v>
      </c>
      <c r="G23" s="322" t="str">
        <f>+'Plan de Accion Proyectos estrat'!K26</f>
        <v>Proceso de saneamiento de aportes ejecutado</v>
      </c>
      <c r="H23" s="1447"/>
      <c r="I23" s="207"/>
      <c r="J23" s="310">
        <f>+'Plan de Accion Proyectos estrat'!AJ26</f>
        <v>0.75555556883105812</v>
      </c>
      <c r="K23" s="483">
        <f>+'Plan de Accion Proyectos estrat'!BS26</f>
        <v>0.75555556883105812</v>
      </c>
      <c r="L23" s="483">
        <f>IF(K23&gt;100%,100%,K23)</f>
        <v>0.75555556883105812</v>
      </c>
      <c r="M23" s="483">
        <f>+'Plan de Accion Proyectos estrat'!AL26</f>
        <v>0.18888889220776453</v>
      </c>
      <c r="N23" s="483">
        <f t="shared" si="0"/>
        <v>0.18888889220776453</v>
      </c>
      <c r="O23" s="483">
        <f t="shared" si="1"/>
        <v>0.18888889220776453</v>
      </c>
      <c r="P23" s="216"/>
      <c r="Q23" s="310">
        <f>+'Plan de Accion Proyectos estrat'!AT26</f>
        <v>1</v>
      </c>
      <c r="R23" s="311">
        <f>+'Plan de Accion Proyectos estrat'!BU26</f>
        <v>1</v>
      </c>
      <c r="S23" s="215">
        <f>IF(R23&gt;100%,100%,R23)</f>
        <v>1</v>
      </c>
      <c r="T23" s="311">
        <f>+'Plan de Accion Proyectos estrat'!AV26</f>
        <v>0.43888889220776456</v>
      </c>
      <c r="U23" s="311">
        <f>IF(T23&gt;100%,100%,T23)</f>
        <v>0.43888889220776456</v>
      </c>
      <c r="V23" s="214">
        <f>+U23</f>
        <v>0.43888889220776456</v>
      </c>
      <c r="W23" s="216"/>
      <c r="X23" s="310">
        <f>+'Plan de Accion Proyectos estrat'!BD26</f>
        <v>1</v>
      </c>
      <c r="Y23" s="311">
        <f>+'Plan de Accion Proyectos estrat'!BW26</f>
        <v>1</v>
      </c>
      <c r="Z23" s="215">
        <f>IF(Y23&gt;100%,100%,Y23)</f>
        <v>1</v>
      </c>
      <c r="AA23" s="296">
        <f>+'Plan de Accion Proyectos estrat'!BF26</f>
        <v>0.6888888922077645</v>
      </c>
      <c r="AB23" s="296">
        <f>IF(AA23&gt;100%,100%,AA23)</f>
        <v>0.6888888922077645</v>
      </c>
      <c r="AC23" s="309">
        <f>+AB23</f>
        <v>0.6888888922077645</v>
      </c>
      <c r="AD23" s="216"/>
      <c r="AE23" s="310">
        <f>+'Plan de Accion Proyectos estrat'!AT26</f>
        <v>1</v>
      </c>
      <c r="AF23" s="311">
        <f>+'Plan de Accion Proyectos estrat'!BY26</f>
        <v>0</v>
      </c>
      <c r="AG23" s="215">
        <f>IF(AF23&gt;100%,100%,AF23)</f>
        <v>0</v>
      </c>
      <c r="AH23" s="311">
        <f>+'Plan de Accion Proyectos estrat'!BP26</f>
        <v>0.6888888922077645</v>
      </c>
      <c r="AI23" s="214">
        <f>IF(AH23&gt;100%,100%,AH23)</f>
        <v>0.6888888922077645</v>
      </c>
      <c r="AJ23" s="1433"/>
      <c r="AL23" s="1413"/>
      <c r="AM23" s="1410"/>
      <c r="AN23" s="207"/>
      <c r="AO23" s="1419"/>
      <c r="AP23" s="1410"/>
      <c r="AQ23" s="207"/>
      <c r="AR23" s="1413"/>
      <c r="AS23" s="1410"/>
      <c r="AT23" s="207"/>
      <c r="AU23" s="1413"/>
      <c r="AV23" s="1410"/>
      <c r="AW23" s="205"/>
      <c r="AX23" s="1416"/>
      <c r="AZ23" s="1413"/>
      <c r="BA23" s="1410"/>
      <c r="BB23" s="207"/>
      <c r="BC23" s="1419"/>
      <c r="BD23" s="1410"/>
      <c r="BE23" s="207"/>
      <c r="BF23" s="1413"/>
      <c r="BG23" s="1410"/>
      <c r="BH23" s="207"/>
      <c r="BI23" s="1413"/>
      <c r="BJ23" s="1410"/>
      <c r="BK23" s="205"/>
      <c r="BL23" s="1416"/>
      <c r="BN23" s="1413"/>
      <c r="BO23" s="1410"/>
      <c r="BP23" s="207"/>
      <c r="BQ23" s="1419"/>
      <c r="BR23" s="1410"/>
      <c r="BS23" s="207"/>
      <c r="BT23" s="1413"/>
      <c r="BU23" s="1410"/>
      <c r="BV23" s="207"/>
      <c r="BW23" s="1413"/>
      <c r="BX23" s="1410"/>
      <c r="BY23" s="205"/>
      <c r="BZ23" s="1416"/>
      <c r="CB23" s="1413"/>
      <c r="CC23" s="1410"/>
      <c r="CD23" s="207"/>
      <c r="CE23" s="1419"/>
      <c r="CF23" s="1410"/>
      <c r="CG23" s="207"/>
      <c r="CH23" s="1413"/>
      <c r="CI23" s="1410"/>
      <c r="CJ23" s="207"/>
      <c r="CK23" s="1413"/>
      <c r="CL23" s="1410"/>
      <c r="CM23" s="205"/>
      <c r="CN23" s="1416"/>
    </row>
    <row r="24" spans="2:92" ht="42.75" x14ac:dyDescent="0.2">
      <c r="B24" s="1362"/>
      <c r="C24" s="1349"/>
      <c r="D24" s="1352"/>
      <c r="E24" s="1317"/>
      <c r="F24" s="1317"/>
      <c r="G24" s="322" t="str">
        <f>+'Plan de Accion Proyectos estrat'!K27</f>
        <v>Procesos optimizados mediante desarrollos o ajustes tecnológicos</v>
      </c>
      <c r="H24" s="1447"/>
      <c r="I24" s="207"/>
      <c r="J24" s="310">
        <f>+'Plan de Accion Proyectos estrat'!AJ27</f>
        <v>0</v>
      </c>
      <c r="K24" s="483">
        <f>+'Plan de Accion Proyectos estrat'!BS27</f>
        <v>0</v>
      </c>
      <c r="L24" s="483">
        <f t="shared" ref="L24:L31" si="2">IF(K24&gt;100%,100%,K24)</f>
        <v>0</v>
      </c>
      <c r="M24" s="483">
        <f>+'Plan de Accion Proyectos estrat'!AL27</f>
        <v>0</v>
      </c>
      <c r="N24" s="483">
        <f t="shared" si="0"/>
        <v>0</v>
      </c>
      <c r="O24" s="483">
        <f t="shared" si="1"/>
        <v>0</v>
      </c>
      <c r="P24" s="216"/>
      <c r="Q24" s="310">
        <f>+'Plan de Accion Proyectos estrat'!AT27</f>
        <v>0.68013667944235168</v>
      </c>
      <c r="R24" s="311">
        <f>+'Plan de Accion Proyectos estrat'!BU27</f>
        <v>0.68013667944235168</v>
      </c>
      <c r="S24" s="215">
        <f t="shared" ref="S24:S31" si="3">IF(R24&gt;100%,100%,R24)</f>
        <v>0.68013667944235168</v>
      </c>
      <c r="T24" s="311">
        <f>+'Plan de Accion Proyectos estrat'!AV27</f>
        <v>0.17003416986058792</v>
      </c>
      <c r="U24" s="311">
        <f t="shared" ref="U24:U31" si="4">IF(T24&gt;100%,100%,T24)</f>
        <v>0.17003416986058792</v>
      </c>
      <c r="V24" s="214">
        <f t="shared" ref="V24:V31" si="5">+U24</f>
        <v>0.17003416986058792</v>
      </c>
      <c r="W24" s="216"/>
      <c r="X24" s="310">
        <f>+'Plan de Accion Proyectos estrat'!BD27</f>
        <v>1.006302145893629</v>
      </c>
      <c r="Y24" s="311">
        <f>+'Plan de Accion Proyectos estrat'!BW27</f>
        <v>1.006302145893629</v>
      </c>
      <c r="Z24" s="215">
        <f t="shared" ref="Z24:Z31" si="6">IF(Y24&gt;100%,100%,Y24)</f>
        <v>1</v>
      </c>
      <c r="AA24" s="296">
        <f>+'Plan de Accion Proyectos estrat'!BF27</f>
        <v>0.42160970633399514</v>
      </c>
      <c r="AB24" s="296">
        <f t="shared" ref="AB24:AB31" si="7">IF(AA24&gt;100%,100%,AA24)</f>
        <v>0.42160970633399514</v>
      </c>
      <c r="AC24" s="309">
        <f t="shared" ref="AC24:AC31" si="8">+AB24</f>
        <v>0.42160970633399514</v>
      </c>
      <c r="AD24" s="216">
        <v>1</v>
      </c>
      <c r="AE24" s="310">
        <f>+'Plan de Accion Proyectos estrat'!AT27</f>
        <v>0.68013667944235168</v>
      </c>
      <c r="AF24" s="311">
        <f>+'Plan de Accion Proyectos estrat'!BY27</f>
        <v>0</v>
      </c>
      <c r="AG24" s="215">
        <f t="shared" ref="AG24:AG35" si="9">IF(AF24&gt;100%,100%,AF24)</f>
        <v>0</v>
      </c>
      <c r="AH24" s="311">
        <f>+'Plan de Accion Proyectos estrat'!BP27</f>
        <v>0.42160970633399514</v>
      </c>
      <c r="AI24" s="214">
        <f t="shared" ref="AI24:AI31" si="10">IF(AH24&gt;100%,100%,AH24)</f>
        <v>0.42160970633399514</v>
      </c>
      <c r="AJ24" s="1433"/>
      <c r="AL24" s="1413"/>
      <c r="AM24" s="1410"/>
      <c r="AN24" s="207"/>
      <c r="AO24" s="1419"/>
      <c r="AP24" s="1410"/>
      <c r="AQ24" s="207"/>
      <c r="AR24" s="1413"/>
      <c r="AS24" s="1410"/>
      <c r="AT24" s="207"/>
      <c r="AU24" s="1413"/>
      <c r="AV24" s="1410"/>
      <c r="AW24" s="205"/>
      <c r="AX24" s="1416"/>
      <c r="AZ24" s="1413"/>
      <c r="BA24" s="1410"/>
      <c r="BB24" s="207"/>
      <c r="BC24" s="1419"/>
      <c r="BD24" s="1410"/>
      <c r="BE24" s="207"/>
      <c r="BF24" s="1413"/>
      <c r="BG24" s="1410"/>
      <c r="BH24" s="207"/>
      <c r="BI24" s="1413"/>
      <c r="BJ24" s="1410"/>
      <c r="BK24" s="205"/>
      <c r="BL24" s="1416"/>
      <c r="BN24" s="1413"/>
      <c r="BO24" s="1410"/>
      <c r="BP24" s="207"/>
      <c r="BQ24" s="1419"/>
      <c r="BR24" s="1410"/>
      <c r="BS24" s="207"/>
      <c r="BT24" s="1413"/>
      <c r="BU24" s="1410"/>
      <c r="BV24" s="207"/>
      <c r="BW24" s="1413"/>
      <c r="BX24" s="1410"/>
      <c r="BY24" s="205"/>
      <c r="BZ24" s="1416"/>
      <c r="CB24" s="1413"/>
      <c r="CC24" s="1410"/>
      <c r="CD24" s="207"/>
      <c r="CE24" s="1419"/>
      <c r="CF24" s="1410"/>
      <c r="CG24" s="207"/>
      <c r="CH24" s="1413"/>
      <c r="CI24" s="1410"/>
      <c r="CJ24" s="207"/>
      <c r="CK24" s="1413"/>
      <c r="CL24" s="1410"/>
      <c r="CM24" s="205"/>
      <c r="CN24" s="1416"/>
    </row>
    <row r="25" spans="2:92" ht="71.25" x14ac:dyDescent="0.2">
      <c r="B25" s="1362"/>
      <c r="C25" s="1349"/>
      <c r="D25" s="1352"/>
      <c r="E25" s="1317"/>
      <c r="F25" s="1317"/>
      <c r="G25" s="322" t="str">
        <f>+'Plan de Accion Proyectos estrat'!K28</f>
        <v>Controles de los procesos de liquidación y reconocimiento de UPC y de prestaciones económicas verificados y ajustados</v>
      </c>
      <c r="H25" s="1447"/>
      <c r="I25" s="207"/>
      <c r="J25" s="310">
        <f>+'Plan de Accion Proyectos estrat'!AJ28</f>
        <v>0.53684281288191593</v>
      </c>
      <c r="K25" s="483">
        <f>+'Plan de Accion Proyectos estrat'!BS28</f>
        <v>0.53684281288191593</v>
      </c>
      <c r="L25" s="483">
        <f t="shared" si="2"/>
        <v>0.53684281288191593</v>
      </c>
      <c r="M25" s="483">
        <f>+'Plan de Accion Proyectos estrat'!AL28</f>
        <v>0.13421070322047898</v>
      </c>
      <c r="N25" s="483">
        <f t="shared" si="0"/>
        <v>0.13421070322047898</v>
      </c>
      <c r="O25" s="483">
        <f t="shared" si="1"/>
        <v>0.13421070322047898</v>
      </c>
      <c r="P25" s="216"/>
      <c r="Q25" s="310">
        <f>+'Plan de Accion Proyectos estrat'!AT28</f>
        <v>0.76691829700760794</v>
      </c>
      <c r="R25" s="311">
        <f>+'Plan de Accion Proyectos estrat'!BU28</f>
        <v>0.76691829700760794</v>
      </c>
      <c r="S25" s="215">
        <f t="shared" si="3"/>
        <v>0.76691829700760794</v>
      </c>
      <c r="T25" s="311">
        <f>+'Plan de Accion Proyectos estrat'!AV28</f>
        <v>0.32594027747238097</v>
      </c>
      <c r="U25" s="311">
        <f t="shared" si="4"/>
        <v>0.32594027747238097</v>
      </c>
      <c r="V25" s="214">
        <f t="shared" si="5"/>
        <v>0.32594027747238097</v>
      </c>
      <c r="W25" s="216"/>
      <c r="X25" s="310">
        <f>+'Plan de Accion Proyectos estrat'!BD28</f>
        <v>0.76691829700760794</v>
      </c>
      <c r="Y25" s="311">
        <f>+'Plan de Accion Proyectos estrat'!BW28</f>
        <v>0.76691829700760794</v>
      </c>
      <c r="Z25" s="215">
        <f t="shared" si="6"/>
        <v>0.76691829700760794</v>
      </c>
      <c r="AA25" s="296">
        <f>+'Plan de Accion Proyectos estrat'!BF28</f>
        <v>0.51766985172428293</v>
      </c>
      <c r="AB25" s="296">
        <f t="shared" si="7"/>
        <v>0.51766985172428293</v>
      </c>
      <c r="AC25" s="309">
        <f t="shared" si="8"/>
        <v>0.51766985172428293</v>
      </c>
      <c r="AD25" s="216"/>
      <c r="AE25" s="310">
        <f>+'Plan de Accion Proyectos estrat'!AT28</f>
        <v>0.76691829700760794</v>
      </c>
      <c r="AF25" s="311">
        <f>+'Plan de Accion Proyectos estrat'!BY28</f>
        <v>0</v>
      </c>
      <c r="AG25" s="215">
        <f t="shared" si="9"/>
        <v>0</v>
      </c>
      <c r="AH25" s="311">
        <f>+'Plan de Accion Proyectos estrat'!BP28</f>
        <v>0.51766985172428293</v>
      </c>
      <c r="AI25" s="214">
        <f t="shared" si="10"/>
        <v>0.51766985172428293</v>
      </c>
      <c r="AJ25" s="1433"/>
      <c r="AL25" s="1413"/>
      <c r="AM25" s="1410"/>
      <c r="AN25" s="207"/>
      <c r="AO25" s="1419"/>
      <c r="AP25" s="1410"/>
      <c r="AQ25" s="207"/>
      <c r="AR25" s="1413"/>
      <c r="AS25" s="1410"/>
      <c r="AT25" s="207"/>
      <c r="AU25" s="1413"/>
      <c r="AV25" s="1410"/>
      <c r="AW25" s="205"/>
      <c r="AX25" s="1416"/>
      <c r="AZ25" s="1413"/>
      <c r="BA25" s="1410"/>
      <c r="BB25" s="207"/>
      <c r="BC25" s="1419"/>
      <c r="BD25" s="1410"/>
      <c r="BE25" s="207"/>
      <c r="BF25" s="1413"/>
      <c r="BG25" s="1410"/>
      <c r="BH25" s="207"/>
      <c r="BI25" s="1413"/>
      <c r="BJ25" s="1410"/>
      <c r="BK25" s="205"/>
      <c r="BL25" s="1416"/>
      <c r="BN25" s="1413"/>
      <c r="BO25" s="1410"/>
      <c r="BP25" s="207"/>
      <c r="BQ25" s="1419"/>
      <c r="BR25" s="1410"/>
      <c r="BS25" s="207"/>
      <c r="BT25" s="1413"/>
      <c r="BU25" s="1410"/>
      <c r="BV25" s="207"/>
      <c r="BW25" s="1413"/>
      <c r="BX25" s="1410"/>
      <c r="BY25" s="205"/>
      <c r="BZ25" s="1416"/>
      <c r="CB25" s="1413"/>
      <c r="CC25" s="1410"/>
      <c r="CD25" s="207"/>
      <c r="CE25" s="1419"/>
      <c r="CF25" s="1410"/>
      <c r="CG25" s="207"/>
      <c r="CH25" s="1413"/>
      <c r="CI25" s="1410"/>
      <c r="CJ25" s="207"/>
      <c r="CK25" s="1413"/>
      <c r="CL25" s="1410"/>
      <c r="CM25" s="205"/>
      <c r="CN25" s="1416"/>
    </row>
    <row r="26" spans="2:92" ht="37.5" customHeight="1" x14ac:dyDescent="0.2">
      <c r="B26" s="1362"/>
      <c r="C26" s="1349"/>
      <c r="D26" s="1352"/>
      <c r="E26" s="1317"/>
      <c r="F26" s="1317"/>
      <c r="G26" s="322" t="str">
        <f>+'Plan de Accion Proyectos estrat'!K29</f>
        <v>Proceso de Compensación ejecutado</v>
      </c>
      <c r="H26" s="1447"/>
      <c r="I26" s="207"/>
      <c r="J26" s="310">
        <f>+'Plan de Accion Proyectos estrat'!AJ29</f>
        <v>0.47486723147428367</v>
      </c>
      <c r="K26" s="483">
        <f>+'Plan de Accion Proyectos estrat'!BS29</f>
        <v>0.47486723147428367</v>
      </c>
      <c r="L26" s="483">
        <f t="shared" si="2"/>
        <v>0.47486723147428367</v>
      </c>
      <c r="M26" s="483">
        <f>+'Plan de Accion Proyectos estrat'!AL29</f>
        <v>0.11871680786857092</v>
      </c>
      <c r="N26" s="483">
        <f t="shared" si="0"/>
        <v>0.11871680786857092</v>
      </c>
      <c r="O26" s="483">
        <f t="shared" si="1"/>
        <v>0.11871680786857092</v>
      </c>
      <c r="P26" s="216"/>
      <c r="Q26" s="310">
        <f>+'Plan de Accion Proyectos estrat'!AT29</f>
        <v>0.64212385146162543</v>
      </c>
      <c r="R26" s="311">
        <f>+'Plan de Accion Proyectos estrat'!BU29</f>
        <v>0.64212385146162543</v>
      </c>
      <c r="S26" s="215">
        <f t="shared" si="3"/>
        <v>0.64212385146162543</v>
      </c>
      <c r="T26" s="311">
        <f>+'Plan de Accion Proyectos estrat'!AV29</f>
        <v>0.27924777073397727</v>
      </c>
      <c r="U26" s="311">
        <f t="shared" si="4"/>
        <v>0.27924777073397727</v>
      </c>
      <c r="V26" s="214">
        <f t="shared" si="5"/>
        <v>0.27924777073397727</v>
      </c>
      <c r="W26" s="216"/>
      <c r="X26" s="310">
        <f>+'Plan de Accion Proyectos estrat'!BD29</f>
        <v>0.64212385146162543</v>
      </c>
      <c r="Y26" s="311">
        <f>+'Plan de Accion Proyectos estrat'!BW29</f>
        <v>0.64212385146162543</v>
      </c>
      <c r="Z26" s="215">
        <f t="shared" si="6"/>
        <v>0.64212385146162543</v>
      </c>
      <c r="AA26" s="296">
        <f>+'Plan de Accion Proyectos estrat'!BF29</f>
        <v>0.43977873359938363</v>
      </c>
      <c r="AB26" s="296">
        <f t="shared" si="7"/>
        <v>0.43977873359938363</v>
      </c>
      <c r="AC26" s="309">
        <f t="shared" si="8"/>
        <v>0.43977873359938363</v>
      </c>
      <c r="AD26" s="216"/>
      <c r="AE26" s="310">
        <f>+'Plan de Accion Proyectos estrat'!AT29</f>
        <v>0.64212385146162543</v>
      </c>
      <c r="AF26" s="311">
        <f>+'Plan de Accion Proyectos estrat'!BY29</f>
        <v>0</v>
      </c>
      <c r="AG26" s="215">
        <f t="shared" si="9"/>
        <v>0</v>
      </c>
      <c r="AH26" s="311">
        <f>+'Plan de Accion Proyectos estrat'!BP29</f>
        <v>0.43977873359938363</v>
      </c>
      <c r="AI26" s="214">
        <f t="shared" si="10"/>
        <v>0.43977873359938363</v>
      </c>
      <c r="AJ26" s="1433"/>
      <c r="AL26" s="1413"/>
      <c r="AM26" s="1410"/>
      <c r="AN26" s="207"/>
      <c r="AO26" s="1419"/>
      <c r="AP26" s="1410"/>
      <c r="AQ26" s="207"/>
      <c r="AR26" s="1413"/>
      <c r="AS26" s="1410"/>
      <c r="AT26" s="207"/>
      <c r="AU26" s="1413"/>
      <c r="AV26" s="1410"/>
      <c r="AW26" s="205"/>
      <c r="AX26" s="1416"/>
      <c r="AZ26" s="1413"/>
      <c r="BA26" s="1410"/>
      <c r="BB26" s="207"/>
      <c r="BC26" s="1419"/>
      <c r="BD26" s="1410"/>
      <c r="BE26" s="207"/>
      <c r="BF26" s="1413"/>
      <c r="BG26" s="1410"/>
      <c r="BH26" s="207"/>
      <c r="BI26" s="1413"/>
      <c r="BJ26" s="1410"/>
      <c r="BK26" s="205"/>
      <c r="BL26" s="1416"/>
      <c r="BN26" s="1413"/>
      <c r="BO26" s="1410"/>
      <c r="BP26" s="207"/>
      <c r="BQ26" s="1419"/>
      <c r="BR26" s="1410"/>
      <c r="BS26" s="207"/>
      <c r="BT26" s="1413"/>
      <c r="BU26" s="1410"/>
      <c r="BV26" s="207"/>
      <c r="BW26" s="1413"/>
      <c r="BX26" s="1410"/>
      <c r="BY26" s="205"/>
      <c r="BZ26" s="1416"/>
      <c r="CB26" s="1413"/>
      <c r="CC26" s="1410"/>
      <c r="CD26" s="207"/>
      <c r="CE26" s="1419"/>
      <c r="CF26" s="1410"/>
      <c r="CG26" s="207"/>
      <c r="CH26" s="1413"/>
      <c r="CI26" s="1410"/>
      <c r="CJ26" s="207"/>
      <c r="CK26" s="1413"/>
      <c r="CL26" s="1410"/>
      <c r="CM26" s="205"/>
      <c r="CN26" s="1416"/>
    </row>
    <row r="27" spans="2:92" ht="28.5" x14ac:dyDescent="0.2">
      <c r="B27" s="1362"/>
      <c r="C27" s="1349"/>
      <c r="D27" s="1352"/>
      <c r="E27" s="1317"/>
      <c r="F27" s="1317"/>
      <c r="G27" s="322" t="str">
        <f>+'Plan de Accion Proyectos estrat'!K30</f>
        <v>Prestaciones económicas REX</v>
      </c>
      <c r="H27" s="1447"/>
      <c r="I27" s="207"/>
      <c r="J27" s="310">
        <f>+'Plan de Accion Proyectos estrat'!AJ30</f>
        <v>0.67777777994080279</v>
      </c>
      <c r="K27" s="483">
        <f>+'Plan de Accion Proyectos estrat'!BS30</f>
        <v>0.67777777994080279</v>
      </c>
      <c r="L27" s="483">
        <f>IF(K27&gt;100%,100%,K27)</f>
        <v>0.67777777994080279</v>
      </c>
      <c r="M27" s="483">
        <f>+'Plan de Accion Proyectos estrat'!AL30</f>
        <v>0.1694444449852007</v>
      </c>
      <c r="N27" s="483">
        <f t="shared" si="0"/>
        <v>0.1694444449852007</v>
      </c>
      <c r="O27" s="483">
        <f t="shared" si="1"/>
        <v>0.1694444449852007</v>
      </c>
      <c r="P27" s="216"/>
      <c r="Q27" s="310">
        <f>+'Plan de Accion Proyectos estrat'!AT30</f>
        <v>1</v>
      </c>
      <c r="R27" s="311">
        <f>+'Plan de Accion Proyectos estrat'!BU30</f>
        <v>1</v>
      </c>
      <c r="S27" s="215">
        <f t="shared" si="3"/>
        <v>1</v>
      </c>
      <c r="T27" s="311">
        <f>+'Plan de Accion Proyectos estrat'!AV30</f>
        <v>0.41944444498520067</v>
      </c>
      <c r="U27" s="311">
        <f t="shared" si="4"/>
        <v>0.41944444498520067</v>
      </c>
      <c r="V27" s="214">
        <f t="shared" si="5"/>
        <v>0.41944444498520067</v>
      </c>
      <c r="W27" s="216"/>
      <c r="X27" s="310">
        <f>+'Plan de Accion Proyectos estrat'!BD30</f>
        <v>1</v>
      </c>
      <c r="Y27" s="311">
        <f>+'Plan de Accion Proyectos estrat'!BW30</f>
        <v>1</v>
      </c>
      <c r="Z27" s="215">
        <f t="shared" si="6"/>
        <v>1</v>
      </c>
      <c r="AA27" s="296">
        <f>+'Plan de Accion Proyectos estrat'!BF30</f>
        <v>0.66944444498520073</v>
      </c>
      <c r="AB27" s="296">
        <f t="shared" si="7"/>
        <v>0.66944444498520073</v>
      </c>
      <c r="AC27" s="309">
        <f t="shared" si="8"/>
        <v>0.66944444498520073</v>
      </c>
      <c r="AD27" s="216"/>
      <c r="AE27" s="310">
        <f>+'Plan de Accion Proyectos estrat'!AT30</f>
        <v>1</v>
      </c>
      <c r="AF27" s="311">
        <f>+'Plan de Accion Proyectos estrat'!BY30</f>
        <v>0</v>
      </c>
      <c r="AG27" s="215">
        <f t="shared" si="9"/>
        <v>0</v>
      </c>
      <c r="AH27" s="311">
        <f>+'Plan de Accion Proyectos estrat'!BP30</f>
        <v>0.66944444498520073</v>
      </c>
      <c r="AI27" s="214">
        <f t="shared" si="10"/>
        <v>0.66944444498520073</v>
      </c>
      <c r="AJ27" s="1433"/>
      <c r="AL27" s="1413"/>
      <c r="AM27" s="1410"/>
      <c r="AN27" s="207"/>
      <c r="AO27" s="1419"/>
      <c r="AP27" s="1410"/>
      <c r="AQ27" s="207"/>
      <c r="AR27" s="1413"/>
      <c r="AS27" s="1410"/>
      <c r="AT27" s="207"/>
      <c r="AU27" s="1413"/>
      <c r="AV27" s="1410"/>
      <c r="AW27" s="205"/>
      <c r="AX27" s="1416"/>
      <c r="AZ27" s="1413"/>
      <c r="BA27" s="1410"/>
      <c r="BB27" s="207"/>
      <c r="BC27" s="1419"/>
      <c r="BD27" s="1410"/>
      <c r="BE27" s="207"/>
      <c r="BF27" s="1413"/>
      <c r="BG27" s="1410"/>
      <c r="BH27" s="207"/>
      <c r="BI27" s="1413"/>
      <c r="BJ27" s="1410"/>
      <c r="BK27" s="205"/>
      <c r="BL27" s="1416"/>
      <c r="BN27" s="1413"/>
      <c r="BO27" s="1410"/>
      <c r="BP27" s="207"/>
      <c r="BQ27" s="1419"/>
      <c r="BR27" s="1410"/>
      <c r="BS27" s="207"/>
      <c r="BT27" s="1413"/>
      <c r="BU27" s="1410"/>
      <c r="BV27" s="207"/>
      <c r="BW27" s="1413"/>
      <c r="BX27" s="1410"/>
      <c r="BY27" s="205"/>
      <c r="BZ27" s="1416"/>
      <c r="CB27" s="1413"/>
      <c r="CC27" s="1410"/>
      <c r="CD27" s="207"/>
      <c r="CE27" s="1419"/>
      <c r="CF27" s="1410"/>
      <c r="CG27" s="207"/>
      <c r="CH27" s="1413"/>
      <c r="CI27" s="1410"/>
      <c r="CJ27" s="207"/>
      <c r="CK27" s="1413"/>
      <c r="CL27" s="1410"/>
      <c r="CM27" s="205"/>
      <c r="CN27" s="1416"/>
    </row>
    <row r="28" spans="2:92" ht="28.5" x14ac:dyDescent="0.2">
      <c r="B28" s="1362"/>
      <c r="C28" s="1350"/>
      <c r="D28" s="1353"/>
      <c r="E28" s="1318"/>
      <c r="F28" s="1318"/>
      <c r="G28" s="486" t="str">
        <f>+'Plan de Accion Proyectos estrat'!K31</f>
        <v>Devoluciones económicas REX</v>
      </c>
      <c r="H28" s="1447"/>
      <c r="I28" s="207"/>
      <c r="J28" s="484">
        <f>+'Plan de Accion Proyectos estrat'!AJ31</f>
        <v>0.67777777994080279</v>
      </c>
      <c r="K28" s="483">
        <f>+'Plan de Accion Proyectos estrat'!BS31</f>
        <v>0.67777777994080279</v>
      </c>
      <c r="L28" s="483">
        <f>IF(K28&gt;100%,100%,K28)</f>
        <v>0.67777777994080279</v>
      </c>
      <c r="M28" s="483">
        <f>+'Plan de Accion Proyectos estrat'!AL31</f>
        <v>0.1694444449852007</v>
      </c>
      <c r="N28" s="483">
        <f t="shared" si="0"/>
        <v>0.1694444449852007</v>
      </c>
      <c r="O28" s="483">
        <f>+N28</f>
        <v>0.1694444449852007</v>
      </c>
      <c r="P28" s="216"/>
      <c r="Q28" s="484">
        <f>+'Plan de Accion Proyectos estrat'!AT31</f>
        <v>1</v>
      </c>
      <c r="R28" s="483">
        <f>+'Plan de Accion Proyectos estrat'!BU31</f>
        <v>1</v>
      </c>
      <c r="S28" s="215">
        <f>IF(R28&gt;100%,100%,R28)</f>
        <v>1</v>
      </c>
      <c r="T28" s="483">
        <f>+'Plan de Accion Proyectos estrat'!AV31</f>
        <v>0.41944444498520067</v>
      </c>
      <c r="U28" s="483">
        <f>IF(T28&gt;100%,100%,T28)</f>
        <v>0.41944444498520067</v>
      </c>
      <c r="V28" s="214">
        <f>+U28</f>
        <v>0.41944444498520067</v>
      </c>
      <c r="W28" s="216"/>
      <c r="X28" s="484">
        <f>+'Plan de Accion Proyectos estrat'!BD31</f>
        <v>1</v>
      </c>
      <c r="Y28" s="483">
        <f>+'Plan de Accion Proyectos estrat'!BW31</f>
        <v>1</v>
      </c>
      <c r="Z28" s="215">
        <f>IF(Y28&gt;100%,100%,Y28)</f>
        <v>1</v>
      </c>
      <c r="AA28" s="296">
        <f>+'Plan de Accion Proyectos estrat'!BF31</f>
        <v>0.66944444498520073</v>
      </c>
      <c r="AB28" s="296">
        <f>IF(AA28&gt;100%,100%,AA28)</f>
        <v>0.66944444498520073</v>
      </c>
      <c r="AC28" s="487">
        <f>+AB28</f>
        <v>0.66944444498520073</v>
      </c>
      <c r="AD28" s="216"/>
      <c r="AE28" s="484">
        <f>+'Plan de Accion Proyectos estrat'!AT31</f>
        <v>1</v>
      </c>
      <c r="AF28" s="483">
        <f>+'Plan de Accion Proyectos estrat'!BY31</f>
        <v>0</v>
      </c>
      <c r="AG28" s="215">
        <f>IF(AF28&gt;100%,100%,AF28)</f>
        <v>0</v>
      </c>
      <c r="AH28" s="483">
        <f>+'Plan de Accion Proyectos estrat'!BP31</f>
        <v>0.66944444498520073</v>
      </c>
      <c r="AI28" s="214">
        <f>IF(AH28&gt;100%,100%,AH28)</f>
        <v>0.66944444498520073</v>
      </c>
      <c r="AJ28" s="1433"/>
      <c r="AL28" s="1413"/>
      <c r="AM28" s="1410"/>
      <c r="AN28" s="207"/>
      <c r="AO28" s="1419"/>
      <c r="AP28" s="1410"/>
      <c r="AQ28" s="207"/>
      <c r="AR28" s="1413"/>
      <c r="AS28" s="1410"/>
      <c r="AT28" s="207"/>
      <c r="AU28" s="1413"/>
      <c r="AV28" s="1410"/>
      <c r="AW28" s="205"/>
      <c r="AX28" s="1416"/>
      <c r="AZ28" s="1413"/>
      <c r="BA28" s="1410"/>
      <c r="BB28" s="207"/>
      <c r="BC28" s="1419"/>
      <c r="BD28" s="1410"/>
      <c r="BE28" s="207"/>
      <c r="BF28" s="1413"/>
      <c r="BG28" s="1410"/>
      <c r="BH28" s="207"/>
      <c r="BI28" s="1413"/>
      <c r="BJ28" s="1410"/>
      <c r="BK28" s="205"/>
      <c r="BL28" s="1416"/>
      <c r="BN28" s="1413"/>
      <c r="BO28" s="1410"/>
      <c r="BP28" s="207"/>
      <c r="BQ28" s="1419"/>
      <c r="BR28" s="1410"/>
      <c r="BS28" s="207"/>
      <c r="BT28" s="1413"/>
      <c r="BU28" s="1410"/>
      <c r="BV28" s="207"/>
      <c r="BW28" s="1413"/>
      <c r="BX28" s="1410"/>
      <c r="BY28" s="205"/>
      <c r="BZ28" s="1416"/>
      <c r="CB28" s="1413"/>
      <c r="CC28" s="1410"/>
      <c r="CD28" s="207"/>
      <c r="CE28" s="1419"/>
      <c r="CF28" s="1410"/>
      <c r="CG28" s="207"/>
      <c r="CH28" s="1413"/>
      <c r="CI28" s="1410"/>
      <c r="CJ28" s="207"/>
      <c r="CK28" s="1413"/>
      <c r="CL28" s="1410"/>
      <c r="CM28" s="205"/>
      <c r="CN28" s="1416"/>
    </row>
    <row r="29" spans="2:92" ht="99.75" x14ac:dyDescent="0.2">
      <c r="B29" s="1362"/>
      <c r="C29" s="1313" t="s">
        <v>60</v>
      </c>
      <c r="D29" s="1351" t="s">
        <v>204</v>
      </c>
      <c r="E29" s="1319" t="s">
        <v>125</v>
      </c>
      <c r="F29" s="1316" t="s">
        <v>330</v>
      </c>
      <c r="G29" s="322" t="str">
        <f>+'Plan de Accion Misional'!K9</f>
        <v>Cobro efectivo de las acreencias por todo concepto a favor de la Administradora de los Recursos del Sistema General de Seguridad Social en Salud – ADRES.</v>
      </c>
      <c r="H29" s="1447"/>
      <c r="J29" s="217">
        <f>+'Plan de Accion Misional'!AJ9</f>
        <v>0.73333330323828039</v>
      </c>
      <c r="K29" s="483">
        <f>+'Plan de Accion Misional'!BS9</f>
        <v>0.73333330323828039</v>
      </c>
      <c r="L29" s="483">
        <f t="shared" si="2"/>
        <v>0.73333330323828039</v>
      </c>
      <c r="M29" s="483">
        <f>+'Plan de Accion Misional'!AL9</f>
        <v>0.1833333258095701</v>
      </c>
      <c r="N29" s="483">
        <f t="shared" si="0"/>
        <v>0.1833333258095701</v>
      </c>
      <c r="O29" s="483">
        <f t="shared" si="1"/>
        <v>0.1833333258095701</v>
      </c>
      <c r="P29" s="216"/>
      <c r="Q29" s="217" t="s">
        <v>204</v>
      </c>
      <c r="R29" s="253" t="s">
        <v>180</v>
      </c>
      <c r="S29" s="215" t="s">
        <v>204</v>
      </c>
      <c r="T29" s="659">
        <f>+'Plan de Accion Misional'!AV9</f>
        <v>0.1833333258095701</v>
      </c>
      <c r="U29" s="659">
        <f t="shared" ref="U29" si="11">IF(T29&gt;100%,100%,T29)</f>
        <v>0.1833333258095701</v>
      </c>
      <c r="V29" s="214">
        <f t="shared" ref="V29" si="12">+U29</f>
        <v>0.1833333258095701</v>
      </c>
      <c r="W29" s="216"/>
      <c r="X29" s="217" t="s">
        <v>204</v>
      </c>
      <c r="Y29" s="253" t="s">
        <v>180</v>
      </c>
      <c r="Z29" s="215" t="s">
        <v>204</v>
      </c>
      <c r="AA29" s="220">
        <f>+'Plan de Accion Misional'!BF9</f>
        <v>0.1833333258095701</v>
      </c>
      <c r="AB29" s="220">
        <f t="shared" ref="AB29" si="13">IF(AA29&gt;100%,100%,AA29)</f>
        <v>0.1833333258095701</v>
      </c>
      <c r="AC29" s="661">
        <f t="shared" ref="AC29" si="14">+AB29</f>
        <v>0.1833333258095701</v>
      </c>
      <c r="AD29" s="216"/>
      <c r="AE29" s="217" t="s">
        <v>204</v>
      </c>
      <c r="AF29" s="253" t="s">
        <v>180</v>
      </c>
      <c r="AG29" s="215" t="s">
        <v>204</v>
      </c>
      <c r="AH29" s="253">
        <f>+'Plan de Accion Misional'!BP9</f>
        <v>0.1833333258095701</v>
      </c>
      <c r="AI29" s="214">
        <f t="shared" ref="AI29" si="15">IF(AH29&gt;100%,100%,AH29)</f>
        <v>0.1833333258095701</v>
      </c>
      <c r="AJ29" s="1433"/>
      <c r="AL29" s="1413"/>
      <c r="AM29" s="1410"/>
      <c r="AN29" s="207"/>
      <c r="AO29" s="1419"/>
      <c r="AP29" s="1410"/>
      <c r="AQ29" s="207"/>
      <c r="AR29" s="1413"/>
      <c r="AS29" s="1410"/>
      <c r="AT29" s="207"/>
      <c r="AU29" s="1413"/>
      <c r="AV29" s="1410"/>
      <c r="AW29" s="205"/>
      <c r="AX29" s="1416"/>
      <c r="AZ29" s="1413"/>
      <c r="BA29" s="1410"/>
      <c r="BB29" s="207"/>
      <c r="BC29" s="1419"/>
      <c r="BD29" s="1410"/>
      <c r="BE29" s="207"/>
      <c r="BF29" s="1413"/>
      <c r="BG29" s="1410"/>
      <c r="BH29" s="207"/>
      <c r="BI29" s="1413"/>
      <c r="BJ29" s="1410"/>
      <c r="BK29" s="205"/>
      <c r="BL29" s="1416"/>
      <c r="BN29" s="1413"/>
      <c r="BO29" s="1410"/>
      <c r="BP29" s="207"/>
      <c r="BQ29" s="1419"/>
      <c r="BR29" s="1410"/>
      <c r="BS29" s="207"/>
      <c r="BT29" s="1413"/>
      <c r="BU29" s="1410"/>
      <c r="BV29" s="207"/>
      <c r="BW29" s="1413"/>
      <c r="BX29" s="1410"/>
      <c r="BY29" s="205"/>
      <c r="BZ29" s="1416"/>
      <c r="CB29" s="1413"/>
      <c r="CC29" s="1410"/>
      <c r="CD29" s="207"/>
      <c r="CE29" s="1419"/>
      <c r="CF29" s="1410"/>
      <c r="CG29" s="207"/>
      <c r="CH29" s="1413"/>
      <c r="CI29" s="1410"/>
      <c r="CJ29" s="207"/>
      <c r="CK29" s="1413"/>
      <c r="CL29" s="1410"/>
      <c r="CM29" s="205"/>
      <c r="CN29" s="1416"/>
    </row>
    <row r="30" spans="2:92" ht="28.5" x14ac:dyDescent="0.2">
      <c r="B30" s="1362"/>
      <c r="C30" s="1314"/>
      <c r="D30" s="1352"/>
      <c r="E30" s="1320"/>
      <c r="F30" s="1317"/>
      <c r="G30" s="558" t="str">
        <f>+'Plan de Accion Misional'!K21</f>
        <v>Reclamaciones de cobro coactivo gestionadas</v>
      </c>
      <c r="H30" s="1447"/>
      <c r="J30" s="217">
        <f>+'Plan de Accion Misional'!AJ21</f>
        <v>0.73333330323828039</v>
      </c>
      <c r="K30" s="552">
        <f>+'Plan de Accion Misional'!BS21</f>
        <v>0.73333330323828039</v>
      </c>
      <c r="L30" s="552">
        <f t="shared" ref="L30" si="16">IF(K30&gt;100%,100%,K30)</f>
        <v>0.73333330323828039</v>
      </c>
      <c r="M30" s="552">
        <f>+'Plan de Accion Misional'!AL21</f>
        <v>0.1833333258095701</v>
      </c>
      <c r="N30" s="552">
        <f t="shared" ref="N30" si="17">IF(M30&gt;100%,100%,M30)</f>
        <v>0.1833333258095701</v>
      </c>
      <c r="O30" s="552">
        <f t="shared" ref="O30" si="18">+N30</f>
        <v>0.1833333258095701</v>
      </c>
      <c r="P30" s="216"/>
      <c r="Q30" s="217">
        <f>+'Plan de Accion Misional'!AT21</f>
        <v>1</v>
      </c>
      <c r="R30" s="253">
        <f>+'Plan de Accion Misional'!BU21</f>
        <v>1</v>
      </c>
      <c r="S30" s="215">
        <f t="shared" ref="S30" si="19">IF(R30&gt;100%,100%,R30)</f>
        <v>1</v>
      </c>
      <c r="T30" s="552">
        <f>+'Plan de Accion Misional'!AV21</f>
        <v>0.43333332580957007</v>
      </c>
      <c r="U30" s="552">
        <f t="shared" ref="U30" si="20">IF(T30&gt;100%,100%,T30)</f>
        <v>0.43333332580957007</v>
      </c>
      <c r="V30" s="214">
        <f t="shared" ref="V30" si="21">+U30</f>
        <v>0.43333332580957007</v>
      </c>
      <c r="W30" s="216"/>
      <c r="X30" s="217">
        <f>+'Plan de Accion Misional'!BD21</f>
        <v>1</v>
      </c>
      <c r="Y30" s="253">
        <f>+'Plan de Accion Misional'!BW21</f>
        <v>1</v>
      </c>
      <c r="Z30" s="215">
        <f t="shared" ref="Z30" si="22">IF(Y30&gt;100%,100%,Y30)</f>
        <v>1</v>
      </c>
      <c r="AA30" s="220">
        <f>+'Plan de Accion Misional'!BF21</f>
        <v>0.68333332580957007</v>
      </c>
      <c r="AB30" s="220">
        <f t="shared" ref="AB30" si="23">IF(AA30&gt;100%,100%,AA30)</f>
        <v>0.68333332580957007</v>
      </c>
      <c r="AC30" s="556">
        <f t="shared" ref="AC30" si="24">+AB30</f>
        <v>0.68333332580957007</v>
      </c>
      <c r="AD30" s="216"/>
      <c r="AE30" s="217">
        <f>+'Plan de Accion Misional'!BN21</f>
        <v>0</v>
      </c>
      <c r="AF30" s="253">
        <f>+'Plan de Accion Misional'!BY21</f>
        <v>0</v>
      </c>
      <c r="AG30" s="215">
        <f t="shared" ref="AG30" si="25">IF(AF30&gt;100%,100%,AF30)</f>
        <v>0</v>
      </c>
      <c r="AH30" s="253">
        <f>+'Plan de Accion Misional'!BP21</f>
        <v>0.68333332580957007</v>
      </c>
      <c r="AI30" s="214">
        <f t="shared" ref="AI30" si="26">IF(AH30&gt;100%,100%,AH30)</f>
        <v>0.68333332580957007</v>
      </c>
      <c r="AJ30" s="1433"/>
      <c r="AL30" s="1413"/>
      <c r="AM30" s="1410"/>
      <c r="AN30" s="207"/>
      <c r="AO30" s="1419"/>
      <c r="AP30" s="1410"/>
      <c r="AQ30" s="207"/>
      <c r="AR30" s="1413"/>
      <c r="AS30" s="1410"/>
      <c r="AT30" s="207"/>
      <c r="AU30" s="1413"/>
      <c r="AV30" s="1410"/>
      <c r="AW30" s="205"/>
      <c r="AX30" s="1416"/>
      <c r="AZ30" s="1413"/>
      <c r="BA30" s="1410"/>
      <c r="BB30" s="207"/>
      <c r="BC30" s="1419"/>
      <c r="BD30" s="1410"/>
      <c r="BE30" s="207"/>
      <c r="BF30" s="1413"/>
      <c r="BG30" s="1410"/>
      <c r="BH30" s="207"/>
      <c r="BI30" s="1413"/>
      <c r="BJ30" s="1410"/>
      <c r="BK30" s="205"/>
      <c r="BL30" s="1416"/>
      <c r="BN30" s="1413"/>
      <c r="BO30" s="1410"/>
      <c r="BP30" s="207"/>
      <c r="BQ30" s="1419"/>
      <c r="BR30" s="1410"/>
      <c r="BS30" s="207"/>
      <c r="BT30" s="1413"/>
      <c r="BU30" s="1410"/>
      <c r="BV30" s="207"/>
      <c r="BW30" s="1413"/>
      <c r="BX30" s="1410"/>
      <c r="BY30" s="205"/>
      <c r="BZ30" s="1416"/>
      <c r="CB30" s="1413"/>
      <c r="CC30" s="1410"/>
      <c r="CD30" s="207"/>
      <c r="CE30" s="1419"/>
      <c r="CF30" s="1410"/>
      <c r="CG30" s="207"/>
      <c r="CH30" s="1413"/>
      <c r="CI30" s="1410"/>
      <c r="CJ30" s="207"/>
      <c r="CK30" s="1413"/>
      <c r="CL30" s="1410"/>
      <c r="CM30" s="205"/>
      <c r="CN30" s="1416"/>
    </row>
    <row r="31" spans="2:92" ht="15" x14ac:dyDescent="0.2">
      <c r="B31" s="1362"/>
      <c r="C31" s="1314"/>
      <c r="D31" s="1352"/>
      <c r="E31" s="1320"/>
      <c r="F31" s="1317"/>
      <c r="G31" s="322" t="str">
        <f>+'Plan de Accion Misional'!K10</f>
        <v>Comunicaciones enviadas</v>
      </c>
      <c r="H31" s="1447"/>
      <c r="J31" s="1302">
        <f>+'Plan de Accion Misional'!AJ10</f>
        <v>0.66666666666666663</v>
      </c>
      <c r="K31" s="1290">
        <f>+'Plan de Accion Misional'!BS10</f>
        <v>0.66666666666666663</v>
      </c>
      <c r="L31" s="1290">
        <f t="shared" si="2"/>
        <v>0.66666666666666663</v>
      </c>
      <c r="M31" s="1290">
        <f>+'Plan de Accion Misional'!AL10</f>
        <v>0.16666666666666666</v>
      </c>
      <c r="N31" s="1290">
        <f t="shared" si="0"/>
        <v>0.16666666666666666</v>
      </c>
      <c r="O31" s="1290">
        <f t="shared" si="1"/>
        <v>0.16666666666666666</v>
      </c>
      <c r="P31" s="216"/>
      <c r="Q31" s="1302">
        <f>+'Plan de Accion Misional'!AT10</f>
        <v>1</v>
      </c>
      <c r="R31" s="1336">
        <f>+'Plan de Accion Misional'!BU10</f>
        <v>1</v>
      </c>
      <c r="S31" s="1336">
        <f t="shared" si="3"/>
        <v>1</v>
      </c>
      <c r="T31" s="1336">
        <f>+'Plan de Accion Misional'!AV10</f>
        <v>0.41666666666666669</v>
      </c>
      <c r="U31" s="1336">
        <f t="shared" si="4"/>
        <v>0.41666666666666669</v>
      </c>
      <c r="V31" s="1338">
        <f t="shared" si="5"/>
        <v>0.41666666666666669</v>
      </c>
      <c r="W31" s="216"/>
      <c r="X31" s="1302">
        <f>+'Plan de Accion Misional'!BD10</f>
        <v>1</v>
      </c>
      <c r="Y31" s="1336">
        <f>+'Plan de Accion Misional'!BW10</f>
        <v>1</v>
      </c>
      <c r="Z31" s="1336">
        <f t="shared" si="6"/>
        <v>1</v>
      </c>
      <c r="AA31" s="1366">
        <f>+'Plan de Accion Misional'!BF10</f>
        <v>0.66666666666666663</v>
      </c>
      <c r="AB31" s="1366">
        <f t="shared" si="7"/>
        <v>0.66666666666666663</v>
      </c>
      <c r="AC31" s="1340">
        <f t="shared" si="8"/>
        <v>0.66666666666666663</v>
      </c>
      <c r="AD31" s="216"/>
      <c r="AE31" s="1302">
        <f>+'Plan de Accion Misional'!BN10</f>
        <v>0</v>
      </c>
      <c r="AF31" s="1336">
        <f>+'Plan de Accion Misional'!BY10</f>
        <v>0</v>
      </c>
      <c r="AG31" s="1336">
        <f t="shared" si="9"/>
        <v>0</v>
      </c>
      <c r="AH31" s="1336">
        <f>+'Plan de Accion Misional'!BP10</f>
        <v>0.66666666666666663</v>
      </c>
      <c r="AI31" s="1338">
        <f t="shared" si="10"/>
        <v>0.66666666666666663</v>
      </c>
      <c r="AJ31" s="1433"/>
      <c r="AL31" s="1413"/>
      <c r="AM31" s="1410"/>
      <c r="AN31" s="207"/>
      <c r="AO31" s="1419"/>
      <c r="AP31" s="1410"/>
      <c r="AQ31" s="207"/>
      <c r="AR31" s="1413"/>
      <c r="AS31" s="1410"/>
      <c r="AT31" s="207"/>
      <c r="AU31" s="1413"/>
      <c r="AV31" s="1410"/>
      <c r="AW31" s="205"/>
      <c r="AX31" s="1416"/>
      <c r="AZ31" s="1413"/>
      <c r="BA31" s="1410"/>
      <c r="BB31" s="207"/>
      <c r="BC31" s="1419"/>
      <c r="BD31" s="1410"/>
      <c r="BE31" s="207"/>
      <c r="BF31" s="1413"/>
      <c r="BG31" s="1410"/>
      <c r="BH31" s="207"/>
      <c r="BI31" s="1413"/>
      <c r="BJ31" s="1410"/>
      <c r="BK31" s="205"/>
      <c r="BL31" s="1416"/>
      <c r="BN31" s="1413"/>
      <c r="BO31" s="1410"/>
      <c r="BP31" s="207"/>
      <c r="BQ31" s="1419"/>
      <c r="BR31" s="1410"/>
      <c r="BS31" s="207"/>
      <c r="BT31" s="1413"/>
      <c r="BU31" s="1410"/>
      <c r="BV31" s="207"/>
      <c r="BW31" s="1413"/>
      <c r="BX31" s="1410"/>
      <c r="BY31" s="205"/>
      <c r="BZ31" s="1416"/>
      <c r="CB31" s="1413"/>
      <c r="CC31" s="1410"/>
      <c r="CD31" s="207"/>
      <c r="CE31" s="1419"/>
      <c r="CF31" s="1410"/>
      <c r="CG31" s="207"/>
      <c r="CH31" s="1413"/>
      <c r="CI31" s="1410"/>
      <c r="CJ31" s="207"/>
      <c r="CK31" s="1413"/>
      <c r="CL31" s="1410"/>
      <c r="CM31" s="205"/>
      <c r="CN31" s="1416"/>
    </row>
    <row r="32" spans="2:92" ht="42.75" customHeight="1" x14ac:dyDescent="0.2">
      <c r="B32" s="1362"/>
      <c r="C32" s="1314"/>
      <c r="D32" s="1352"/>
      <c r="E32" s="1320"/>
      <c r="F32" s="1317"/>
      <c r="G32" s="322" t="str">
        <f>+'Plan de Accion Misional'!K11</f>
        <v>Pagos registrados en el SII PRE Procesos de repetición</v>
      </c>
      <c r="H32" s="1447"/>
      <c r="J32" s="1344"/>
      <c r="K32" s="1291"/>
      <c r="L32" s="1291"/>
      <c r="M32" s="1291"/>
      <c r="N32" s="1291"/>
      <c r="O32" s="1291"/>
      <c r="P32" s="216"/>
      <c r="Q32" s="1344"/>
      <c r="R32" s="1343"/>
      <c r="S32" s="1343"/>
      <c r="T32" s="1343"/>
      <c r="U32" s="1343"/>
      <c r="V32" s="1369"/>
      <c r="W32" s="216"/>
      <c r="X32" s="1344"/>
      <c r="Y32" s="1343"/>
      <c r="Z32" s="1343"/>
      <c r="AA32" s="1367"/>
      <c r="AB32" s="1367"/>
      <c r="AC32" s="1341"/>
      <c r="AD32" s="216"/>
      <c r="AE32" s="1344"/>
      <c r="AF32" s="1343"/>
      <c r="AG32" s="1343"/>
      <c r="AH32" s="1343"/>
      <c r="AI32" s="1369"/>
      <c r="AJ32" s="1433"/>
      <c r="AL32" s="1413"/>
      <c r="AM32" s="1410"/>
      <c r="AN32" s="207"/>
      <c r="AO32" s="1419"/>
      <c r="AP32" s="1410"/>
      <c r="AQ32" s="207"/>
      <c r="AR32" s="1413"/>
      <c r="AS32" s="1410"/>
      <c r="AT32" s="207"/>
      <c r="AU32" s="1413"/>
      <c r="AV32" s="1410"/>
      <c r="AW32" s="205"/>
      <c r="AX32" s="1416"/>
      <c r="AZ32" s="1413"/>
      <c r="BA32" s="1410"/>
      <c r="BB32" s="207"/>
      <c r="BC32" s="1419"/>
      <c r="BD32" s="1410"/>
      <c r="BE32" s="207"/>
      <c r="BF32" s="1413"/>
      <c r="BG32" s="1410"/>
      <c r="BH32" s="207"/>
      <c r="BI32" s="1413"/>
      <c r="BJ32" s="1410"/>
      <c r="BK32" s="205"/>
      <c r="BL32" s="1416"/>
      <c r="BN32" s="1413"/>
      <c r="BO32" s="1410"/>
      <c r="BP32" s="207"/>
      <c r="BQ32" s="1419"/>
      <c r="BR32" s="1410"/>
      <c r="BS32" s="207"/>
      <c r="BT32" s="1413"/>
      <c r="BU32" s="1410"/>
      <c r="BV32" s="207"/>
      <c r="BW32" s="1413"/>
      <c r="BX32" s="1410"/>
      <c r="BY32" s="205"/>
      <c r="BZ32" s="1416"/>
      <c r="CB32" s="1413"/>
      <c r="CC32" s="1410"/>
      <c r="CD32" s="207"/>
      <c r="CE32" s="1419"/>
      <c r="CF32" s="1410"/>
      <c r="CG32" s="207"/>
      <c r="CH32" s="1413"/>
      <c r="CI32" s="1410"/>
      <c r="CJ32" s="207"/>
      <c r="CK32" s="1413"/>
      <c r="CL32" s="1410"/>
      <c r="CM32" s="205"/>
      <c r="CN32" s="1416"/>
    </row>
    <row r="33" spans="2:92" ht="15" x14ac:dyDescent="0.2">
      <c r="B33" s="1362"/>
      <c r="C33" s="1314"/>
      <c r="D33" s="1352"/>
      <c r="E33" s="1320"/>
      <c r="F33" s="1317"/>
      <c r="G33" s="322" t="str">
        <f>+'Plan de Accion Misional'!K12</f>
        <v>Reclamaciones depurables</v>
      </c>
      <c r="H33" s="1447"/>
      <c r="J33" s="1303"/>
      <c r="K33" s="1292"/>
      <c r="L33" s="1292"/>
      <c r="M33" s="1292"/>
      <c r="N33" s="1292"/>
      <c r="O33" s="1292"/>
      <c r="P33" s="216"/>
      <c r="Q33" s="1303"/>
      <c r="R33" s="1337"/>
      <c r="S33" s="1337"/>
      <c r="T33" s="1337"/>
      <c r="U33" s="1337"/>
      <c r="V33" s="1339"/>
      <c r="W33" s="216"/>
      <c r="X33" s="1303"/>
      <c r="Y33" s="1337"/>
      <c r="Z33" s="1337"/>
      <c r="AA33" s="1368"/>
      <c r="AB33" s="1368"/>
      <c r="AC33" s="1342"/>
      <c r="AD33" s="216"/>
      <c r="AE33" s="1303"/>
      <c r="AF33" s="1337"/>
      <c r="AG33" s="1337"/>
      <c r="AH33" s="1337"/>
      <c r="AI33" s="1339"/>
      <c r="AJ33" s="1433"/>
      <c r="AL33" s="1413"/>
      <c r="AM33" s="1410"/>
      <c r="AN33" s="207"/>
      <c r="AO33" s="1419"/>
      <c r="AP33" s="1410"/>
      <c r="AQ33" s="207"/>
      <c r="AR33" s="1413"/>
      <c r="AS33" s="1410"/>
      <c r="AT33" s="207"/>
      <c r="AU33" s="1413"/>
      <c r="AV33" s="1410"/>
      <c r="AW33" s="205"/>
      <c r="AX33" s="1416"/>
      <c r="AZ33" s="1413"/>
      <c r="BA33" s="1410"/>
      <c r="BB33" s="207"/>
      <c r="BC33" s="1419"/>
      <c r="BD33" s="1410"/>
      <c r="BE33" s="207"/>
      <c r="BF33" s="1413"/>
      <c r="BG33" s="1410"/>
      <c r="BH33" s="207"/>
      <c r="BI33" s="1413"/>
      <c r="BJ33" s="1410"/>
      <c r="BK33" s="205"/>
      <c r="BL33" s="1416"/>
      <c r="BN33" s="1413"/>
      <c r="BO33" s="1410"/>
      <c r="BP33" s="207"/>
      <c r="BQ33" s="1419"/>
      <c r="BR33" s="1410"/>
      <c r="BS33" s="207"/>
      <c r="BT33" s="1413"/>
      <c r="BU33" s="1410"/>
      <c r="BV33" s="207"/>
      <c r="BW33" s="1413"/>
      <c r="BX33" s="1410"/>
      <c r="BY33" s="205"/>
      <c r="BZ33" s="1416"/>
      <c r="CB33" s="1413"/>
      <c r="CC33" s="1410"/>
      <c r="CD33" s="207"/>
      <c r="CE33" s="1419"/>
      <c r="CF33" s="1410"/>
      <c r="CG33" s="207"/>
      <c r="CH33" s="1413"/>
      <c r="CI33" s="1410"/>
      <c r="CJ33" s="207"/>
      <c r="CK33" s="1413"/>
      <c r="CL33" s="1410"/>
      <c r="CM33" s="205"/>
      <c r="CN33" s="1416"/>
    </row>
    <row r="34" spans="2:92" ht="71.25" customHeight="1" x14ac:dyDescent="0.2">
      <c r="B34" s="1362"/>
      <c r="C34" s="1314"/>
      <c r="D34" s="1352"/>
      <c r="E34" s="1320"/>
      <c r="F34" s="1317"/>
      <c r="G34" s="322" t="str">
        <f>+'Plan de Accion Misional'!K13</f>
        <v>Bases de información actualizadas</v>
      </c>
      <c r="H34" s="1448"/>
      <c r="J34" s="217">
        <f>+'Plan de Accion Misional'!AJ13</f>
        <v>0.80972221564651647</v>
      </c>
      <c r="K34" s="483">
        <f>+'Plan de Accion Misional'!BS13</f>
        <v>0.80972221564651647</v>
      </c>
      <c r="L34" s="483">
        <f>IF(K34&gt;100%,100%,K34)</f>
        <v>0.80972221564651647</v>
      </c>
      <c r="M34" s="483">
        <f>+'Plan de Accion Misional'!AL13</f>
        <v>0.14722222102663934</v>
      </c>
      <c r="N34" s="483">
        <f>IF(M34&gt;100%,100%,M34)</f>
        <v>0.14722222102663934</v>
      </c>
      <c r="O34" s="483">
        <f>+N34</f>
        <v>0.14722222102663934</v>
      </c>
      <c r="P34" s="216"/>
      <c r="Q34" s="217">
        <f>+'Plan de Accion Misional'!AT13</f>
        <v>0.91666666666666674</v>
      </c>
      <c r="R34" s="253">
        <f>+'Plan de Accion Misional'!BU13</f>
        <v>0.91666666666666674</v>
      </c>
      <c r="S34" s="215">
        <f>IF(R34&gt;100%,100%,R34)</f>
        <v>0.91666666666666674</v>
      </c>
      <c r="T34" s="311">
        <f>+'Plan de Accion Misional'!AV13</f>
        <v>0.39722222102663934</v>
      </c>
      <c r="U34" s="311">
        <f t="shared" ref="U34:U39" si="27">IF(T34&gt;100%,100%,T34)</f>
        <v>0.39722222102663934</v>
      </c>
      <c r="V34" s="214">
        <f>+U34</f>
        <v>0.39722222102663934</v>
      </c>
      <c r="W34" s="216"/>
      <c r="X34" s="217">
        <f>+'Plan de Accion Misional'!BD13</f>
        <v>0.91666666666666674</v>
      </c>
      <c r="Y34" s="253">
        <f>+'Plan de Accion Misional'!BW13</f>
        <v>0.91666666666666674</v>
      </c>
      <c r="Z34" s="215">
        <f>IF(Y34&gt;100%,100%,Y34)</f>
        <v>0.91666666666666674</v>
      </c>
      <c r="AA34" s="220">
        <f>+'Plan de Accion Misional'!BF13</f>
        <v>0.6472222210266394</v>
      </c>
      <c r="AB34" s="220">
        <f t="shared" ref="AB34:AB39" si="28">IF(AA34&gt;100%,100%,AA34)</f>
        <v>0.6472222210266394</v>
      </c>
      <c r="AC34" s="309">
        <f>+AB34</f>
        <v>0.6472222210266394</v>
      </c>
      <c r="AD34" s="216"/>
      <c r="AE34" s="217">
        <f>+'Plan de Accion Misional'!BN13</f>
        <v>0</v>
      </c>
      <c r="AF34" s="253">
        <f>+'Plan de Accion Misional'!BY13</f>
        <v>0</v>
      </c>
      <c r="AG34" s="215">
        <f>IF(AF34&gt;100%,100%,AF34)</f>
        <v>0</v>
      </c>
      <c r="AH34" s="253">
        <f>+'Plan de Accion Misional'!BP13</f>
        <v>0.6472222210266394</v>
      </c>
      <c r="AI34" s="214">
        <f t="shared" ref="AI34:AI39" si="29">IF(AH34&gt;100%,100%,AH34)</f>
        <v>0.6472222210266394</v>
      </c>
      <c r="AJ34" s="1433"/>
      <c r="AL34" s="1413"/>
      <c r="AM34" s="1410"/>
      <c r="AN34" s="207"/>
      <c r="AO34" s="1419"/>
      <c r="AP34" s="1410"/>
      <c r="AQ34" s="207"/>
      <c r="AR34" s="1413"/>
      <c r="AS34" s="1410"/>
      <c r="AT34" s="207"/>
      <c r="AU34" s="1413"/>
      <c r="AV34" s="1410"/>
      <c r="AW34" s="205"/>
      <c r="AX34" s="1416"/>
      <c r="AZ34" s="1413"/>
      <c r="BA34" s="1410"/>
      <c r="BB34" s="207"/>
      <c r="BC34" s="1419"/>
      <c r="BD34" s="1410"/>
      <c r="BE34" s="207"/>
      <c r="BF34" s="1413"/>
      <c r="BG34" s="1410"/>
      <c r="BH34" s="207"/>
      <c r="BI34" s="1413"/>
      <c r="BJ34" s="1410"/>
      <c r="BK34" s="205"/>
      <c r="BL34" s="1416"/>
      <c r="BN34" s="1413"/>
      <c r="BO34" s="1410"/>
      <c r="BP34" s="207"/>
      <c r="BQ34" s="1419"/>
      <c r="BR34" s="1410"/>
      <c r="BS34" s="207"/>
      <c r="BT34" s="1413"/>
      <c r="BU34" s="1410"/>
      <c r="BV34" s="207"/>
      <c r="BW34" s="1413"/>
      <c r="BX34" s="1410"/>
      <c r="BY34" s="205"/>
      <c r="BZ34" s="1416"/>
      <c r="CB34" s="1413"/>
      <c r="CC34" s="1410"/>
      <c r="CD34" s="207"/>
      <c r="CE34" s="1419"/>
      <c r="CF34" s="1410"/>
      <c r="CG34" s="207"/>
      <c r="CH34" s="1413"/>
      <c r="CI34" s="1410"/>
      <c r="CJ34" s="207"/>
      <c r="CK34" s="1413"/>
      <c r="CL34" s="1410"/>
      <c r="CM34" s="205"/>
      <c r="CN34" s="1416"/>
    </row>
    <row r="35" spans="2:92" ht="114" customHeight="1" x14ac:dyDescent="0.2">
      <c r="B35" s="1362"/>
      <c r="C35" s="1329"/>
      <c r="D35" s="1353"/>
      <c r="E35" s="1321"/>
      <c r="F35" s="1318"/>
      <c r="G35" s="322" t="str">
        <f>+'Plan de Accion Misional'!K14</f>
        <v>Pago de la cartera vendida a CISA S.A de resoluciones ejecutoriadas con mas de 180 días</v>
      </c>
      <c r="H35" s="346" t="str">
        <f>+'Plan de Accion Misional'!X15</f>
        <v xml:space="preserve">Monto pagado por CISA S.A / Monto ofrecido por CISA S.A. </v>
      </c>
      <c r="J35" s="217">
        <f>+'Plan de Accion Misional'!AQ15</f>
        <v>0</v>
      </c>
      <c r="K35" s="483" t="str">
        <f>+'Plan de Accion Misional'!BS15</f>
        <v>No Prog ni Ejec</v>
      </c>
      <c r="L35" s="483" t="s">
        <v>204</v>
      </c>
      <c r="M35" s="483" t="e">
        <f>+'Plan de Accion Misional'!AL15</f>
        <v>#DIV/0!</v>
      </c>
      <c r="N35" s="483" t="e">
        <f t="shared" ref="N35:N42" si="30">IF(M35&gt;100%,100%,M35)</f>
        <v>#DIV/0!</v>
      </c>
      <c r="O35" s="483" t="s">
        <v>204</v>
      </c>
      <c r="P35" s="216"/>
      <c r="Q35" s="217">
        <f>+'Plan de Accion Misional'!AQ15</f>
        <v>0</v>
      </c>
      <c r="R35" s="253" t="str">
        <f>+'Plan de Accion Misional'!BT15</f>
        <v>No Prog ni Ejec</v>
      </c>
      <c r="S35" s="215" t="s">
        <v>204</v>
      </c>
      <c r="T35" s="311" t="e">
        <f>+'Plan de Accion Misional'!AV15</f>
        <v>#DIV/0!</v>
      </c>
      <c r="U35" s="311" t="e">
        <f t="shared" si="27"/>
        <v>#DIV/0!</v>
      </c>
      <c r="V35" s="214" t="s">
        <v>204</v>
      </c>
      <c r="W35" s="216"/>
      <c r="X35" s="217">
        <f>+'Plan de Accion Misional'!BA15</f>
        <v>0</v>
      </c>
      <c r="Y35" s="253" t="str">
        <f>+'Plan de Accion Misional'!BV15</f>
        <v>No Prog ni Ejec</v>
      </c>
      <c r="Z35" s="215" t="s">
        <v>204</v>
      </c>
      <c r="AA35" s="1016" t="e">
        <f>+'Plan de Accion Misional'!BF15</f>
        <v>#DIV/0!</v>
      </c>
      <c r="AB35" s="1016" t="e">
        <f t="shared" si="28"/>
        <v>#DIV/0!</v>
      </c>
      <c r="AC35" s="219" t="s">
        <v>204</v>
      </c>
      <c r="AD35" s="216"/>
      <c r="AE35" s="217">
        <f>+'Plan de Accion Misional'!BK15</f>
        <v>0</v>
      </c>
      <c r="AF35" s="253">
        <f>+'Plan de Accion Misional'!BX15</f>
        <v>0</v>
      </c>
      <c r="AG35" s="215">
        <f t="shared" si="9"/>
        <v>0</v>
      </c>
      <c r="AH35" s="253">
        <f>+'Plan de Accion Misional'!BO15</f>
        <v>0</v>
      </c>
      <c r="AI35" s="214">
        <f t="shared" si="29"/>
        <v>0</v>
      </c>
      <c r="AJ35" s="1433"/>
      <c r="AL35" s="1413"/>
      <c r="AM35" s="1410"/>
      <c r="AN35" s="207"/>
      <c r="AO35" s="1419"/>
      <c r="AP35" s="1410"/>
      <c r="AQ35" s="207"/>
      <c r="AR35" s="1413"/>
      <c r="AS35" s="1410"/>
      <c r="AT35" s="207"/>
      <c r="AU35" s="1413"/>
      <c r="AV35" s="1410"/>
      <c r="AW35" s="205"/>
      <c r="AX35" s="1416"/>
      <c r="AZ35" s="1413"/>
      <c r="BA35" s="1410"/>
      <c r="BB35" s="207"/>
      <c r="BC35" s="1419"/>
      <c r="BD35" s="1410"/>
      <c r="BE35" s="207"/>
      <c r="BF35" s="1413"/>
      <c r="BG35" s="1410"/>
      <c r="BH35" s="207"/>
      <c r="BI35" s="1413"/>
      <c r="BJ35" s="1410"/>
      <c r="BK35" s="205"/>
      <c r="BL35" s="1416"/>
      <c r="BN35" s="1413"/>
      <c r="BO35" s="1410"/>
      <c r="BP35" s="207"/>
      <c r="BQ35" s="1419"/>
      <c r="BR35" s="1410"/>
      <c r="BS35" s="207"/>
      <c r="BT35" s="1413"/>
      <c r="BU35" s="1410"/>
      <c r="BV35" s="207"/>
      <c r="BW35" s="1413"/>
      <c r="BX35" s="1410"/>
      <c r="BY35" s="205"/>
      <c r="BZ35" s="1416"/>
      <c r="CB35" s="1413"/>
      <c r="CC35" s="1410"/>
      <c r="CD35" s="207"/>
      <c r="CE35" s="1419"/>
      <c r="CF35" s="1410"/>
      <c r="CG35" s="207"/>
      <c r="CH35" s="1413"/>
      <c r="CI35" s="1410"/>
      <c r="CJ35" s="207"/>
      <c r="CK35" s="1413"/>
      <c r="CL35" s="1410"/>
      <c r="CM35" s="205"/>
      <c r="CN35" s="1416"/>
    </row>
    <row r="36" spans="2:92" ht="30" customHeight="1" x14ac:dyDescent="0.2">
      <c r="B36" s="1362"/>
      <c r="C36" s="1348" t="s">
        <v>59</v>
      </c>
      <c r="D36" s="1351" t="s">
        <v>204</v>
      </c>
      <c r="E36" s="1316" t="s">
        <v>1222</v>
      </c>
      <c r="F36" s="1316" t="s">
        <v>330</v>
      </c>
      <c r="G36" s="329" t="str">
        <f>+'Plan de Accion Misional'!K17</f>
        <v>Gestión de Recaudo</v>
      </c>
      <c r="H36" s="1345" t="s">
        <v>219</v>
      </c>
      <c r="J36" s="217">
        <f>+'Plan de Accion Misional'!AQ17</f>
        <v>0.24994903419805312</v>
      </c>
      <c r="K36" s="483">
        <f>+'Plan de Accion Misional'!BS17</f>
        <v>0.82222222346123908</v>
      </c>
      <c r="L36" s="483">
        <f>IF(K36&gt;100%,100%,K36)</f>
        <v>0.82222222346123908</v>
      </c>
      <c r="M36" s="483">
        <f>+'Plan de Accion Misional'!AL17</f>
        <v>0.20555555586530977</v>
      </c>
      <c r="N36" s="483">
        <f>IF(M36&gt;100%,100%,M36)</f>
        <v>0.20555555586530977</v>
      </c>
      <c r="O36" s="483">
        <f>+N36</f>
        <v>0.20555555586530977</v>
      </c>
      <c r="P36" s="216"/>
      <c r="Q36" s="217">
        <f>+'Plan de Accion Misional'!AQ17</f>
        <v>0.24994903419805312</v>
      </c>
      <c r="R36" s="253">
        <f>+'Plan de Accion Misional'!BT17</f>
        <v>0.99979613679221246</v>
      </c>
      <c r="S36" s="215">
        <f>IF(R36&gt;100%,100%,R36)</f>
        <v>0.99979613679221246</v>
      </c>
      <c r="T36" s="332">
        <f>+'Plan de Accion Misional'!AV17</f>
        <v>0.45555555586530977</v>
      </c>
      <c r="U36" s="332">
        <f t="shared" si="27"/>
        <v>0.45555555586530977</v>
      </c>
      <c r="V36" s="214">
        <f>+U36</f>
        <v>0.45555555586530977</v>
      </c>
      <c r="W36" s="216"/>
      <c r="X36" s="217">
        <f>+'Plan de Accion Misional'!BA17</f>
        <v>0.24994659894621921</v>
      </c>
      <c r="Y36" s="253">
        <f>+'Plan de Accion Misional'!BV17</f>
        <v>0.99978639578487682</v>
      </c>
      <c r="Z36" s="215">
        <f t="shared" ref="Z36:Z41" si="31">IF(Y36&gt;100%,100%,Y36)</f>
        <v>0.99978639578487682</v>
      </c>
      <c r="AA36" s="220">
        <f>+'Plan de Accion Misional'!BF17</f>
        <v>0.70555555586530982</v>
      </c>
      <c r="AB36" s="220">
        <f t="shared" si="28"/>
        <v>0.70555555586530982</v>
      </c>
      <c r="AC36" s="339">
        <f t="shared" ref="AC36:AC41" si="32">+AB36</f>
        <v>0.70555555586530982</v>
      </c>
      <c r="AD36" s="216"/>
      <c r="AE36" s="217">
        <f>+'Plan de Accion Misional'!BK17</f>
        <v>0</v>
      </c>
      <c r="AF36" s="253">
        <f>+'Plan de Accion Misional'!BX17</f>
        <v>0</v>
      </c>
      <c r="AG36" s="215">
        <f t="shared" ref="AG36:AG41" si="33">IF(AF36&gt;100%,100%,AF36)</f>
        <v>0</v>
      </c>
      <c r="AH36" s="253">
        <f>+'Plan de Accion Misional'!BO17</f>
        <v>0.74973940437100783</v>
      </c>
      <c r="AI36" s="214">
        <f t="shared" si="29"/>
        <v>0.74973940437100783</v>
      </c>
      <c r="AJ36" s="1433"/>
      <c r="AL36" s="1413"/>
      <c r="AM36" s="1410"/>
      <c r="AN36" s="207"/>
      <c r="AO36" s="1419"/>
      <c r="AP36" s="1410"/>
      <c r="AQ36" s="207"/>
      <c r="AR36" s="1413"/>
      <c r="AS36" s="1410"/>
      <c r="AT36" s="207"/>
      <c r="AU36" s="1413"/>
      <c r="AV36" s="1410"/>
      <c r="AW36" s="205"/>
      <c r="AX36" s="1416"/>
      <c r="AZ36" s="1413"/>
      <c r="BA36" s="1410"/>
      <c r="BB36" s="207"/>
      <c r="BC36" s="1419"/>
      <c r="BD36" s="1410"/>
      <c r="BE36" s="207"/>
      <c r="BF36" s="1413"/>
      <c r="BG36" s="1410"/>
      <c r="BH36" s="207"/>
      <c r="BI36" s="1413"/>
      <c r="BJ36" s="1410"/>
      <c r="BK36" s="205"/>
      <c r="BL36" s="1416"/>
      <c r="BN36" s="1413"/>
      <c r="BO36" s="1410"/>
      <c r="BP36" s="207"/>
      <c r="BQ36" s="1419"/>
      <c r="BR36" s="1410"/>
      <c r="BS36" s="207"/>
      <c r="BT36" s="1413"/>
      <c r="BU36" s="1410"/>
      <c r="BV36" s="207"/>
      <c r="BW36" s="1413"/>
      <c r="BX36" s="1410"/>
      <c r="BY36" s="205"/>
      <c r="BZ36" s="1416"/>
      <c r="CB36" s="1413"/>
      <c r="CC36" s="1410"/>
      <c r="CD36" s="207"/>
      <c r="CE36" s="1419"/>
      <c r="CF36" s="1410"/>
      <c r="CG36" s="207"/>
      <c r="CH36" s="1413"/>
      <c r="CI36" s="1410"/>
      <c r="CJ36" s="207"/>
      <c r="CK36" s="1413"/>
      <c r="CL36" s="1410"/>
      <c r="CM36" s="205"/>
      <c r="CN36" s="1416"/>
    </row>
    <row r="37" spans="2:92" ht="30" customHeight="1" x14ac:dyDescent="0.2">
      <c r="B37" s="1362"/>
      <c r="C37" s="1349"/>
      <c r="D37" s="1352"/>
      <c r="E37" s="1317"/>
      <c r="F37" s="1317"/>
      <c r="G37" s="329" t="str">
        <f>+'Plan de Accion Misional'!K18</f>
        <v>Ordenes de Giros tramitadas</v>
      </c>
      <c r="H37" s="1346"/>
      <c r="J37" s="217">
        <f>+'Plan de Accion Misional'!AQ18</f>
        <v>0.25</v>
      </c>
      <c r="K37" s="538">
        <f>+'Plan de Accion Misional'!BS18</f>
        <v>0.78157856742140563</v>
      </c>
      <c r="L37" s="538">
        <f>IF(K37&gt;100%,100%,K37)</f>
        <v>0.78157856742140563</v>
      </c>
      <c r="M37" s="538">
        <f>+'Plan de Accion Misional'!AL18</f>
        <v>0.19539464185535141</v>
      </c>
      <c r="N37" s="538">
        <f>IF(M37&gt;100%,100%,M37)</f>
        <v>0.19539464185535141</v>
      </c>
      <c r="O37" s="538">
        <f>+N37</f>
        <v>0.19539464185535141</v>
      </c>
      <c r="P37" s="216"/>
      <c r="Q37" s="217">
        <f>+'Plan de Accion Misional'!AQ18</f>
        <v>0.25</v>
      </c>
      <c r="R37" s="253">
        <f>+'Plan de Accion Misional'!BT18</f>
        <v>1</v>
      </c>
      <c r="S37" s="215">
        <f>IF(R37&gt;100%,100%,R37)</f>
        <v>1</v>
      </c>
      <c r="T37" s="332">
        <f>+'Plan de Accion Misional'!AV18</f>
        <v>0.44539464185535138</v>
      </c>
      <c r="U37" s="332">
        <f t="shared" si="27"/>
        <v>0.44539464185535138</v>
      </c>
      <c r="V37" s="214">
        <f>+U37</f>
        <v>0.44539464185535138</v>
      </c>
      <c r="W37" s="216"/>
      <c r="X37" s="217">
        <f>+'Plan de Accion Misional'!BA18</f>
        <v>0.25</v>
      </c>
      <c r="Y37" s="253">
        <f>+'Plan de Accion Misional'!BV18</f>
        <v>1</v>
      </c>
      <c r="Z37" s="215">
        <f t="shared" si="31"/>
        <v>1</v>
      </c>
      <c r="AA37" s="220">
        <f>+'Plan de Accion Misional'!BF18</f>
        <v>0.69539464185535138</v>
      </c>
      <c r="AB37" s="220">
        <f t="shared" si="28"/>
        <v>0.69539464185535138</v>
      </c>
      <c r="AC37" s="339">
        <f t="shared" si="32"/>
        <v>0.69539464185535138</v>
      </c>
      <c r="AD37" s="216"/>
      <c r="AE37" s="217">
        <f>+'Plan de Accion Misional'!BK18</f>
        <v>0</v>
      </c>
      <c r="AF37" s="253">
        <f>+'Plan de Accion Misional'!BX18</f>
        <v>0</v>
      </c>
      <c r="AG37" s="215">
        <f t="shared" si="33"/>
        <v>0</v>
      </c>
      <c r="AH37" s="253">
        <f>+'Plan de Accion Misional'!BO18</f>
        <v>0.75</v>
      </c>
      <c r="AI37" s="214">
        <f t="shared" si="29"/>
        <v>0.75</v>
      </c>
      <c r="AJ37" s="1433"/>
      <c r="AL37" s="1413"/>
      <c r="AM37" s="1410"/>
      <c r="AN37" s="207"/>
      <c r="AO37" s="1419"/>
      <c r="AP37" s="1410"/>
      <c r="AQ37" s="207"/>
      <c r="AR37" s="1413"/>
      <c r="AS37" s="1410"/>
      <c r="AT37" s="207"/>
      <c r="AU37" s="1413"/>
      <c r="AV37" s="1410"/>
      <c r="AW37" s="205"/>
      <c r="AX37" s="1416"/>
      <c r="AZ37" s="1413"/>
      <c r="BA37" s="1410"/>
      <c r="BB37" s="207"/>
      <c r="BC37" s="1419"/>
      <c r="BD37" s="1410"/>
      <c r="BE37" s="207"/>
      <c r="BF37" s="1413"/>
      <c r="BG37" s="1410"/>
      <c r="BH37" s="207"/>
      <c r="BI37" s="1413"/>
      <c r="BJ37" s="1410"/>
      <c r="BK37" s="205"/>
      <c r="BL37" s="1416"/>
      <c r="BN37" s="1413"/>
      <c r="BO37" s="1410"/>
      <c r="BP37" s="207"/>
      <c r="BQ37" s="1419"/>
      <c r="BR37" s="1410"/>
      <c r="BS37" s="207"/>
      <c r="BT37" s="1413"/>
      <c r="BU37" s="1410"/>
      <c r="BV37" s="207"/>
      <c r="BW37" s="1413"/>
      <c r="BX37" s="1410"/>
      <c r="BY37" s="205"/>
      <c r="BZ37" s="1416"/>
      <c r="CB37" s="1413"/>
      <c r="CC37" s="1410"/>
      <c r="CD37" s="207"/>
      <c r="CE37" s="1419"/>
      <c r="CF37" s="1410"/>
      <c r="CG37" s="207"/>
      <c r="CH37" s="1413"/>
      <c r="CI37" s="1410"/>
      <c r="CJ37" s="207"/>
      <c r="CK37" s="1413"/>
      <c r="CL37" s="1410"/>
      <c r="CM37" s="205"/>
      <c r="CN37" s="1416"/>
    </row>
    <row r="38" spans="2:92" ht="30" customHeight="1" x14ac:dyDescent="0.2">
      <c r="B38" s="1362"/>
      <c r="C38" s="1349"/>
      <c r="D38" s="1352"/>
      <c r="E38" s="1317"/>
      <c r="F38" s="1317"/>
      <c r="G38" s="329" t="str">
        <f>+'Plan de Accion Misional'!K19</f>
        <v>Informes de Portafolio</v>
      </c>
      <c r="H38" s="1346"/>
      <c r="J38" s="217">
        <f>+'Plan de Accion Misional'!AQ19</f>
        <v>0.25</v>
      </c>
      <c r="K38" s="538">
        <f>+'Plan de Accion Misional'!BS19</f>
        <v>0.82222222222222219</v>
      </c>
      <c r="L38" s="538">
        <f>IF(K38&gt;100%,100%,K38)</f>
        <v>0.82222222222222219</v>
      </c>
      <c r="M38" s="538">
        <f>+'Plan de Accion Misional'!AL19</f>
        <v>0.20555555555555555</v>
      </c>
      <c r="N38" s="538">
        <f>IF(M38&gt;100%,100%,M38)</f>
        <v>0.20555555555555555</v>
      </c>
      <c r="O38" s="538">
        <f>+N38</f>
        <v>0.20555555555555555</v>
      </c>
      <c r="P38" s="216"/>
      <c r="Q38" s="217">
        <f>+'Plan de Accion Misional'!AQ19</f>
        <v>0.25</v>
      </c>
      <c r="R38" s="253">
        <f>+'Plan de Accion Misional'!BT19</f>
        <v>1</v>
      </c>
      <c r="S38" s="215">
        <f>IF(R38&gt;100%,100%,R38)</f>
        <v>1</v>
      </c>
      <c r="T38" s="332">
        <f>+'Plan de Accion Misional'!AV19</f>
        <v>0.45555555555555555</v>
      </c>
      <c r="U38" s="332">
        <f t="shared" si="27"/>
        <v>0.45555555555555555</v>
      </c>
      <c r="V38" s="214">
        <f>+U38</f>
        <v>0.45555555555555555</v>
      </c>
      <c r="W38" s="216"/>
      <c r="X38" s="217">
        <f>+'Plan de Accion Misional'!BA19</f>
        <v>0.25</v>
      </c>
      <c r="Y38" s="253">
        <f>+'Plan de Accion Misional'!BV19</f>
        <v>1</v>
      </c>
      <c r="Z38" s="215">
        <f t="shared" si="31"/>
        <v>1</v>
      </c>
      <c r="AA38" s="220">
        <f>+'Plan de Accion Misional'!BF19</f>
        <v>0.7055555555555556</v>
      </c>
      <c r="AB38" s="220">
        <f t="shared" si="28"/>
        <v>0.7055555555555556</v>
      </c>
      <c r="AC38" s="339">
        <f t="shared" si="32"/>
        <v>0.7055555555555556</v>
      </c>
      <c r="AD38" s="216"/>
      <c r="AE38" s="217">
        <f>+'Plan de Accion Misional'!BK19</f>
        <v>0</v>
      </c>
      <c r="AF38" s="253">
        <f>+'Plan de Accion Misional'!BX19</f>
        <v>0</v>
      </c>
      <c r="AG38" s="215">
        <f t="shared" si="33"/>
        <v>0</v>
      </c>
      <c r="AH38" s="253">
        <f>+'Plan de Accion Misional'!BO19</f>
        <v>0.75</v>
      </c>
      <c r="AI38" s="214">
        <f t="shared" si="29"/>
        <v>0.75</v>
      </c>
      <c r="AJ38" s="1433"/>
      <c r="AL38" s="1413"/>
      <c r="AM38" s="1410"/>
      <c r="AN38" s="207"/>
      <c r="AO38" s="1419"/>
      <c r="AP38" s="1410"/>
      <c r="AQ38" s="207"/>
      <c r="AR38" s="1413"/>
      <c r="AS38" s="1410"/>
      <c r="AT38" s="207"/>
      <c r="AU38" s="1413"/>
      <c r="AV38" s="1410"/>
      <c r="AW38" s="205"/>
      <c r="AX38" s="1416"/>
      <c r="AZ38" s="1413"/>
      <c r="BA38" s="1410"/>
      <c r="BB38" s="207"/>
      <c r="BC38" s="1419"/>
      <c r="BD38" s="1410"/>
      <c r="BE38" s="207"/>
      <c r="BF38" s="1413"/>
      <c r="BG38" s="1410"/>
      <c r="BH38" s="207"/>
      <c r="BI38" s="1413"/>
      <c r="BJ38" s="1410"/>
      <c r="BK38" s="205"/>
      <c r="BL38" s="1416"/>
      <c r="BN38" s="1413"/>
      <c r="BO38" s="1410"/>
      <c r="BP38" s="207"/>
      <c r="BQ38" s="1419"/>
      <c r="BR38" s="1410"/>
      <c r="BS38" s="207"/>
      <c r="BT38" s="1413"/>
      <c r="BU38" s="1410"/>
      <c r="BV38" s="207"/>
      <c r="BW38" s="1413"/>
      <c r="BX38" s="1410"/>
      <c r="BY38" s="205"/>
      <c r="BZ38" s="1416"/>
      <c r="CB38" s="1413"/>
      <c r="CC38" s="1410"/>
      <c r="CD38" s="207"/>
      <c r="CE38" s="1419"/>
      <c r="CF38" s="1410"/>
      <c r="CG38" s="207"/>
      <c r="CH38" s="1413"/>
      <c r="CI38" s="1410"/>
      <c r="CJ38" s="207"/>
      <c r="CK38" s="1413"/>
      <c r="CL38" s="1410"/>
      <c r="CM38" s="205"/>
      <c r="CN38" s="1416"/>
    </row>
    <row r="39" spans="2:92" ht="30" customHeight="1" x14ac:dyDescent="0.2">
      <c r="B39" s="1362"/>
      <c r="C39" s="1350"/>
      <c r="D39" s="1353"/>
      <c r="E39" s="1318"/>
      <c r="F39" s="1318"/>
      <c r="G39" s="329" t="str">
        <f>+'Plan de Accion Misional'!K20</f>
        <v>Estados Financieros</v>
      </c>
      <c r="H39" s="1347"/>
      <c r="J39" s="217">
        <f>+'Plan de Accion Misional'!AQ20</f>
        <v>1</v>
      </c>
      <c r="K39" s="538">
        <f>+'Plan de Accion Misional'!BS20</f>
        <v>0.77639309108345789</v>
      </c>
      <c r="L39" s="538">
        <f>IF(K39&gt;100%,100%,K39)</f>
        <v>0.77639309108345789</v>
      </c>
      <c r="M39" s="538">
        <f>+'Plan de Accion Misional'!AL20</f>
        <v>0.19409827277086447</v>
      </c>
      <c r="N39" s="538">
        <f>IF(M39&gt;100%,100%,M39)</f>
        <v>0.19409827277086447</v>
      </c>
      <c r="O39" s="538">
        <f>+N39</f>
        <v>0.19409827277086447</v>
      </c>
      <c r="P39" s="216"/>
      <c r="Q39" s="217">
        <f>+'Plan de Accion Misional'!AQ20</f>
        <v>1</v>
      </c>
      <c r="R39" s="253">
        <f>+'Plan de Accion Misional'!BT20</f>
        <v>1</v>
      </c>
      <c r="S39" s="215">
        <f>IF(R39&gt;100%,100%,R39)</f>
        <v>1</v>
      </c>
      <c r="T39" s="332">
        <f>+'Plan de Accion Misional'!AV20</f>
        <v>0.4440982727708645</v>
      </c>
      <c r="U39" s="332">
        <f t="shared" si="27"/>
        <v>0.4440982727708645</v>
      </c>
      <c r="V39" s="214">
        <f>+U39</f>
        <v>0.4440982727708645</v>
      </c>
      <c r="W39" s="216"/>
      <c r="X39" s="217">
        <f>+'Plan de Accion Misional'!BA20</f>
        <v>1</v>
      </c>
      <c r="Y39" s="253">
        <f>+'Plan de Accion Misional'!BV20</f>
        <v>1</v>
      </c>
      <c r="Z39" s="215">
        <f t="shared" si="31"/>
        <v>1</v>
      </c>
      <c r="AA39" s="220">
        <f>+'Plan de Accion Misional'!BF20</f>
        <v>0.69409827277086444</v>
      </c>
      <c r="AB39" s="220">
        <f t="shared" si="28"/>
        <v>0.69409827277086444</v>
      </c>
      <c r="AC39" s="339">
        <f t="shared" si="32"/>
        <v>0.69409827277086444</v>
      </c>
      <c r="AD39" s="216"/>
      <c r="AE39" s="217">
        <f>+'Plan de Accion Misional'!BK20</f>
        <v>0</v>
      </c>
      <c r="AF39" s="253">
        <f>+'Plan de Accion Misional'!BX20</f>
        <v>0</v>
      </c>
      <c r="AG39" s="215">
        <f t="shared" si="33"/>
        <v>0</v>
      </c>
      <c r="AH39" s="253">
        <f>+'Plan de Accion Misional'!BO20</f>
        <v>0.75</v>
      </c>
      <c r="AI39" s="214">
        <f t="shared" si="29"/>
        <v>0.75</v>
      </c>
      <c r="AJ39" s="1433"/>
      <c r="AL39" s="1413"/>
      <c r="AM39" s="1410"/>
      <c r="AN39" s="207"/>
      <c r="AO39" s="1419"/>
      <c r="AP39" s="1410"/>
      <c r="AQ39" s="207"/>
      <c r="AR39" s="1413"/>
      <c r="AS39" s="1410"/>
      <c r="AT39" s="207"/>
      <c r="AU39" s="1413"/>
      <c r="AV39" s="1410"/>
      <c r="AW39" s="205"/>
      <c r="AX39" s="1416"/>
      <c r="AZ39" s="1413"/>
      <c r="BA39" s="1410"/>
      <c r="BB39" s="207"/>
      <c r="BC39" s="1419"/>
      <c r="BD39" s="1410"/>
      <c r="BE39" s="207"/>
      <c r="BF39" s="1413"/>
      <c r="BG39" s="1410"/>
      <c r="BH39" s="207"/>
      <c r="BI39" s="1413"/>
      <c r="BJ39" s="1410"/>
      <c r="BK39" s="205"/>
      <c r="BL39" s="1416"/>
      <c r="BN39" s="1413"/>
      <c r="BO39" s="1410"/>
      <c r="BP39" s="207"/>
      <c r="BQ39" s="1419"/>
      <c r="BR39" s="1410"/>
      <c r="BS39" s="207"/>
      <c r="BT39" s="1413"/>
      <c r="BU39" s="1410"/>
      <c r="BV39" s="207"/>
      <c r="BW39" s="1413"/>
      <c r="BX39" s="1410"/>
      <c r="BY39" s="205"/>
      <c r="BZ39" s="1416"/>
      <c r="CB39" s="1413"/>
      <c r="CC39" s="1410"/>
      <c r="CD39" s="207"/>
      <c r="CE39" s="1419"/>
      <c r="CF39" s="1410"/>
      <c r="CG39" s="207"/>
      <c r="CH39" s="1413"/>
      <c r="CI39" s="1410"/>
      <c r="CJ39" s="207"/>
      <c r="CK39" s="1413"/>
      <c r="CL39" s="1410"/>
      <c r="CM39" s="205"/>
      <c r="CN39" s="1416"/>
    </row>
    <row r="40" spans="2:92" ht="84" customHeight="1" x14ac:dyDescent="0.2">
      <c r="B40" s="1362"/>
      <c r="C40" s="1313" t="s">
        <v>60</v>
      </c>
      <c r="D40" s="1351" t="s">
        <v>204</v>
      </c>
      <c r="E40" s="1319" t="s">
        <v>125</v>
      </c>
      <c r="F40" s="1316" t="s">
        <v>330</v>
      </c>
      <c r="G40" s="322" t="str">
        <f>+'Plan de Accion apoyo transversa'!X22</f>
        <v>Actas de las audiencias, memoriales y
providencias judiciales que se generen en la ejecución de las actividades de defensa de los intereses de la entidad</v>
      </c>
      <c r="H40" s="346" t="str">
        <f>+'Plan de Accion apoyo transversa'!AK22</f>
        <v>Producto pagado /producto entregado</v>
      </c>
      <c r="I40" s="207"/>
      <c r="J40" s="217" t="e">
        <f>+'Plan de Accion apoyo transversa'!AW22</f>
        <v>#DIV/0!</v>
      </c>
      <c r="K40" s="483" t="str">
        <f>+'Plan de Accion apoyo transversa'!CF22</f>
        <v>No Prog, Ejec=  20626000</v>
      </c>
      <c r="L40" s="483" t="s">
        <v>204</v>
      </c>
      <c r="M40" s="483">
        <f>+'Plan de Accion apoyo transversa'!AY22</f>
        <v>7.7650531198000194E-2</v>
      </c>
      <c r="N40" s="483">
        <f t="shared" si="30"/>
        <v>7.7650531198000194E-2</v>
      </c>
      <c r="O40" s="483" t="s">
        <v>204</v>
      </c>
      <c r="P40" s="216"/>
      <c r="Q40" s="217" t="e">
        <f>+'Plan de Accion apoyo transversa'!BG22</f>
        <v>#DIV/0!</v>
      </c>
      <c r="R40" s="253" t="str">
        <f>+'Plan de Accion apoyo transversa'!CH22</f>
        <v>No Prog, Ejec=  110000000</v>
      </c>
      <c r="S40" s="215" t="s">
        <v>204</v>
      </c>
      <c r="T40" s="311">
        <f>+'Plan de Accion apoyo transversa'!BI22</f>
        <v>0.49176661923155113</v>
      </c>
      <c r="U40" s="311">
        <f t="shared" ref="U40:U58" si="34">IF(T40&gt;100%,100%,T40)</f>
        <v>0.49176661923155113</v>
      </c>
      <c r="V40" s="214" t="s">
        <v>204</v>
      </c>
      <c r="W40" s="216"/>
      <c r="X40" s="217" t="e">
        <f>+'Plan de Accion apoyo transversa'!BQ22</f>
        <v>#DIV/0!</v>
      </c>
      <c r="Y40" s="253" t="str">
        <f>+'Plan de Accion apoyo transversa'!CJ22</f>
        <v>No Prog ni Ejec</v>
      </c>
      <c r="Z40" s="215">
        <f t="shared" si="31"/>
        <v>1</v>
      </c>
      <c r="AA40" s="220">
        <f>+'Plan de Accion apoyo transversa'!BS22</f>
        <v>0.49176661923155113</v>
      </c>
      <c r="AB40" s="220">
        <f t="shared" ref="AB40:AB58" si="35">IF(AA40&gt;100%,100%,AA40)</f>
        <v>0.49176661923155113</v>
      </c>
      <c r="AC40" s="309">
        <f t="shared" si="32"/>
        <v>0.49176661923155113</v>
      </c>
      <c r="AD40" s="216"/>
      <c r="AE40" s="217">
        <f>+'Plan de Accion apoyo transversa'!CA22</f>
        <v>0</v>
      </c>
      <c r="AF40" s="253">
        <f>+'Plan de Accion apoyo transversa'!CL22</f>
        <v>0</v>
      </c>
      <c r="AG40" s="215">
        <f t="shared" si="33"/>
        <v>0</v>
      </c>
      <c r="AH40" s="253">
        <f>+'Plan de Accion apoyo transversa'!CC22</f>
        <v>0.49176661923155113</v>
      </c>
      <c r="AI40" s="214">
        <f t="shared" ref="AI40:AI58" si="36">IF(AH40&gt;100%,100%,AH40)</f>
        <v>0.49176661923155113</v>
      </c>
      <c r="AJ40" s="1433"/>
      <c r="AL40" s="1413"/>
      <c r="AM40" s="1410"/>
      <c r="AN40" s="207"/>
      <c r="AO40" s="1419"/>
      <c r="AP40" s="1410"/>
      <c r="AQ40" s="207"/>
      <c r="AR40" s="1413"/>
      <c r="AS40" s="1410"/>
      <c r="AT40" s="207"/>
      <c r="AU40" s="1413"/>
      <c r="AV40" s="1410"/>
      <c r="AW40" s="205"/>
      <c r="AX40" s="1416"/>
      <c r="AZ40" s="1413"/>
      <c r="BA40" s="1410"/>
      <c r="BB40" s="207"/>
      <c r="BC40" s="1419"/>
      <c r="BD40" s="1410"/>
      <c r="BE40" s="207"/>
      <c r="BF40" s="1413"/>
      <c r="BG40" s="1410"/>
      <c r="BH40" s="207"/>
      <c r="BI40" s="1413"/>
      <c r="BJ40" s="1410"/>
      <c r="BK40" s="205"/>
      <c r="BL40" s="1416"/>
      <c r="BN40" s="1413"/>
      <c r="BO40" s="1410"/>
      <c r="BP40" s="207"/>
      <c r="BQ40" s="1419"/>
      <c r="BR40" s="1410"/>
      <c r="BS40" s="207"/>
      <c r="BT40" s="1413"/>
      <c r="BU40" s="1410"/>
      <c r="BV40" s="207"/>
      <c r="BW40" s="1413"/>
      <c r="BX40" s="1410"/>
      <c r="BY40" s="205"/>
      <c r="BZ40" s="1416"/>
      <c r="CB40" s="1413"/>
      <c r="CC40" s="1410"/>
      <c r="CD40" s="207"/>
      <c r="CE40" s="1419"/>
      <c r="CF40" s="1410"/>
      <c r="CG40" s="207"/>
      <c r="CH40" s="1413"/>
      <c r="CI40" s="1410"/>
      <c r="CJ40" s="207"/>
      <c r="CK40" s="1413"/>
      <c r="CL40" s="1410"/>
      <c r="CM40" s="205"/>
      <c r="CN40" s="1416"/>
    </row>
    <row r="41" spans="2:92" ht="99.75" customHeight="1" x14ac:dyDescent="0.2">
      <c r="B41" s="1362"/>
      <c r="C41" s="1314"/>
      <c r="D41" s="1352"/>
      <c r="E41" s="1320"/>
      <c r="F41" s="1317"/>
      <c r="G41" s="322" t="str">
        <f>+'Plan de Accion apoyo transversa'!X23</f>
        <v>Conceptos jurídicos</v>
      </c>
      <c r="H41" s="1345" t="s">
        <v>219</v>
      </c>
      <c r="I41" s="207"/>
      <c r="J41" s="217">
        <f>+'Plan de Accion apoyo transversa'!AW23</f>
        <v>0.28389324986859238</v>
      </c>
      <c r="K41" s="483">
        <f>+'Plan de Accion apoyo transversa'!CF23</f>
        <v>0.28389324986859238</v>
      </c>
      <c r="L41" s="483">
        <f>IF(K41&gt;100%,100%,K41)</f>
        <v>0.28389324986859238</v>
      </c>
      <c r="M41" s="483">
        <f>+'Plan de Accion apoyo transversa'!AY23</f>
        <v>7.0973312467148095E-2</v>
      </c>
      <c r="N41" s="483">
        <f t="shared" si="30"/>
        <v>7.0973312467148095E-2</v>
      </c>
      <c r="O41" s="682">
        <f>+N41</f>
        <v>7.0973312467148095E-2</v>
      </c>
      <c r="P41" s="216"/>
      <c r="Q41" s="217">
        <f>+'Plan de Accion apoyo transversa'!BG23</f>
        <v>0.38134916709924793</v>
      </c>
      <c r="R41" s="253">
        <f>+'Plan de Accion apoyo transversa'!CH23</f>
        <v>0.38134916709924793</v>
      </c>
      <c r="S41" s="215">
        <f>IF(R41&gt;100%,100%,R41)</f>
        <v>0.38134916709924793</v>
      </c>
      <c r="T41" s="311">
        <f>+'Plan de Accion apoyo transversa'!BI23</f>
        <v>0.16631060424196009</v>
      </c>
      <c r="U41" s="311">
        <f t="shared" si="34"/>
        <v>0.16631060424196009</v>
      </c>
      <c r="V41" s="214">
        <f>+U41</f>
        <v>0.16631060424196009</v>
      </c>
      <c r="W41" s="216"/>
      <c r="X41" s="217">
        <f>+'Plan de Accion apoyo transversa'!BQ23</f>
        <v>0.38134916709924793</v>
      </c>
      <c r="Y41" s="253">
        <f>+'Plan de Accion apoyo transversa'!CJ23</f>
        <v>0.38134916709924793</v>
      </c>
      <c r="Z41" s="215">
        <f t="shared" si="31"/>
        <v>0.38134916709924793</v>
      </c>
      <c r="AA41" s="220">
        <f>+'Plan de Accion apoyo transversa'!BS23</f>
        <v>0.26164789601677207</v>
      </c>
      <c r="AB41" s="220">
        <f t="shared" si="35"/>
        <v>0.26164789601677207</v>
      </c>
      <c r="AC41" s="309">
        <f t="shared" si="32"/>
        <v>0.26164789601677207</v>
      </c>
      <c r="AD41" s="216"/>
      <c r="AE41" s="217">
        <f>+'Plan de Accion apoyo transversa'!CA23</f>
        <v>0</v>
      </c>
      <c r="AF41" s="253">
        <f>+'Plan de Accion apoyo transversa'!CL23</f>
        <v>0</v>
      </c>
      <c r="AG41" s="215">
        <f t="shared" si="33"/>
        <v>0</v>
      </c>
      <c r="AH41" s="253">
        <f>+'Plan de Accion apoyo transversa'!CC23</f>
        <v>0.26164789601677207</v>
      </c>
      <c r="AI41" s="214">
        <f t="shared" si="36"/>
        <v>0.26164789601677207</v>
      </c>
      <c r="AJ41" s="1433"/>
      <c r="AL41" s="1413"/>
      <c r="AM41" s="1410"/>
      <c r="AN41" s="207"/>
      <c r="AO41" s="1419"/>
      <c r="AP41" s="1410"/>
      <c r="AQ41" s="207"/>
      <c r="AR41" s="1413"/>
      <c r="AS41" s="1410"/>
      <c r="AT41" s="207"/>
      <c r="AU41" s="1413"/>
      <c r="AV41" s="1410"/>
      <c r="AW41" s="205"/>
      <c r="AX41" s="1416"/>
      <c r="AZ41" s="1413"/>
      <c r="BA41" s="1410"/>
      <c r="BB41" s="207"/>
      <c r="BC41" s="1419"/>
      <c r="BD41" s="1410"/>
      <c r="BE41" s="207"/>
      <c r="BF41" s="1413"/>
      <c r="BG41" s="1410"/>
      <c r="BH41" s="207"/>
      <c r="BI41" s="1413"/>
      <c r="BJ41" s="1410"/>
      <c r="BK41" s="205"/>
      <c r="BL41" s="1416"/>
      <c r="BN41" s="1413"/>
      <c r="BO41" s="1410"/>
      <c r="BP41" s="207"/>
      <c r="BQ41" s="1419"/>
      <c r="BR41" s="1410"/>
      <c r="BS41" s="207"/>
      <c r="BT41" s="1413"/>
      <c r="BU41" s="1410"/>
      <c r="BV41" s="207"/>
      <c r="BW41" s="1413"/>
      <c r="BX41" s="1410"/>
      <c r="BY41" s="205"/>
      <c r="BZ41" s="1416"/>
      <c r="CB41" s="1413"/>
      <c r="CC41" s="1410"/>
      <c r="CD41" s="207"/>
      <c r="CE41" s="1419"/>
      <c r="CF41" s="1410"/>
      <c r="CG41" s="207"/>
      <c r="CH41" s="1413"/>
      <c r="CI41" s="1410"/>
      <c r="CJ41" s="207"/>
      <c r="CK41" s="1413"/>
      <c r="CL41" s="1410"/>
      <c r="CM41" s="205"/>
      <c r="CN41" s="1416"/>
    </row>
    <row r="42" spans="2:92" ht="28.5" x14ac:dyDescent="0.2">
      <c r="B42" s="1362"/>
      <c r="C42" s="1314"/>
      <c r="D42" s="1352"/>
      <c r="E42" s="1320"/>
      <c r="F42" s="1317"/>
      <c r="G42" s="322" t="str">
        <f>+'Plan de Accion apoyo transversa'!X24</f>
        <v>Recursos de casación y representación judicial</v>
      </c>
      <c r="H42" s="1346"/>
      <c r="I42" s="207"/>
      <c r="J42" s="217">
        <f>+'Plan de Accion apoyo transversa'!AW24</f>
        <v>0</v>
      </c>
      <c r="K42" s="483">
        <f>+'Plan de Accion apoyo transversa'!CF24</f>
        <v>0</v>
      </c>
      <c r="L42" s="483">
        <f>IF(K42&gt;100%,100%,K42)</f>
        <v>0</v>
      </c>
      <c r="M42" s="483">
        <f>+'Plan de Accion apoyo transversa'!AY24</f>
        <v>0</v>
      </c>
      <c r="N42" s="483">
        <f t="shared" si="30"/>
        <v>0</v>
      </c>
      <c r="O42" s="483">
        <f>+N42</f>
        <v>0</v>
      </c>
      <c r="P42" s="216"/>
      <c r="Q42" s="217">
        <f>+'Plan de Accion apoyo transversa'!BG24</f>
        <v>0</v>
      </c>
      <c r="R42" s="253">
        <f>+'Plan de Accion apoyo transversa'!CH24</f>
        <v>0</v>
      </c>
      <c r="S42" s="215">
        <f>IF(R42&gt;100%,100%,R42)</f>
        <v>0</v>
      </c>
      <c r="T42" s="311">
        <f>+'Plan de Accion apoyo transversa'!BI24</f>
        <v>0</v>
      </c>
      <c r="U42" s="311">
        <f t="shared" si="34"/>
        <v>0</v>
      </c>
      <c r="V42" s="214">
        <f>+U42</f>
        <v>0</v>
      </c>
      <c r="W42" s="216"/>
      <c r="X42" s="217">
        <f>+'Plan de Accion apoyo transversa'!BQ24</f>
        <v>0</v>
      </c>
      <c r="Y42" s="253">
        <f>+'Plan de Accion apoyo transversa'!CJ24</f>
        <v>0</v>
      </c>
      <c r="Z42" s="215">
        <f t="shared" ref="Z42:Z49" si="37">IF(Y42&gt;100%,100%,Y42)</f>
        <v>0</v>
      </c>
      <c r="AA42" s="220">
        <f>+'Plan de Accion apoyo transversa'!BS24</f>
        <v>0</v>
      </c>
      <c r="AB42" s="220">
        <f t="shared" si="35"/>
        <v>0</v>
      </c>
      <c r="AC42" s="309">
        <f t="shared" ref="AC42:AC49" si="38">+AB42</f>
        <v>0</v>
      </c>
      <c r="AD42" s="216"/>
      <c r="AE42" s="217">
        <f>+'Plan de Accion apoyo transversa'!CA24</f>
        <v>0</v>
      </c>
      <c r="AF42" s="253">
        <f>+'Plan de Accion apoyo transversa'!CL24</f>
        <v>0</v>
      </c>
      <c r="AG42" s="215">
        <f t="shared" ref="AG42:AG58" si="39">IF(AF42&gt;100%,100%,AF42)</f>
        <v>0</v>
      </c>
      <c r="AH42" s="253">
        <f>+'Plan de Accion apoyo transversa'!CC24</f>
        <v>0</v>
      </c>
      <c r="AI42" s="214">
        <f t="shared" si="36"/>
        <v>0</v>
      </c>
      <c r="AJ42" s="1433"/>
      <c r="AL42" s="1413"/>
      <c r="AM42" s="1410"/>
      <c r="AN42" s="207"/>
      <c r="AO42" s="1419"/>
      <c r="AP42" s="1410"/>
      <c r="AQ42" s="207"/>
      <c r="AR42" s="1413"/>
      <c r="AS42" s="1410"/>
      <c r="AT42" s="207"/>
      <c r="AU42" s="1413"/>
      <c r="AV42" s="1410"/>
      <c r="AW42" s="205"/>
      <c r="AX42" s="1416"/>
      <c r="AZ42" s="1413"/>
      <c r="BA42" s="1410"/>
      <c r="BB42" s="207"/>
      <c r="BC42" s="1419"/>
      <c r="BD42" s="1410"/>
      <c r="BE42" s="207"/>
      <c r="BF42" s="1413"/>
      <c r="BG42" s="1410"/>
      <c r="BH42" s="207"/>
      <c r="BI42" s="1413"/>
      <c r="BJ42" s="1410"/>
      <c r="BK42" s="205"/>
      <c r="BL42" s="1416"/>
      <c r="BN42" s="1413"/>
      <c r="BO42" s="1410"/>
      <c r="BP42" s="207"/>
      <c r="BQ42" s="1419"/>
      <c r="BR42" s="1410"/>
      <c r="BS42" s="207"/>
      <c r="BT42" s="1413"/>
      <c r="BU42" s="1410"/>
      <c r="BV42" s="207"/>
      <c r="BW42" s="1413"/>
      <c r="BX42" s="1410"/>
      <c r="BY42" s="205"/>
      <c r="BZ42" s="1416"/>
      <c r="CB42" s="1413"/>
      <c r="CC42" s="1410"/>
      <c r="CD42" s="207"/>
      <c r="CE42" s="1419"/>
      <c r="CF42" s="1410"/>
      <c r="CG42" s="207"/>
      <c r="CH42" s="1413"/>
      <c r="CI42" s="1410"/>
      <c r="CJ42" s="207"/>
      <c r="CK42" s="1413"/>
      <c r="CL42" s="1410"/>
      <c r="CM42" s="205"/>
      <c r="CN42" s="1416"/>
    </row>
    <row r="43" spans="2:92" ht="47.25" customHeight="1" x14ac:dyDescent="0.2">
      <c r="B43" s="1362"/>
      <c r="C43" s="1314"/>
      <c r="D43" s="1352"/>
      <c r="E43" s="1320"/>
      <c r="F43" s="1317"/>
      <c r="G43" s="322" t="str">
        <f>+'Plan de Accion apoyo transversa'!X25</f>
        <v>Vigilancia judicial</v>
      </c>
      <c r="H43" s="1346"/>
      <c r="I43" s="207"/>
      <c r="J43" s="217">
        <f>+'Plan de Accion apoyo transversa'!AW25</f>
        <v>0</v>
      </c>
      <c r="K43" s="483">
        <f>+'Plan de Accion apoyo transversa'!CF25</f>
        <v>0</v>
      </c>
      <c r="L43" s="483">
        <f>IF(K43&gt;100%,100%,K43)</f>
        <v>0</v>
      </c>
      <c r="M43" s="483">
        <f>+'Plan de Accion apoyo transversa'!AY25</f>
        <v>0</v>
      </c>
      <c r="N43" s="483">
        <f>IF(M43&gt;100%,100%,M43)</f>
        <v>0</v>
      </c>
      <c r="O43" s="483">
        <f>+N43</f>
        <v>0</v>
      </c>
      <c r="P43" s="216"/>
      <c r="Q43" s="217">
        <f>+'Plan de Accion apoyo transversa'!BG25</f>
        <v>0.95158350466666664</v>
      </c>
      <c r="R43" s="253">
        <f>+'Plan de Accion apoyo transversa'!CH25</f>
        <v>0.95158350466666664</v>
      </c>
      <c r="S43" s="215">
        <f>IF(R43&gt;100%,100%,R43)</f>
        <v>0.95158350466666664</v>
      </c>
      <c r="T43" s="311">
        <f>+'Plan de Accion apoyo transversa'!BI25</f>
        <v>0.23789587616666666</v>
      </c>
      <c r="U43" s="311">
        <f t="shared" si="34"/>
        <v>0.23789587616666666</v>
      </c>
      <c r="V43" s="214">
        <f>+U43</f>
        <v>0.23789587616666666</v>
      </c>
      <c r="W43" s="216"/>
      <c r="X43" s="217">
        <f>+'Plan de Accion apoyo transversa'!BQ25</f>
        <v>1.5367948666666666</v>
      </c>
      <c r="Y43" s="253">
        <f>+'Plan de Accion apoyo transversa'!CJ25</f>
        <v>1.5367948666666666</v>
      </c>
      <c r="Z43" s="215">
        <f t="shared" si="37"/>
        <v>1</v>
      </c>
      <c r="AA43" s="220">
        <f>+'Plan de Accion apoyo transversa'!BS25</f>
        <v>0.62209459283333335</v>
      </c>
      <c r="AB43" s="220">
        <f t="shared" si="35"/>
        <v>0.62209459283333335</v>
      </c>
      <c r="AC43" s="309">
        <f t="shared" si="38"/>
        <v>0.62209459283333335</v>
      </c>
      <c r="AD43" s="216">
        <v>1</v>
      </c>
      <c r="AE43" s="217">
        <f>+'Plan de Accion apoyo transversa'!CA25</f>
        <v>0</v>
      </c>
      <c r="AF43" s="253">
        <f>+'Plan de Accion apoyo transversa'!CL25</f>
        <v>0</v>
      </c>
      <c r="AG43" s="215">
        <f t="shared" si="39"/>
        <v>0</v>
      </c>
      <c r="AH43" s="253">
        <f>+'Plan de Accion apoyo transversa'!CC25</f>
        <v>0.62209459283333335</v>
      </c>
      <c r="AI43" s="214">
        <f t="shared" si="36"/>
        <v>0.62209459283333335</v>
      </c>
      <c r="AJ43" s="1433"/>
      <c r="AL43" s="1413"/>
      <c r="AM43" s="1410"/>
      <c r="AN43" s="207"/>
      <c r="AO43" s="1419"/>
      <c r="AP43" s="1410"/>
      <c r="AQ43" s="207"/>
      <c r="AR43" s="1413"/>
      <c r="AS43" s="1410"/>
      <c r="AT43" s="207"/>
      <c r="AU43" s="1413"/>
      <c r="AV43" s="1410"/>
      <c r="AW43" s="205"/>
      <c r="AX43" s="1416"/>
      <c r="AZ43" s="1413"/>
      <c r="BA43" s="1410"/>
      <c r="BB43" s="207"/>
      <c r="BC43" s="1419"/>
      <c r="BD43" s="1410"/>
      <c r="BE43" s="207"/>
      <c r="BF43" s="1413"/>
      <c r="BG43" s="1410"/>
      <c r="BH43" s="207"/>
      <c r="BI43" s="1413"/>
      <c r="BJ43" s="1410"/>
      <c r="BK43" s="205"/>
      <c r="BL43" s="1416"/>
      <c r="BN43" s="1413"/>
      <c r="BO43" s="1410"/>
      <c r="BP43" s="207"/>
      <c r="BQ43" s="1419"/>
      <c r="BR43" s="1410"/>
      <c r="BS43" s="207"/>
      <c r="BT43" s="1413"/>
      <c r="BU43" s="1410"/>
      <c r="BV43" s="207"/>
      <c r="BW43" s="1413"/>
      <c r="BX43" s="1410"/>
      <c r="BY43" s="205"/>
      <c r="BZ43" s="1416"/>
      <c r="CB43" s="1413"/>
      <c r="CC43" s="1410"/>
      <c r="CD43" s="207"/>
      <c r="CE43" s="1419"/>
      <c r="CF43" s="1410"/>
      <c r="CG43" s="207"/>
      <c r="CH43" s="1413"/>
      <c r="CI43" s="1410"/>
      <c r="CJ43" s="207"/>
      <c r="CK43" s="1413"/>
      <c r="CL43" s="1410"/>
      <c r="CM43" s="205"/>
      <c r="CN43" s="1416"/>
    </row>
    <row r="44" spans="2:92" ht="42.75" x14ac:dyDescent="0.2">
      <c r="B44" s="1362"/>
      <c r="C44" s="1314"/>
      <c r="D44" s="1352"/>
      <c r="E44" s="1320"/>
      <c r="F44" s="1317"/>
      <c r="G44" s="322" t="str">
        <f>+'Plan de Accion apoyo transversa'!X26</f>
        <v>Revisión, análisis y liquidación de sentencias condenatorias</v>
      </c>
      <c r="H44" s="1346"/>
      <c r="I44" s="207"/>
      <c r="J44" s="1302">
        <f>+'Plan de Accion apoyo transversa'!AW26</f>
        <v>0.58888886130175699</v>
      </c>
      <c r="K44" s="1290">
        <f>+'Plan de Accion apoyo transversa'!CF26</f>
        <v>0.58888886130175699</v>
      </c>
      <c r="L44" s="1290">
        <f>IF(K44&gt;100%,100%,K44)</f>
        <v>0.58888886130175699</v>
      </c>
      <c r="M44" s="1290">
        <f>+'Plan de Accion apoyo transversa'!AY26</f>
        <v>0.14722221532543925</v>
      </c>
      <c r="N44" s="1290">
        <f>IF(M44&gt;100%,100%,M44)</f>
        <v>0.14722221532543925</v>
      </c>
      <c r="O44" s="1290">
        <f>+N44</f>
        <v>0.14722221532543925</v>
      </c>
      <c r="P44" s="216"/>
      <c r="Q44" s="1302">
        <f>+'Plan de Accion apoyo transversa'!BG26</f>
        <v>1</v>
      </c>
      <c r="R44" s="1336">
        <f>+'Plan de Accion apoyo transversa'!CH26</f>
        <v>1</v>
      </c>
      <c r="S44" s="1336">
        <f>IF(R44&gt;100%,100%,R44)</f>
        <v>1</v>
      </c>
      <c r="T44" s="1336">
        <f>+'Plan de Accion apoyo transversa'!BI26</f>
        <v>0.39722221532543928</v>
      </c>
      <c r="U44" s="1336">
        <f t="shared" si="34"/>
        <v>0.39722221532543928</v>
      </c>
      <c r="V44" s="1338">
        <f>+U44</f>
        <v>0.39722221532543928</v>
      </c>
      <c r="W44" s="216"/>
      <c r="X44" s="1302">
        <f>+'Plan de Accion apoyo transversa'!BQ26</f>
        <v>1</v>
      </c>
      <c r="Y44" s="1336">
        <f>+'Plan de Accion apoyo transversa'!CJ26</f>
        <v>1</v>
      </c>
      <c r="Z44" s="1336">
        <f t="shared" si="37"/>
        <v>1</v>
      </c>
      <c r="AA44" s="1366">
        <f>+'Plan de Accion apoyo transversa'!BS26</f>
        <v>0.64722221532543922</v>
      </c>
      <c r="AB44" s="1366">
        <f t="shared" si="35"/>
        <v>0.64722221532543922</v>
      </c>
      <c r="AC44" s="1340">
        <f t="shared" si="38"/>
        <v>0.64722221532543922</v>
      </c>
      <c r="AD44" s="216"/>
      <c r="AE44" s="1302">
        <f>+'Plan de Accion apoyo transversa'!CA26</f>
        <v>0</v>
      </c>
      <c r="AF44" s="1336">
        <f>+'Plan de Accion apoyo transversa'!CL26</f>
        <v>0</v>
      </c>
      <c r="AG44" s="1336">
        <f t="shared" si="39"/>
        <v>0</v>
      </c>
      <c r="AH44" s="1336">
        <f>+'Plan de Accion apoyo transversa'!CC26</f>
        <v>0.64722221532543922</v>
      </c>
      <c r="AI44" s="1338">
        <f t="shared" si="36"/>
        <v>0.64722221532543922</v>
      </c>
      <c r="AJ44" s="1433"/>
      <c r="AL44" s="1413"/>
      <c r="AM44" s="1410"/>
      <c r="AN44" s="207"/>
      <c r="AO44" s="1419"/>
      <c r="AP44" s="1410"/>
      <c r="AQ44" s="207"/>
      <c r="AR44" s="1413"/>
      <c r="AS44" s="1410"/>
      <c r="AT44" s="207"/>
      <c r="AU44" s="1413"/>
      <c r="AV44" s="1410"/>
      <c r="AW44" s="205"/>
      <c r="AX44" s="1416"/>
      <c r="AZ44" s="1413"/>
      <c r="BA44" s="1410"/>
      <c r="BB44" s="207"/>
      <c r="BC44" s="1419"/>
      <c r="BD44" s="1410"/>
      <c r="BE44" s="207"/>
      <c r="BF44" s="1413"/>
      <c r="BG44" s="1410"/>
      <c r="BH44" s="207"/>
      <c r="BI44" s="1413"/>
      <c r="BJ44" s="1410"/>
      <c r="BK44" s="205"/>
      <c r="BL44" s="1416"/>
      <c r="BN44" s="1413"/>
      <c r="BO44" s="1410"/>
      <c r="BP44" s="207"/>
      <c r="BQ44" s="1419"/>
      <c r="BR44" s="1410"/>
      <c r="BS44" s="207"/>
      <c r="BT44" s="1413"/>
      <c r="BU44" s="1410"/>
      <c r="BV44" s="207"/>
      <c r="BW44" s="1413"/>
      <c r="BX44" s="1410"/>
      <c r="BY44" s="205"/>
      <c r="BZ44" s="1416"/>
      <c r="CB44" s="1413"/>
      <c r="CC44" s="1410"/>
      <c r="CD44" s="207"/>
      <c r="CE44" s="1419"/>
      <c r="CF44" s="1410"/>
      <c r="CG44" s="207"/>
      <c r="CH44" s="1413"/>
      <c r="CI44" s="1410"/>
      <c r="CJ44" s="207"/>
      <c r="CK44" s="1413"/>
      <c r="CL44" s="1410"/>
      <c r="CM44" s="205"/>
      <c r="CN44" s="1416"/>
    </row>
    <row r="45" spans="2:92" ht="16.5" customHeight="1" thickBot="1" x14ac:dyDescent="0.25">
      <c r="B45" s="1362"/>
      <c r="C45" s="1314"/>
      <c r="D45" s="1352"/>
      <c r="E45" s="1320"/>
      <c r="F45" s="1317"/>
      <c r="G45" s="322" t="str">
        <f>+'Plan de Accion apoyo transversa'!X27</f>
        <v>Procesos radicados en Ekogui</v>
      </c>
      <c r="H45" s="1346"/>
      <c r="I45" s="207"/>
      <c r="J45" s="1344"/>
      <c r="K45" s="1291"/>
      <c r="L45" s="1291"/>
      <c r="M45" s="1291"/>
      <c r="N45" s="1291"/>
      <c r="O45" s="1291"/>
      <c r="P45" s="216"/>
      <c r="Q45" s="1344"/>
      <c r="R45" s="1343"/>
      <c r="S45" s="1343"/>
      <c r="T45" s="1343"/>
      <c r="U45" s="1343"/>
      <c r="V45" s="1369"/>
      <c r="W45" s="216"/>
      <c r="X45" s="1344"/>
      <c r="Y45" s="1343"/>
      <c r="Z45" s="1343"/>
      <c r="AA45" s="1367"/>
      <c r="AB45" s="1367"/>
      <c r="AC45" s="1341"/>
      <c r="AD45" s="216"/>
      <c r="AE45" s="1344"/>
      <c r="AF45" s="1343"/>
      <c r="AG45" s="1343"/>
      <c r="AH45" s="1343"/>
      <c r="AI45" s="1369"/>
      <c r="AJ45" s="1434"/>
      <c r="AL45" s="1414"/>
      <c r="AM45" s="1411"/>
      <c r="AN45" s="207"/>
      <c r="AO45" s="1420"/>
      <c r="AP45" s="1411"/>
      <c r="AQ45" s="207"/>
      <c r="AR45" s="1414"/>
      <c r="AS45" s="1411"/>
      <c r="AT45" s="207"/>
      <c r="AU45" s="1414"/>
      <c r="AV45" s="1411"/>
      <c r="AW45" s="205"/>
      <c r="AX45" s="1417"/>
      <c r="AZ45" s="1414"/>
      <c r="BA45" s="1411"/>
      <c r="BB45" s="207"/>
      <c r="BC45" s="1420"/>
      <c r="BD45" s="1411"/>
      <c r="BE45" s="207"/>
      <c r="BF45" s="1414"/>
      <c r="BG45" s="1411"/>
      <c r="BH45" s="207"/>
      <c r="BI45" s="1414"/>
      <c r="BJ45" s="1411"/>
      <c r="BK45" s="205"/>
      <c r="BL45" s="1417"/>
      <c r="BN45" s="1414"/>
      <c r="BO45" s="1411"/>
      <c r="BP45" s="207"/>
      <c r="BQ45" s="1420"/>
      <c r="BR45" s="1411"/>
      <c r="BS45" s="207"/>
      <c r="BT45" s="1414"/>
      <c r="BU45" s="1411"/>
      <c r="BV45" s="207"/>
      <c r="BW45" s="1414"/>
      <c r="BX45" s="1411"/>
      <c r="BY45" s="205"/>
      <c r="BZ45" s="1417"/>
      <c r="CB45" s="1414"/>
      <c r="CC45" s="1411"/>
      <c r="CD45" s="207"/>
      <c r="CE45" s="1420"/>
      <c r="CF45" s="1411"/>
      <c r="CG45" s="207"/>
      <c r="CH45" s="1414"/>
      <c r="CI45" s="1411"/>
      <c r="CJ45" s="207"/>
      <c r="CK45" s="1414"/>
      <c r="CL45" s="1411"/>
      <c r="CM45" s="205"/>
      <c r="CN45" s="1417"/>
    </row>
    <row r="46" spans="2:92" ht="71.25" x14ac:dyDescent="0.2">
      <c r="B46" s="1362"/>
      <c r="C46" s="1314"/>
      <c r="D46" s="1352"/>
      <c r="E46" s="1320"/>
      <c r="F46" s="1317"/>
      <c r="G46" s="322" t="str">
        <f>+'Plan de Accion apoyo transversa'!X28</f>
        <v>Entrega de la provisión de contingencias judiciales al Grupo de Gestión Contable y Control de Recursos ET en la fecha pactada</v>
      </c>
      <c r="H46" s="1346"/>
      <c r="I46" s="207"/>
      <c r="J46" s="1303"/>
      <c r="K46" s="1292"/>
      <c r="L46" s="1292"/>
      <c r="M46" s="1292"/>
      <c r="N46" s="1292"/>
      <c r="O46" s="1292"/>
      <c r="P46" s="216"/>
      <c r="Q46" s="1303"/>
      <c r="R46" s="1337"/>
      <c r="S46" s="1337"/>
      <c r="T46" s="1337"/>
      <c r="U46" s="1337"/>
      <c r="V46" s="1339"/>
      <c r="W46" s="216"/>
      <c r="X46" s="1303"/>
      <c r="Y46" s="1337"/>
      <c r="Z46" s="1337"/>
      <c r="AA46" s="1368"/>
      <c r="AB46" s="1368"/>
      <c r="AC46" s="1342"/>
      <c r="AD46" s="216"/>
      <c r="AE46" s="1303"/>
      <c r="AF46" s="1337"/>
      <c r="AG46" s="1337"/>
      <c r="AH46" s="1337"/>
      <c r="AI46" s="1339"/>
      <c r="AJ46" s="235"/>
      <c r="AL46" s="1409"/>
      <c r="AM46" s="1409"/>
      <c r="AN46" s="207"/>
      <c r="AO46" s="1438"/>
      <c r="AP46" s="1409"/>
      <c r="AQ46" s="207"/>
      <c r="AR46" s="1409"/>
      <c r="AS46" s="1409"/>
      <c r="AT46" s="207"/>
      <c r="AU46" s="1409"/>
      <c r="AV46" s="1409"/>
      <c r="AW46" s="205"/>
      <c r="AX46" s="234"/>
      <c r="AZ46" s="1409"/>
      <c r="BA46" s="1409"/>
      <c r="BB46" s="207"/>
      <c r="BC46" s="1438"/>
      <c r="BD46" s="1409"/>
      <c r="BE46" s="207"/>
      <c r="BF46" s="1409"/>
      <c r="BG46" s="1409"/>
      <c r="BH46" s="207"/>
      <c r="BI46" s="1409"/>
      <c r="BJ46" s="1409"/>
      <c r="BK46" s="205"/>
      <c r="BL46" s="234"/>
      <c r="BN46" s="1409"/>
      <c r="BO46" s="1409"/>
      <c r="BP46" s="207"/>
      <c r="BQ46" s="1438"/>
      <c r="BR46" s="1409"/>
      <c r="BS46" s="207"/>
      <c r="BT46" s="1409"/>
      <c r="BU46" s="1409"/>
      <c r="BV46" s="207"/>
      <c r="BW46" s="1409"/>
      <c r="BX46" s="1409"/>
      <c r="BY46" s="205"/>
      <c r="BZ46" s="234"/>
      <c r="CB46" s="1409"/>
      <c r="CC46" s="1409"/>
      <c r="CD46" s="207"/>
      <c r="CE46" s="1438"/>
      <c r="CF46" s="1409"/>
      <c r="CG46" s="207"/>
      <c r="CH46" s="1409"/>
      <c r="CI46" s="1409"/>
      <c r="CJ46" s="207"/>
      <c r="CK46" s="1409"/>
      <c r="CL46" s="1409"/>
      <c r="CM46" s="205"/>
      <c r="CN46" s="234"/>
    </row>
    <row r="47" spans="2:92" ht="42.75" customHeight="1" x14ac:dyDescent="0.2">
      <c r="B47" s="1362"/>
      <c r="C47" s="1314"/>
      <c r="D47" s="1352"/>
      <c r="E47" s="1320"/>
      <c r="F47" s="1317"/>
      <c r="G47" s="1319" t="str">
        <f>+'Plan de Accion apoyo transversa'!X29</f>
        <v>Intervención en los procesos e investigaciones penales</v>
      </c>
      <c r="H47" s="1346"/>
      <c r="I47" s="207"/>
      <c r="J47" s="1302">
        <f>+'Plan de Accion apoyo transversa'!AW29</f>
        <v>0.58888887585826222</v>
      </c>
      <c r="K47" s="1290">
        <f>+'Plan de Accion apoyo transversa'!CF29</f>
        <v>0.58888887585826222</v>
      </c>
      <c r="L47" s="1290">
        <f>IF(K47&gt;100%,100%,K47)</f>
        <v>0.58888887585826222</v>
      </c>
      <c r="M47" s="1290">
        <f>+'Plan de Accion apoyo transversa'!AY29</f>
        <v>0.14722221896456555</v>
      </c>
      <c r="N47" s="1290">
        <f>IF(M47&gt;100%,100%,M47)</f>
        <v>0.14722221896456555</v>
      </c>
      <c r="O47" s="1290">
        <f>+N47</f>
        <v>0.14722221896456555</v>
      </c>
      <c r="P47" s="216"/>
      <c r="Q47" s="1302">
        <f>+'Plan de Accion apoyo transversa'!BG29</f>
        <v>1</v>
      </c>
      <c r="R47" s="1336">
        <f>+'Plan de Accion apoyo transversa'!CH29</f>
        <v>1</v>
      </c>
      <c r="S47" s="1336">
        <f>IF(R47&gt;100%,100%,R47)</f>
        <v>1</v>
      </c>
      <c r="T47" s="1336">
        <f>+'Plan de Accion apoyo transversa'!BI29</f>
        <v>0.39722221896456555</v>
      </c>
      <c r="U47" s="1336">
        <f t="shared" si="34"/>
        <v>0.39722221896456555</v>
      </c>
      <c r="V47" s="1338">
        <f>+U47</f>
        <v>0.39722221896456555</v>
      </c>
      <c r="W47" s="216"/>
      <c r="X47" s="1302">
        <f>+'Plan de Accion apoyo transversa'!BQ29</f>
        <v>1</v>
      </c>
      <c r="Y47" s="1336">
        <f>+'Plan de Accion apoyo transversa'!CJ29</f>
        <v>1</v>
      </c>
      <c r="Z47" s="1336">
        <f t="shared" si="37"/>
        <v>1</v>
      </c>
      <c r="AA47" s="1366">
        <f>+'Plan de Accion apoyo transversa'!BS29</f>
        <v>0.64722221896456555</v>
      </c>
      <c r="AB47" s="1366">
        <f t="shared" si="35"/>
        <v>0.64722221896456555</v>
      </c>
      <c r="AC47" s="1340">
        <f t="shared" si="38"/>
        <v>0.64722221896456555</v>
      </c>
      <c r="AD47" s="216"/>
      <c r="AE47" s="1302">
        <f>+'Plan de Accion apoyo transversa'!CA29</f>
        <v>0</v>
      </c>
      <c r="AF47" s="1336">
        <f>+'Plan de Accion apoyo transversa'!CL29</f>
        <v>0</v>
      </c>
      <c r="AG47" s="1336">
        <f t="shared" si="39"/>
        <v>0</v>
      </c>
      <c r="AH47" s="1336">
        <f>+'Plan de Accion apoyo transversa'!CC29</f>
        <v>0.64722221896456555</v>
      </c>
      <c r="AI47" s="1338">
        <f t="shared" si="36"/>
        <v>0.64722221896456555</v>
      </c>
      <c r="AJ47" s="233"/>
      <c r="AL47" s="1410"/>
      <c r="AM47" s="1410"/>
      <c r="AN47" s="207"/>
      <c r="AO47" s="1439"/>
      <c r="AP47" s="1410"/>
      <c r="AQ47" s="207"/>
      <c r="AR47" s="1410"/>
      <c r="AS47" s="1410"/>
      <c r="AT47" s="207"/>
      <c r="AU47" s="1410"/>
      <c r="AV47" s="1410"/>
      <c r="AW47" s="205"/>
      <c r="AX47" s="232"/>
      <c r="AZ47" s="1410"/>
      <c r="BA47" s="1410"/>
      <c r="BB47" s="207"/>
      <c r="BC47" s="1439"/>
      <c r="BD47" s="1410"/>
      <c r="BE47" s="207"/>
      <c r="BF47" s="1410"/>
      <c r="BG47" s="1410"/>
      <c r="BH47" s="207"/>
      <c r="BI47" s="1410"/>
      <c r="BJ47" s="1410"/>
      <c r="BK47" s="205"/>
      <c r="BL47" s="232"/>
      <c r="BN47" s="1410"/>
      <c r="BO47" s="1410"/>
      <c r="BP47" s="207"/>
      <c r="BQ47" s="1439"/>
      <c r="BR47" s="1410"/>
      <c r="BS47" s="207"/>
      <c r="BT47" s="1410"/>
      <c r="BU47" s="1410"/>
      <c r="BV47" s="207"/>
      <c r="BW47" s="1410"/>
      <c r="BX47" s="1410"/>
      <c r="BY47" s="205"/>
      <c r="BZ47" s="232"/>
      <c r="CB47" s="1410"/>
      <c r="CC47" s="1410"/>
      <c r="CD47" s="207"/>
      <c r="CE47" s="1439"/>
      <c r="CF47" s="1410"/>
      <c r="CG47" s="207"/>
      <c r="CH47" s="1410"/>
      <c r="CI47" s="1410"/>
      <c r="CJ47" s="207"/>
      <c r="CK47" s="1410"/>
      <c r="CL47" s="1410"/>
      <c r="CM47" s="205"/>
      <c r="CN47" s="232"/>
    </row>
    <row r="48" spans="2:92" ht="15.75" thickBot="1" x14ac:dyDescent="0.25">
      <c r="B48" s="1362"/>
      <c r="C48" s="1314"/>
      <c r="D48" s="1352"/>
      <c r="E48" s="1320"/>
      <c r="F48" s="1317"/>
      <c r="G48" s="1321"/>
      <c r="H48" s="1346"/>
      <c r="I48" s="207"/>
      <c r="J48" s="1303"/>
      <c r="K48" s="1292"/>
      <c r="L48" s="1292"/>
      <c r="M48" s="1292"/>
      <c r="N48" s="1292"/>
      <c r="O48" s="1292"/>
      <c r="P48" s="216"/>
      <c r="Q48" s="1303"/>
      <c r="R48" s="1337"/>
      <c r="S48" s="1337"/>
      <c r="T48" s="1337"/>
      <c r="U48" s="1337"/>
      <c r="V48" s="1339"/>
      <c r="W48" s="216"/>
      <c r="X48" s="1303"/>
      <c r="Y48" s="1337"/>
      <c r="Z48" s="1337"/>
      <c r="AA48" s="1368"/>
      <c r="AB48" s="1368"/>
      <c r="AC48" s="1342"/>
      <c r="AD48" s="216"/>
      <c r="AE48" s="1303"/>
      <c r="AF48" s="1337"/>
      <c r="AG48" s="1337"/>
      <c r="AH48" s="1337"/>
      <c r="AI48" s="1339"/>
      <c r="AJ48" s="231"/>
      <c r="AL48" s="1411"/>
      <c r="AM48" s="1411"/>
      <c r="AN48" s="207"/>
      <c r="AO48" s="1440"/>
      <c r="AP48" s="1411"/>
      <c r="AQ48" s="207"/>
      <c r="AR48" s="1411"/>
      <c r="AS48" s="1411"/>
      <c r="AT48" s="207"/>
      <c r="AU48" s="1411"/>
      <c r="AV48" s="1411"/>
      <c r="AW48" s="205"/>
      <c r="AX48" s="230"/>
      <c r="AZ48" s="1411"/>
      <c r="BA48" s="1411"/>
      <c r="BB48" s="207"/>
      <c r="BC48" s="1440"/>
      <c r="BD48" s="1411"/>
      <c r="BE48" s="207"/>
      <c r="BF48" s="1411"/>
      <c r="BG48" s="1411"/>
      <c r="BH48" s="207"/>
      <c r="BI48" s="1411"/>
      <c r="BJ48" s="1411"/>
      <c r="BK48" s="205"/>
      <c r="BL48" s="230"/>
      <c r="BN48" s="1411"/>
      <c r="BO48" s="1411"/>
      <c r="BP48" s="207"/>
      <c r="BQ48" s="1440"/>
      <c r="BR48" s="1411"/>
      <c r="BS48" s="207"/>
      <c r="BT48" s="1411"/>
      <c r="BU48" s="1411"/>
      <c r="BV48" s="207"/>
      <c r="BW48" s="1411"/>
      <c r="BX48" s="1411"/>
      <c r="BY48" s="205"/>
      <c r="BZ48" s="230"/>
      <c r="CB48" s="1411"/>
      <c r="CC48" s="1411"/>
      <c r="CD48" s="207"/>
      <c r="CE48" s="1440"/>
      <c r="CF48" s="1411"/>
      <c r="CG48" s="207"/>
      <c r="CH48" s="1411"/>
      <c r="CI48" s="1411"/>
      <c r="CJ48" s="207"/>
      <c r="CK48" s="1411"/>
      <c r="CL48" s="1411"/>
      <c r="CM48" s="205"/>
      <c r="CN48" s="230"/>
    </row>
    <row r="49" spans="2:92" ht="28.5" x14ac:dyDescent="0.2">
      <c r="B49" s="1362"/>
      <c r="C49" s="1314"/>
      <c r="D49" s="1352"/>
      <c r="E49" s="1320"/>
      <c r="F49" s="1317"/>
      <c r="G49" s="322" t="str">
        <f>+'Plan de Accion apoyo transversa'!X31</f>
        <v>Demandas Contestadas Oportunamente</v>
      </c>
      <c r="H49" s="1346"/>
      <c r="I49" s="207"/>
      <c r="J49" s="1302">
        <f>+'Plan de Accion apoyo transversa'!AW31</f>
        <v>0.48026049959668166</v>
      </c>
      <c r="K49" s="1290">
        <f>+'Plan de Accion apoyo transversa'!CF31</f>
        <v>0.48026049959668166</v>
      </c>
      <c r="L49" s="1290">
        <f>IF(K49&gt;100%,100%,K49)</f>
        <v>0.48026049959668166</v>
      </c>
      <c r="M49" s="1290">
        <f>+'Plan de Accion apoyo transversa'!AY31</f>
        <v>0.12006512489917041</v>
      </c>
      <c r="N49" s="1290">
        <f>IF(M49&gt;100%,100%,M49)</f>
        <v>0.12006512489917041</v>
      </c>
      <c r="O49" s="1290">
        <f>+N49</f>
        <v>0.12006512489917041</v>
      </c>
      <c r="P49" s="216"/>
      <c r="Q49" s="1302">
        <f>+'Plan de Accion apoyo transversa'!BG31</f>
        <v>0.67021786896948821</v>
      </c>
      <c r="R49" s="1336">
        <f>+'Plan de Accion apoyo transversa'!CH31</f>
        <v>0.67021786896948821</v>
      </c>
      <c r="S49" s="1336">
        <f>IF(R49&gt;100%,100%,R49)</f>
        <v>0.67021786896948821</v>
      </c>
      <c r="T49" s="1336">
        <f>+'Plan de Accion apoyo transversa'!BI31</f>
        <v>0.28761959214154242</v>
      </c>
      <c r="U49" s="1336">
        <f t="shared" si="34"/>
        <v>0.28761959214154242</v>
      </c>
      <c r="V49" s="1338">
        <f>+U49</f>
        <v>0.28761959214154242</v>
      </c>
      <c r="W49" s="216"/>
      <c r="X49" s="1302">
        <f>+'Plan de Accion apoyo transversa'!BQ31</f>
        <v>0.67689220562569463</v>
      </c>
      <c r="Y49" s="1336">
        <f>+'Plan de Accion apoyo transversa'!CJ31</f>
        <v>0.67689220562569463</v>
      </c>
      <c r="Z49" s="1336">
        <f t="shared" si="37"/>
        <v>0.67689220562569463</v>
      </c>
      <c r="AA49" s="1366">
        <f>+'Plan de Accion apoyo transversa'!BS31</f>
        <v>0.45684264354796611</v>
      </c>
      <c r="AB49" s="1366">
        <f t="shared" si="35"/>
        <v>0.45684264354796611</v>
      </c>
      <c r="AC49" s="1340">
        <f t="shared" si="38"/>
        <v>0.45684264354796611</v>
      </c>
      <c r="AD49" s="216"/>
      <c r="AE49" s="1302">
        <f>+'Plan de Accion apoyo transversa'!CA31</f>
        <v>0</v>
      </c>
      <c r="AF49" s="1336">
        <f>+'Plan de Accion apoyo transversa'!CL31</f>
        <v>0</v>
      </c>
      <c r="AG49" s="1336">
        <f t="shared" si="39"/>
        <v>0</v>
      </c>
      <c r="AH49" s="1336">
        <f>+'Plan de Accion apoyo transversa'!CC31</f>
        <v>0.45684264354796611</v>
      </c>
      <c r="AI49" s="1338">
        <f t="shared" si="36"/>
        <v>0.45684264354796611</v>
      </c>
      <c r="AJ49" s="235"/>
      <c r="AL49" s="210"/>
      <c r="AM49" s="210"/>
      <c r="AN49" s="207"/>
      <c r="AO49" s="211"/>
      <c r="AP49" s="210"/>
      <c r="AQ49" s="207"/>
      <c r="AR49" s="210"/>
      <c r="AS49" s="210"/>
      <c r="AT49" s="207"/>
      <c r="AU49" s="210"/>
      <c r="AV49" s="210"/>
      <c r="AW49" s="205"/>
      <c r="AX49" s="232"/>
      <c r="AZ49" s="210"/>
      <c r="BA49" s="210"/>
      <c r="BB49" s="207"/>
      <c r="BC49" s="211"/>
      <c r="BD49" s="210"/>
      <c r="BE49" s="207"/>
      <c r="BF49" s="210"/>
      <c r="BG49" s="210"/>
      <c r="BH49" s="207"/>
      <c r="BI49" s="210"/>
      <c r="BJ49" s="210"/>
      <c r="BK49" s="205"/>
      <c r="BL49" s="232"/>
      <c r="BN49" s="210"/>
      <c r="BO49" s="210"/>
      <c r="BP49" s="207"/>
      <c r="BQ49" s="211"/>
      <c r="BR49" s="210"/>
      <c r="BS49" s="207"/>
      <c r="BT49" s="210"/>
      <c r="BU49" s="210"/>
      <c r="BV49" s="207"/>
      <c r="BW49" s="210"/>
      <c r="BX49" s="210"/>
      <c r="BY49" s="205"/>
      <c r="BZ49" s="232"/>
      <c r="CB49" s="210"/>
      <c r="CC49" s="210"/>
      <c r="CD49" s="207"/>
      <c r="CE49" s="211"/>
      <c r="CF49" s="210"/>
      <c r="CG49" s="207"/>
      <c r="CH49" s="210"/>
      <c r="CI49" s="210"/>
      <c r="CJ49" s="207"/>
      <c r="CK49" s="210"/>
      <c r="CL49" s="210"/>
      <c r="CM49" s="205"/>
      <c r="CN49" s="232"/>
    </row>
    <row r="50" spans="2:92" ht="28.5" x14ac:dyDescent="0.2">
      <c r="B50" s="1362"/>
      <c r="C50" s="1314"/>
      <c r="D50" s="1352"/>
      <c r="E50" s="1320"/>
      <c r="F50" s="1317"/>
      <c r="G50" s="322" t="str">
        <f>+'Plan de Accion apoyo transversa'!X32</f>
        <v>Respuestas a solicitudes de pruebas</v>
      </c>
      <c r="H50" s="1346"/>
      <c r="I50" s="207"/>
      <c r="J50" s="1344"/>
      <c r="K50" s="1291"/>
      <c r="L50" s="1291"/>
      <c r="M50" s="1291"/>
      <c r="N50" s="1291"/>
      <c r="O50" s="1291"/>
      <c r="P50" s="216"/>
      <c r="Q50" s="1344"/>
      <c r="R50" s="1343"/>
      <c r="S50" s="1343"/>
      <c r="T50" s="1343"/>
      <c r="U50" s="1343"/>
      <c r="V50" s="1369"/>
      <c r="W50" s="216"/>
      <c r="X50" s="1344"/>
      <c r="Y50" s="1343"/>
      <c r="Z50" s="1343"/>
      <c r="AA50" s="1367"/>
      <c r="AB50" s="1367"/>
      <c r="AC50" s="1341"/>
      <c r="AD50" s="216"/>
      <c r="AE50" s="1344"/>
      <c r="AF50" s="1343"/>
      <c r="AG50" s="1343"/>
      <c r="AH50" s="1343"/>
      <c r="AI50" s="1369"/>
      <c r="AJ50" s="233"/>
      <c r="AL50" s="210"/>
      <c r="AM50" s="210"/>
      <c r="AN50" s="207"/>
      <c r="AO50" s="211"/>
      <c r="AP50" s="210"/>
      <c r="AQ50" s="207"/>
      <c r="AR50" s="210"/>
      <c r="AS50" s="210"/>
      <c r="AT50" s="207"/>
      <c r="AU50" s="210"/>
      <c r="AV50" s="210"/>
      <c r="AW50" s="205"/>
      <c r="AX50" s="232"/>
      <c r="AZ50" s="210"/>
      <c r="BA50" s="210"/>
      <c r="BB50" s="207"/>
      <c r="BC50" s="211"/>
      <c r="BD50" s="210"/>
      <c r="BE50" s="207"/>
      <c r="BF50" s="210"/>
      <c r="BG50" s="210"/>
      <c r="BH50" s="207"/>
      <c r="BI50" s="210"/>
      <c r="BJ50" s="210"/>
      <c r="BK50" s="205"/>
      <c r="BL50" s="232"/>
      <c r="BN50" s="210"/>
      <c r="BO50" s="210"/>
      <c r="BP50" s="207"/>
      <c r="BQ50" s="211"/>
      <c r="BR50" s="210"/>
      <c r="BS50" s="207"/>
      <c r="BT50" s="210"/>
      <c r="BU50" s="210"/>
      <c r="BV50" s="207"/>
      <c r="BW50" s="210"/>
      <c r="BX50" s="210"/>
      <c r="BY50" s="205"/>
      <c r="BZ50" s="232"/>
      <c r="CB50" s="210"/>
      <c r="CC50" s="210"/>
      <c r="CD50" s="207"/>
      <c r="CE50" s="211"/>
      <c r="CF50" s="210"/>
      <c r="CG50" s="207"/>
      <c r="CH50" s="210"/>
      <c r="CI50" s="210"/>
      <c r="CJ50" s="207"/>
      <c r="CK50" s="210"/>
      <c r="CL50" s="210"/>
      <c r="CM50" s="205"/>
      <c r="CN50" s="232"/>
    </row>
    <row r="51" spans="2:92" ht="15.75" thickBot="1" x14ac:dyDescent="0.25">
      <c r="B51" s="1362"/>
      <c r="C51" s="1314"/>
      <c r="D51" s="1352"/>
      <c r="E51" s="1320"/>
      <c r="F51" s="1317"/>
      <c r="G51" s="322" t="str">
        <f>+'Plan de Accion apoyo transversa'!X33</f>
        <v xml:space="preserve">Fichas técnicas  </v>
      </c>
      <c r="H51" s="1346"/>
      <c r="I51" s="207"/>
      <c r="J51" s="1344"/>
      <c r="K51" s="1291"/>
      <c r="L51" s="1291"/>
      <c r="M51" s="1291"/>
      <c r="N51" s="1291"/>
      <c r="O51" s="1291"/>
      <c r="P51" s="216"/>
      <c r="Q51" s="1344"/>
      <c r="R51" s="1343"/>
      <c r="S51" s="1343"/>
      <c r="T51" s="1343"/>
      <c r="U51" s="1343"/>
      <c r="V51" s="1369"/>
      <c r="W51" s="216"/>
      <c r="X51" s="1344"/>
      <c r="Y51" s="1343"/>
      <c r="Z51" s="1343"/>
      <c r="AA51" s="1367"/>
      <c r="AB51" s="1367"/>
      <c r="AC51" s="1341"/>
      <c r="AD51" s="216"/>
      <c r="AE51" s="1344"/>
      <c r="AF51" s="1343"/>
      <c r="AG51" s="1343"/>
      <c r="AH51" s="1343"/>
      <c r="AI51" s="1369"/>
      <c r="AJ51" s="231"/>
      <c r="AL51" s="210"/>
      <c r="AM51" s="210"/>
      <c r="AN51" s="207"/>
      <c r="AO51" s="211"/>
      <c r="AP51" s="210"/>
      <c r="AQ51" s="207"/>
      <c r="AR51" s="210"/>
      <c r="AS51" s="210"/>
      <c r="AT51" s="207"/>
      <c r="AU51" s="210"/>
      <c r="AV51" s="210"/>
      <c r="AW51" s="205"/>
      <c r="AX51" s="232"/>
      <c r="AZ51" s="210"/>
      <c r="BA51" s="210"/>
      <c r="BB51" s="207"/>
      <c r="BC51" s="211"/>
      <c r="BD51" s="210"/>
      <c r="BE51" s="207"/>
      <c r="BF51" s="210"/>
      <c r="BG51" s="210"/>
      <c r="BH51" s="207"/>
      <c r="BI51" s="210"/>
      <c r="BJ51" s="210"/>
      <c r="BK51" s="205"/>
      <c r="BL51" s="232"/>
      <c r="BN51" s="210"/>
      <c r="BO51" s="210"/>
      <c r="BP51" s="207"/>
      <c r="BQ51" s="211"/>
      <c r="BR51" s="210"/>
      <c r="BS51" s="207"/>
      <c r="BT51" s="210"/>
      <c r="BU51" s="210"/>
      <c r="BV51" s="207"/>
      <c r="BW51" s="210"/>
      <c r="BX51" s="210"/>
      <c r="BY51" s="205"/>
      <c r="BZ51" s="232"/>
      <c r="CB51" s="210"/>
      <c r="CC51" s="210"/>
      <c r="CD51" s="207"/>
      <c r="CE51" s="211"/>
      <c r="CF51" s="210"/>
      <c r="CG51" s="207"/>
      <c r="CH51" s="210"/>
      <c r="CI51" s="210"/>
      <c r="CJ51" s="207"/>
      <c r="CK51" s="210"/>
      <c r="CL51" s="210"/>
      <c r="CM51" s="205"/>
      <c r="CN51" s="232"/>
    </row>
    <row r="52" spans="2:92" ht="15" x14ac:dyDescent="0.2">
      <c r="B52" s="1362"/>
      <c r="C52" s="1314"/>
      <c r="D52" s="1352"/>
      <c r="E52" s="1320"/>
      <c r="F52" s="1317"/>
      <c r="G52" s="322" t="str">
        <f>+'Plan de Accion apoyo transversa'!X34</f>
        <v xml:space="preserve">Fichas técnicas demandas </v>
      </c>
      <c r="H52" s="1346"/>
      <c r="I52" s="207"/>
      <c r="J52" s="1303"/>
      <c r="K52" s="1292"/>
      <c r="L52" s="1292"/>
      <c r="M52" s="1292"/>
      <c r="N52" s="1292"/>
      <c r="O52" s="1292"/>
      <c r="P52" s="216"/>
      <c r="Q52" s="1303"/>
      <c r="R52" s="1337"/>
      <c r="S52" s="1337"/>
      <c r="T52" s="1337"/>
      <c r="U52" s="1337"/>
      <c r="V52" s="1339"/>
      <c r="W52" s="216"/>
      <c r="X52" s="1303"/>
      <c r="Y52" s="1337"/>
      <c r="Z52" s="1337"/>
      <c r="AA52" s="1368"/>
      <c r="AB52" s="1368"/>
      <c r="AC52" s="1342"/>
      <c r="AD52" s="216"/>
      <c r="AE52" s="1303"/>
      <c r="AF52" s="1337"/>
      <c r="AG52" s="1337"/>
      <c r="AH52" s="1337"/>
      <c r="AI52" s="1339"/>
      <c r="AJ52" s="235"/>
      <c r="AL52" s="210"/>
      <c r="AM52" s="210"/>
      <c r="AN52" s="207"/>
      <c r="AO52" s="211"/>
      <c r="AP52" s="210"/>
      <c r="AQ52" s="207"/>
      <c r="AR52" s="210"/>
      <c r="AS52" s="210"/>
      <c r="AT52" s="207"/>
      <c r="AU52" s="210"/>
      <c r="AV52" s="210"/>
      <c r="AW52" s="205"/>
      <c r="AX52" s="232"/>
      <c r="AZ52" s="210"/>
      <c r="BA52" s="210"/>
      <c r="BB52" s="207"/>
      <c r="BC52" s="211"/>
      <c r="BD52" s="210"/>
      <c r="BE52" s="207"/>
      <c r="BF52" s="210"/>
      <c r="BG52" s="210"/>
      <c r="BH52" s="207"/>
      <c r="BI52" s="210"/>
      <c r="BJ52" s="210"/>
      <c r="BK52" s="205"/>
      <c r="BL52" s="232"/>
      <c r="BN52" s="210"/>
      <c r="BO52" s="210"/>
      <c r="BP52" s="207"/>
      <c r="BQ52" s="211"/>
      <c r="BR52" s="210"/>
      <c r="BS52" s="207"/>
      <c r="BT52" s="210"/>
      <c r="BU52" s="210"/>
      <c r="BV52" s="207"/>
      <c r="BW52" s="210"/>
      <c r="BX52" s="210"/>
      <c r="BY52" s="205"/>
      <c r="BZ52" s="232"/>
      <c r="CB52" s="210"/>
      <c r="CC52" s="210"/>
      <c r="CD52" s="207"/>
      <c r="CE52" s="211"/>
      <c r="CF52" s="210"/>
      <c r="CG52" s="207"/>
      <c r="CH52" s="210"/>
      <c r="CI52" s="210"/>
      <c r="CJ52" s="207"/>
      <c r="CK52" s="210"/>
      <c r="CL52" s="210"/>
      <c r="CM52" s="205"/>
      <c r="CN52" s="232"/>
    </row>
    <row r="53" spans="2:92" ht="42.75" x14ac:dyDescent="0.2">
      <c r="B53" s="1362"/>
      <c r="C53" s="1314"/>
      <c r="D53" s="1352"/>
      <c r="E53" s="1320"/>
      <c r="F53" s="1317"/>
      <c r="G53" s="322" t="str">
        <f>+'Plan de Accion apoyo transversa'!X35</f>
        <v>Recurrir los Actos Administrativos interpuestos por COLPENSIONES</v>
      </c>
      <c r="H53" s="1346"/>
      <c r="I53" s="207"/>
      <c r="J53" s="1302">
        <f>+'Plan de Accion apoyo transversa'!AW35</f>
        <v>0.73493975903614461</v>
      </c>
      <c r="K53" s="1290">
        <f>+'Plan de Accion apoyo transversa'!CF35</f>
        <v>0.73493975903614461</v>
      </c>
      <c r="L53" s="1290">
        <f>IF(K53&gt;100%,100%,K53)</f>
        <v>0.73493975903614461</v>
      </c>
      <c r="M53" s="1290">
        <f>+'Plan de Accion apoyo transversa'!AY35</f>
        <v>0.18373493975903615</v>
      </c>
      <c r="N53" s="1290">
        <f>IF(M53&gt;100%,100%,M53)</f>
        <v>0.18373493975903615</v>
      </c>
      <c r="O53" s="1290">
        <f>+N53</f>
        <v>0.18373493975903615</v>
      </c>
      <c r="P53" s="216"/>
      <c r="Q53" s="1302" t="s">
        <v>204</v>
      </c>
      <c r="R53" s="1336" t="s">
        <v>180</v>
      </c>
      <c r="S53" s="1336" t="s">
        <v>204</v>
      </c>
      <c r="T53" s="1336">
        <f>+'Plan de Accion apoyo transversa'!BI35</f>
        <v>0.18373493975903615</v>
      </c>
      <c r="U53" s="1336">
        <f t="shared" ref="U53" si="40">IF(T53&gt;100%,100%,T53)</f>
        <v>0.18373493975903615</v>
      </c>
      <c r="V53" s="1338">
        <f t="shared" ref="V53" si="41">+U53</f>
        <v>0.18373493975903615</v>
      </c>
      <c r="W53" s="216"/>
      <c r="X53" s="1302" t="s">
        <v>204</v>
      </c>
      <c r="Y53" s="1336" t="s">
        <v>180</v>
      </c>
      <c r="Z53" s="1336" t="s">
        <v>204</v>
      </c>
      <c r="AA53" s="1366">
        <f>+'Plan de Accion apoyo transversa'!BS35</f>
        <v>0.18373493975903615</v>
      </c>
      <c r="AB53" s="1366">
        <f t="shared" ref="AB53" si="42">IF(AA53&gt;100%,100%,AA53)</f>
        <v>0.18373493975903615</v>
      </c>
      <c r="AC53" s="1340">
        <f t="shared" ref="AC53" si="43">+AB53</f>
        <v>0.18373493975903615</v>
      </c>
      <c r="AD53" s="216"/>
      <c r="AE53" s="1302" t="s">
        <v>204</v>
      </c>
      <c r="AF53" s="1336" t="s">
        <v>180</v>
      </c>
      <c r="AG53" s="1336" t="s">
        <v>204</v>
      </c>
      <c r="AH53" s="1336">
        <f>+'Plan de Accion apoyo transversa'!CC35</f>
        <v>0.18373493975903615</v>
      </c>
      <c r="AI53" s="1338">
        <f t="shared" ref="AI53" si="44">IF(AH53&gt;100%,100%,AH53)</f>
        <v>0.18373493975903615</v>
      </c>
      <c r="AJ53" s="233"/>
      <c r="AL53" s="210"/>
      <c r="AM53" s="210"/>
      <c r="AN53" s="207"/>
      <c r="AO53" s="211"/>
      <c r="AP53" s="210"/>
      <c r="AQ53" s="207"/>
      <c r="AR53" s="210"/>
      <c r="AS53" s="210"/>
      <c r="AT53" s="207"/>
      <c r="AU53" s="210"/>
      <c r="AV53" s="210"/>
      <c r="AW53" s="205"/>
      <c r="AX53" s="232"/>
      <c r="AZ53" s="210"/>
      <c r="BA53" s="210"/>
      <c r="BB53" s="207"/>
      <c r="BC53" s="211"/>
      <c r="BD53" s="210"/>
      <c r="BE53" s="207"/>
      <c r="BF53" s="210"/>
      <c r="BG53" s="210"/>
      <c r="BH53" s="207"/>
      <c r="BI53" s="210"/>
      <c r="BJ53" s="210"/>
      <c r="BK53" s="205"/>
      <c r="BL53" s="232"/>
      <c r="BN53" s="210"/>
      <c r="BO53" s="210"/>
      <c r="BP53" s="207"/>
      <c r="BQ53" s="211"/>
      <c r="BR53" s="210"/>
      <c r="BS53" s="207"/>
      <c r="BT53" s="210"/>
      <c r="BU53" s="210"/>
      <c r="BV53" s="207"/>
      <c r="BW53" s="210"/>
      <c r="BX53" s="210"/>
      <c r="BY53" s="205"/>
      <c r="BZ53" s="232"/>
      <c r="CB53" s="210"/>
      <c r="CC53" s="210"/>
      <c r="CD53" s="207"/>
      <c r="CE53" s="211"/>
      <c r="CF53" s="210"/>
      <c r="CG53" s="207"/>
      <c r="CH53" s="210"/>
      <c r="CI53" s="210"/>
      <c r="CJ53" s="207"/>
      <c r="CK53" s="210"/>
      <c r="CL53" s="210"/>
      <c r="CM53" s="205"/>
      <c r="CN53" s="232"/>
    </row>
    <row r="54" spans="2:92" ht="15.75" thickBot="1" x14ac:dyDescent="0.25">
      <c r="B54" s="1362"/>
      <c r="C54" s="1314"/>
      <c r="D54" s="1352"/>
      <c r="E54" s="1320"/>
      <c r="F54" s="1317"/>
      <c r="G54" s="322" t="str">
        <f>+'Plan de Accion apoyo transversa'!X36</f>
        <v>Respuestas a reclamaciones</v>
      </c>
      <c r="H54" s="1346"/>
      <c r="I54" s="207"/>
      <c r="J54" s="1303"/>
      <c r="K54" s="1292"/>
      <c r="L54" s="1292"/>
      <c r="M54" s="1292"/>
      <c r="N54" s="1292"/>
      <c r="O54" s="1292"/>
      <c r="P54" s="216"/>
      <c r="Q54" s="1303"/>
      <c r="R54" s="1337"/>
      <c r="S54" s="1337"/>
      <c r="T54" s="1337"/>
      <c r="U54" s="1337"/>
      <c r="V54" s="1339"/>
      <c r="W54" s="216"/>
      <c r="X54" s="1303"/>
      <c r="Y54" s="1337"/>
      <c r="Z54" s="1337"/>
      <c r="AA54" s="1368"/>
      <c r="AB54" s="1368"/>
      <c r="AC54" s="1342"/>
      <c r="AD54" s="216"/>
      <c r="AE54" s="1303"/>
      <c r="AF54" s="1337"/>
      <c r="AG54" s="1337"/>
      <c r="AH54" s="1337"/>
      <c r="AI54" s="1339"/>
      <c r="AJ54" s="231"/>
      <c r="AL54" s="210"/>
      <c r="AM54" s="210"/>
      <c r="AN54" s="207"/>
      <c r="AO54" s="211"/>
      <c r="AP54" s="210"/>
      <c r="AQ54" s="207"/>
      <c r="AR54" s="210"/>
      <c r="AS54" s="210"/>
      <c r="AT54" s="207"/>
      <c r="AU54" s="210"/>
      <c r="AV54" s="210"/>
      <c r="AW54" s="205"/>
      <c r="AX54" s="232"/>
      <c r="AZ54" s="210"/>
      <c r="BA54" s="210"/>
      <c r="BB54" s="207"/>
      <c r="BC54" s="211"/>
      <c r="BD54" s="210"/>
      <c r="BE54" s="207"/>
      <c r="BF54" s="210"/>
      <c r="BG54" s="210"/>
      <c r="BH54" s="207"/>
      <c r="BI54" s="210"/>
      <c r="BJ54" s="210"/>
      <c r="BK54" s="205"/>
      <c r="BL54" s="232"/>
      <c r="BN54" s="210"/>
      <c r="BO54" s="210"/>
      <c r="BP54" s="207"/>
      <c r="BQ54" s="211"/>
      <c r="BR54" s="210"/>
      <c r="BS54" s="207"/>
      <c r="BT54" s="210"/>
      <c r="BU54" s="210"/>
      <c r="BV54" s="207"/>
      <c r="BW54" s="210"/>
      <c r="BX54" s="210"/>
      <c r="BY54" s="205"/>
      <c r="BZ54" s="232"/>
      <c r="CB54" s="210"/>
      <c r="CC54" s="210"/>
      <c r="CD54" s="207"/>
      <c r="CE54" s="211"/>
      <c r="CF54" s="210"/>
      <c r="CG54" s="207"/>
      <c r="CH54" s="210"/>
      <c r="CI54" s="210"/>
      <c r="CJ54" s="207"/>
      <c r="CK54" s="210"/>
      <c r="CL54" s="210"/>
      <c r="CM54" s="205"/>
      <c r="CN54" s="232"/>
    </row>
    <row r="55" spans="2:92" ht="44.25" customHeight="1" x14ac:dyDescent="0.2">
      <c r="B55" s="1362"/>
      <c r="C55" s="1314"/>
      <c r="D55" s="1352"/>
      <c r="E55" s="1320"/>
      <c r="F55" s="1317"/>
      <c r="G55" s="672" t="str">
        <f>+'Plan de Accion apoyo transversa'!X37</f>
        <v>Actas del Comité de Conciliación debidamente firmadas</v>
      </c>
      <c r="H55" s="1346"/>
      <c r="I55" s="207"/>
      <c r="J55" s="217">
        <f>+'Plan de Accion apoyo transversa'!AW37</f>
        <v>0.5444444444444444</v>
      </c>
      <c r="K55" s="659">
        <f>+'Plan de Accion apoyo transversa'!CF37</f>
        <v>0.5444444444444444</v>
      </c>
      <c r="L55" s="659">
        <f>IF(K55&gt;100%,100%,K55)</f>
        <v>0.5444444444444444</v>
      </c>
      <c r="M55" s="659">
        <f>+'Plan de Accion apoyo transversa'!AY37</f>
        <v>0.5444444444444444</v>
      </c>
      <c r="N55" s="659">
        <f>IF(M55&gt;100%,100%,M55)</f>
        <v>0.5444444444444444</v>
      </c>
      <c r="O55" s="659">
        <f>+N55</f>
        <v>0.5444444444444444</v>
      </c>
      <c r="P55" s="216"/>
      <c r="Q55" s="217" t="e">
        <f>+'Plan de Accion apoyo transversa'!BG37</f>
        <v>#DIV/0!</v>
      </c>
      <c r="R55" s="253" t="s">
        <v>180</v>
      </c>
      <c r="S55" s="215" t="s">
        <v>204</v>
      </c>
      <c r="T55" s="659">
        <f>+'Plan de Accion apoyo transversa'!BI37</f>
        <v>0.5444444444444444</v>
      </c>
      <c r="U55" s="659">
        <f t="shared" ref="U55" si="45">IF(T55&gt;100%,100%,T55)</f>
        <v>0.5444444444444444</v>
      </c>
      <c r="V55" s="214">
        <f>+U55</f>
        <v>0.5444444444444444</v>
      </c>
      <c r="W55" s="216"/>
      <c r="X55" s="217" t="e">
        <f>+'Plan de Accion apoyo transversa'!BQ37</f>
        <v>#DIV/0!</v>
      </c>
      <c r="Y55" s="253" t="s">
        <v>180</v>
      </c>
      <c r="Z55" s="215" t="s">
        <v>204</v>
      </c>
      <c r="AA55" s="220">
        <f>+'Plan de Accion apoyo transversa'!BS37</f>
        <v>0.5444444444444444</v>
      </c>
      <c r="AB55" s="220">
        <f t="shared" ref="AB55" si="46">IF(AA55&gt;100%,100%,AA55)</f>
        <v>0.5444444444444444</v>
      </c>
      <c r="AC55" s="661">
        <f t="shared" ref="AC55" si="47">+AB55</f>
        <v>0.5444444444444444</v>
      </c>
      <c r="AD55" s="216"/>
      <c r="AE55" s="217" t="e">
        <f>+'Plan de Accion apoyo transversa'!CA37</f>
        <v>#DIV/0!</v>
      </c>
      <c r="AF55" s="253" t="s">
        <v>180</v>
      </c>
      <c r="AG55" s="215" t="s">
        <v>204</v>
      </c>
      <c r="AH55" s="253">
        <f>+'Plan de Accion apoyo transversa'!CC37</f>
        <v>0.5444444444444444</v>
      </c>
      <c r="AI55" s="214">
        <f t="shared" ref="AI55" si="48">IF(AH55&gt;100%,100%,AH55)</f>
        <v>0.5444444444444444</v>
      </c>
      <c r="AJ55" s="233"/>
      <c r="AL55" s="665"/>
      <c r="AM55" s="665"/>
      <c r="AN55" s="207"/>
      <c r="AO55" s="666"/>
      <c r="AP55" s="665"/>
      <c r="AQ55" s="207"/>
      <c r="AR55" s="665"/>
      <c r="AS55" s="665"/>
      <c r="AT55" s="207"/>
      <c r="AU55" s="665"/>
      <c r="AV55" s="665"/>
      <c r="AW55" s="205"/>
      <c r="AX55" s="232"/>
      <c r="AZ55" s="665"/>
      <c r="BA55" s="665"/>
      <c r="BB55" s="207"/>
      <c r="BC55" s="666"/>
      <c r="BD55" s="665"/>
      <c r="BE55" s="207"/>
      <c r="BF55" s="665"/>
      <c r="BG55" s="665"/>
      <c r="BH55" s="207"/>
      <c r="BI55" s="665"/>
      <c r="BJ55" s="665"/>
      <c r="BK55" s="205"/>
      <c r="BL55" s="232"/>
      <c r="BN55" s="665"/>
      <c r="BO55" s="665"/>
      <c r="BP55" s="207"/>
      <c r="BQ55" s="666"/>
      <c r="BR55" s="665"/>
      <c r="BS55" s="207"/>
      <c r="BT55" s="665"/>
      <c r="BU55" s="665"/>
      <c r="BV55" s="207"/>
      <c r="BW55" s="665"/>
      <c r="BX55" s="665"/>
      <c r="BY55" s="205"/>
      <c r="BZ55" s="232"/>
      <c r="CB55" s="665"/>
      <c r="CC55" s="665"/>
      <c r="CD55" s="207"/>
      <c r="CE55" s="666"/>
      <c r="CF55" s="665"/>
      <c r="CG55" s="207"/>
      <c r="CH55" s="665"/>
      <c r="CI55" s="665"/>
      <c r="CJ55" s="207"/>
      <c r="CK55" s="665"/>
      <c r="CL55" s="665"/>
      <c r="CM55" s="205"/>
      <c r="CN55" s="232"/>
    </row>
    <row r="56" spans="2:92" ht="15" x14ac:dyDescent="0.2">
      <c r="B56" s="1362"/>
      <c r="C56" s="1314"/>
      <c r="D56" s="1352"/>
      <c r="E56" s="1320"/>
      <c r="F56" s="1317"/>
      <c r="G56" s="322" t="str">
        <f>+'Plan de Accion apoyo transversa'!X39</f>
        <v xml:space="preserve">Reparto </v>
      </c>
      <c r="H56" s="1346"/>
      <c r="I56" s="207"/>
      <c r="J56" s="1302">
        <f>+'Plan de Accion apoyo transversa'!AW39</f>
        <v>0.66666651903143614</v>
      </c>
      <c r="K56" s="1290">
        <f>+'Plan de Accion apoyo transversa'!CF39</f>
        <v>0.66666651903143614</v>
      </c>
      <c r="L56" s="1290">
        <f>IF(K56&gt;100%,100%,K56)</f>
        <v>0.66666651903143614</v>
      </c>
      <c r="M56" s="1290">
        <f>+'Plan de Accion apoyo transversa'!AY39</f>
        <v>0.16666662975785904</v>
      </c>
      <c r="N56" s="1290">
        <f>IF(M56&gt;100%,100%,M56)</f>
        <v>0.16666662975785904</v>
      </c>
      <c r="O56" s="1290">
        <f>+N56</f>
        <v>0.16666662975785904</v>
      </c>
      <c r="P56" s="216"/>
      <c r="Q56" s="1302">
        <f>+'Plan de Accion apoyo transversa'!BG39</f>
        <v>1.090909050644937</v>
      </c>
      <c r="R56" s="1336">
        <f>+'Plan de Accion apoyo transversa'!CH39</f>
        <v>1.090909050644937</v>
      </c>
      <c r="S56" s="1336">
        <f>IF(R56&gt;100%,100%,R56)</f>
        <v>1</v>
      </c>
      <c r="T56" s="1336">
        <f>+'Plan de Accion apoyo transversa'!BI39</f>
        <v>0.43939389241909332</v>
      </c>
      <c r="U56" s="1336">
        <f t="shared" si="34"/>
        <v>0.43939389241909332</v>
      </c>
      <c r="V56" s="1338">
        <f>+U56</f>
        <v>0.43939389241909332</v>
      </c>
      <c r="W56" s="216">
        <v>1</v>
      </c>
      <c r="X56" s="1302">
        <f>+'Plan de Accion apoyo transversa'!BQ39</f>
        <v>1.090909050644937</v>
      </c>
      <c r="Y56" s="1336">
        <f>+'Plan de Accion apoyo transversa'!CJ39</f>
        <v>1.090909050644937</v>
      </c>
      <c r="Z56" s="1336">
        <f>IF(Y56&gt;100%,100%,Y56)</f>
        <v>1</v>
      </c>
      <c r="AA56" s="1366">
        <f>+'Plan de Accion apoyo transversa'!BS39</f>
        <v>0.71212115508032758</v>
      </c>
      <c r="AB56" s="1366">
        <f t="shared" si="35"/>
        <v>0.71212115508032758</v>
      </c>
      <c r="AC56" s="1340">
        <f>+AB56</f>
        <v>0.71212115508032758</v>
      </c>
      <c r="AD56" s="216">
        <v>1</v>
      </c>
      <c r="AE56" s="1302">
        <f>+'Plan de Accion apoyo transversa'!CA39</f>
        <v>0</v>
      </c>
      <c r="AF56" s="1336">
        <f>+'Plan de Accion apoyo transversa'!CL39</f>
        <v>0</v>
      </c>
      <c r="AG56" s="1336">
        <f t="shared" si="39"/>
        <v>0</v>
      </c>
      <c r="AH56" s="1336">
        <f>+'Plan de Accion apoyo transversa'!CC39</f>
        <v>0.71212115508032758</v>
      </c>
      <c r="AI56" s="1338">
        <f t="shared" si="36"/>
        <v>0.71212115508032758</v>
      </c>
      <c r="AJ56" s="233"/>
      <c r="AL56" s="210"/>
      <c r="AM56" s="210"/>
      <c r="AN56" s="207"/>
      <c r="AO56" s="211"/>
      <c r="AP56" s="210"/>
      <c r="AQ56" s="207"/>
      <c r="AR56" s="210"/>
      <c r="AS56" s="210"/>
      <c r="AT56" s="207"/>
      <c r="AU56" s="210"/>
      <c r="AV56" s="210"/>
      <c r="AW56" s="205"/>
      <c r="AX56" s="232"/>
      <c r="AZ56" s="210"/>
      <c r="BA56" s="210"/>
      <c r="BB56" s="207"/>
      <c r="BC56" s="211"/>
      <c r="BD56" s="210"/>
      <c r="BE56" s="207"/>
      <c r="BF56" s="210"/>
      <c r="BG56" s="210"/>
      <c r="BH56" s="207"/>
      <c r="BI56" s="210"/>
      <c r="BJ56" s="210"/>
      <c r="BK56" s="205"/>
      <c r="BL56" s="232"/>
      <c r="BN56" s="210"/>
      <c r="BO56" s="210"/>
      <c r="BP56" s="207"/>
      <c r="BQ56" s="211"/>
      <c r="BR56" s="210"/>
      <c r="BS56" s="207"/>
      <c r="BT56" s="210"/>
      <c r="BU56" s="210"/>
      <c r="BV56" s="207"/>
      <c r="BW56" s="210"/>
      <c r="BX56" s="210"/>
      <c r="BY56" s="205"/>
      <c r="BZ56" s="232"/>
      <c r="CB56" s="210"/>
      <c r="CC56" s="210"/>
      <c r="CD56" s="207"/>
      <c r="CE56" s="211"/>
      <c r="CF56" s="210"/>
      <c r="CG56" s="207"/>
      <c r="CH56" s="210"/>
      <c r="CI56" s="210"/>
      <c r="CJ56" s="207"/>
      <c r="CK56" s="210"/>
      <c r="CL56" s="210"/>
      <c r="CM56" s="205"/>
      <c r="CN56" s="232"/>
    </row>
    <row r="57" spans="2:92" ht="15.75" thickBot="1" x14ac:dyDescent="0.25">
      <c r="B57" s="1362"/>
      <c r="C57" s="1314"/>
      <c r="D57" s="1352"/>
      <c r="E57" s="1320"/>
      <c r="F57" s="1317"/>
      <c r="G57" s="322" t="str">
        <f>+'Plan de Accion apoyo transversa'!X40</f>
        <v>Poderes</v>
      </c>
      <c r="H57" s="1346"/>
      <c r="I57" s="207"/>
      <c r="J57" s="1303"/>
      <c r="K57" s="1292"/>
      <c r="L57" s="1292"/>
      <c r="M57" s="1292"/>
      <c r="N57" s="1292"/>
      <c r="O57" s="1292"/>
      <c r="P57" s="216"/>
      <c r="Q57" s="1303"/>
      <c r="R57" s="1337"/>
      <c r="S57" s="1337"/>
      <c r="T57" s="1337"/>
      <c r="U57" s="1337"/>
      <c r="V57" s="1339"/>
      <c r="W57" s="216"/>
      <c r="X57" s="1303"/>
      <c r="Y57" s="1337"/>
      <c r="Z57" s="1337"/>
      <c r="AA57" s="1368"/>
      <c r="AB57" s="1368"/>
      <c r="AC57" s="1342"/>
      <c r="AD57" s="216"/>
      <c r="AE57" s="1303"/>
      <c r="AF57" s="1337"/>
      <c r="AG57" s="1337"/>
      <c r="AH57" s="1337"/>
      <c r="AI57" s="1339"/>
      <c r="AJ57" s="231"/>
      <c r="AL57" s="210"/>
      <c r="AM57" s="210"/>
      <c r="AN57" s="207"/>
      <c r="AO57" s="211"/>
      <c r="AP57" s="210"/>
      <c r="AQ57" s="207"/>
      <c r="AR57" s="210"/>
      <c r="AS57" s="210"/>
      <c r="AT57" s="207"/>
      <c r="AU57" s="210"/>
      <c r="AV57" s="210"/>
      <c r="AW57" s="205"/>
      <c r="AX57" s="232"/>
      <c r="AZ57" s="210"/>
      <c r="BA57" s="210"/>
      <c r="BB57" s="207"/>
      <c r="BC57" s="211"/>
      <c r="BD57" s="210"/>
      <c r="BE57" s="207"/>
      <c r="BF57" s="210"/>
      <c r="BG57" s="210"/>
      <c r="BH57" s="207"/>
      <c r="BI57" s="210"/>
      <c r="BJ57" s="210"/>
      <c r="BK57" s="205"/>
      <c r="BL57" s="232"/>
      <c r="BN57" s="210"/>
      <c r="BO57" s="210"/>
      <c r="BP57" s="207"/>
      <c r="BQ57" s="211"/>
      <c r="BR57" s="210"/>
      <c r="BS57" s="207"/>
      <c r="BT57" s="210"/>
      <c r="BU57" s="210"/>
      <c r="BV57" s="207"/>
      <c r="BW57" s="210"/>
      <c r="BX57" s="210"/>
      <c r="BY57" s="205"/>
      <c r="BZ57" s="232"/>
      <c r="CB57" s="210"/>
      <c r="CC57" s="210"/>
      <c r="CD57" s="207"/>
      <c r="CE57" s="211"/>
      <c r="CF57" s="210"/>
      <c r="CG57" s="207"/>
      <c r="CH57" s="210"/>
      <c r="CI57" s="210"/>
      <c r="CJ57" s="207"/>
      <c r="CK57" s="210"/>
      <c r="CL57" s="210"/>
      <c r="CM57" s="205"/>
      <c r="CN57" s="232"/>
    </row>
    <row r="58" spans="2:92" ht="42.75" x14ac:dyDescent="0.2">
      <c r="B58" s="1362"/>
      <c r="C58" s="1329"/>
      <c r="D58" s="1353"/>
      <c r="E58" s="1321"/>
      <c r="F58" s="1317"/>
      <c r="G58" s="322" t="str">
        <f>+'Plan de Accion apoyo transversa'!X41</f>
        <v xml:space="preserve">Atender las solicitudes de informes derivadas de acciones constitucionales </v>
      </c>
      <c r="H58" s="1346"/>
      <c r="I58" s="207"/>
      <c r="J58" s="217">
        <f>+'Plan de Accion apoyo transversa'!AW41</f>
        <v>0.53506912734267342</v>
      </c>
      <c r="K58" s="483">
        <f>+'Plan de Accion apoyo transversa'!CF41</f>
        <v>0.53506912734267342</v>
      </c>
      <c r="L58" s="483">
        <f>IF(K58&gt;100%,100%,K58)</f>
        <v>0.53506912734267342</v>
      </c>
      <c r="M58" s="483">
        <f>+'Plan de Accion apoyo transversa'!AY41</f>
        <v>0.13376728183566836</v>
      </c>
      <c r="N58" s="483">
        <f>IF(M58&gt;100%,100%,M58)</f>
        <v>0.13376728183566836</v>
      </c>
      <c r="O58" s="483">
        <f>+N58</f>
        <v>0.13376728183566836</v>
      </c>
      <c r="P58" s="216"/>
      <c r="Q58" s="217">
        <f>+'Plan de Accion apoyo transversa'!BG41</f>
        <v>0.77922972435691573</v>
      </c>
      <c r="R58" s="253">
        <f>+'Plan de Accion apoyo transversa'!CH41</f>
        <v>0.77922972435691573</v>
      </c>
      <c r="S58" s="215">
        <f>IF(R58&gt;100%,100%,R58)</f>
        <v>0.77922972435691573</v>
      </c>
      <c r="T58" s="311">
        <f>+'Plan de Accion apoyo transversa'!BI41</f>
        <v>0.32857471292489732</v>
      </c>
      <c r="U58" s="311">
        <f t="shared" si="34"/>
        <v>0.32857471292489732</v>
      </c>
      <c r="V58" s="214">
        <f>+U58</f>
        <v>0.32857471292489732</v>
      </c>
      <c r="W58" s="216"/>
      <c r="X58" s="217">
        <f>+'Plan de Accion apoyo transversa'!BQ41</f>
        <v>0.89020562671983017</v>
      </c>
      <c r="Y58" s="253">
        <f>+'Plan de Accion apoyo transversa'!CJ41</f>
        <v>0.89020562671983017</v>
      </c>
      <c r="Z58" s="215">
        <f>IF(Y58&gt;100%,100%,Y58)</f>
        <v>0.89020562671983017</v>
      </c>
      <c r="AA58" s="220">
        <f>+'Plan de Accion apoyo transversa'!BS41</f>
        <v>0.5511261196048548</v>
      </c>
      <c r="AB58" s="220">
        <f t="shared" si="35"/>
        <v>0.5511261196048548</v>
      </c>
      <c r="AC58" s="309">
        <f>+AB58</f>
        <v>0.5511261196048548</v>
      </c>
      <c r="AD58" s="216"/>
      <c r="AE58" s="217">
        <f>+'Plan de Accion apoyo transversa'!CA41</f>
        <v>0</v>
      </c>
      <c r="AF58" s="253">
        <f>+'Plan de Accion apoyo transversa'!CL41</f>
        <v>0</v>
      </c>
      <c r="AG58" s="215">
        <f t="shared" si="39"/>
        <v>0</v>
      </c>
      <c r="AH58" s="253">
        <f>+'Plan de Accion apoyo transversa'!CC41</f>
        <v>0.5511261196048548</v>
      </c>
      <c r="AI58" s="214">
        <f t="shared" si="36"/>
        <v>0.5511261196048548</v>
      </c>
      <c r="AJ58" s="235"/>
      <c r="AL58" s="210"/>
      <c r="AM58" s="210"/>
      <c r="AN58" s="207"/>
      <c r="AO58" s="211"/>
      <c r="AP58" s="210"/>
      <c r="AQ58" s="207"/>
      <c r="AR58" s="210"/>
      <c r="AS58" s="210"/>
      <c r="AT58" s="207"/>
      <c r="AU58" s="210"/>
      <c r="AV58" s="210"/>
      <c r="AW58" s="205"/>
      <c r="AX58" s="232"/>
      <c r="AZ58" s="210"/>
      <c r="BA58" s="210"/>
      <c r="BB58" s="207"/>
      <c r="BC58" s="211"/>
      <c r="BD58" s="210"/>
      <c r="BE58" s="207"/>
      <c r="BF58" s="210"/>
      <c r="BG58" s="210"/>
      <c r="BH58" s="207"/>
      <c r="BI58" s="210"/>
      <c r="BJ58" s="210"/>
      <c r="BK58" s="205"/>
      <c r="BL58" s="232"/>
      <c r="BN58" s="210"/>
      <c r="BO58" s="210"/>
      <c r="BP58" s="207"/>
      <c r="BQ58" s="211"/>
      <c r="BR58" s="210"/>
      <c r="BS58" s="207"/>
      <c r="BT58" s="210"/>
      <c r="BU58" s="210"/>
      <c r="BV58" s="207"/>
      <c r="BW58" s="210"/>
      <c r="BX58" s="210"/>
      <c r="BY58" s="205"/>
      <c r="BZ58" s="232"/>
      <c r="CB58" s="210"/>
      <c r="CC58" s="210"/>
      <c r="CD58" s="207"/>
      <c r="CE58" s="211"/>
      <c r="CF58" s="210"/>
      <c r="CG58" s="207"/>
      <c r="CH58" s="210"/>
      <c r="CI58" s="210"/>
      <c r="CJ58" s="207"/>
      <c r="CK58" s="210"/>
      <c r="CL58" s="210"/>
      <c r="CM58" s="205"/>
      <c r="CN58" s="232"/>
    </row>
    <row r="59" spans="2:92" ht="42.75" customHeight="1" x14ac:dyDescent="0.2">
      <c r="B59" s="1362"/>
      <c r="C59" s="1313" t="s">
        <v>94</v>
      </c>
      <c r="D59" s="1323" t="s">
        <v>204</v>
      </c>
      <c r="E59" s="1319" t="s">
        <v>1</v>
      </c>
      <c r="F59" s="1316" t="s">
        <v>330</v>
      </c>
      <c r="G59" s="322" t="str">
        <f>+'Plan de Accion apoyo transversa'!X9</f>
        <v>Anexos técnicos para el diseño, desarrollo e implementación del sitio web de la ADRES.</v>
      </c>
      <c r="H59" s="1346"/>
      <c r="J59" s="217" t="e">
        <f>+'Plan de Accion apoyo transversa'!AW9</f>
        <v>#DIV/0!</v>
      </c>
      <c r="K59" s="483" t="str">
        <f>+'Plan de Accion apoyo transversa'!CF9</f>
        <v>No Prog ni Ejec</v>
      </c>
      <c r="L59" s="483" t="s">
        <v>204</v>
      </c>
      <c r="M59" s="483">
        <f>+'Plan de Accion apoyo transversa'!AY9</f>
        <v>0</v>
      </c>
      <c r="N59" s="483">
        <f>IF(M59&gt;100%,100%,M59)</f>
        <v>0</v>
      </c>
      <c r="O59" s="483" t="s">
        <v>204</v>
      </c>
      <c r="P59" s="216"/>
      <c r="Q59" s="217">
        <f>+'Plan de Accion apoyo transversa'!BG9</f>
        <v>0</v>
      </c>
      <c r="R59" s="253">
        <f>+'Plan de Accion apoyo transversa'!CH9</f>
        <v>0</v>
      </c>
      <c r="S59" s="215">
        <f>IF(R59&gt;100%,100%,R59)</f>
        <v>0</v>
      </c>
      <c r="T59" s="311">
        <f>+'Plan de Accion apoyo transversa'!BI9</f>
        <v>0</v>
      </c>
      <c r="U59" s="311">
        <f>IF(T59&gt;100%,100%,T59)</f>
        <v>0</v>
      </c>
      <c r="V59" s="214">
        <f>+U59</f>
        <v>0</v>
      </c>
      <c r="W59" s="216"/>
      <c r="X59" s="217">
        <f>+'Plan de Accion apoyo transversa'!BQ9</f>
        <v>0</v>
      </c>
      <c r="Y59" s="253">
        <f>+'Plan de Accion apoyo transversa'!CJ9</f>
        <v>0</v>
      </c>
      <c r="Z59" s="215">
        <f>IF(Y59&gt;100%,100%,Y59)</f>
        <v>0</v>
      </c>
      <c r="AA59" s="220">
        <f>+'Plan de Accion apoyo transversa'!BS9</f>
        <v>0</v>
      </c>
      <c r="AB59" s="220">
        <f>IF(AA59&gt;100%,100%,AA59)</f>
        <v>0</v>
      </c>
      <c r="AC59" s="309">
        <f>+AB59</f>
        <v>0</v>
      </c>
      <c r="AD59" s="216"/>
      <c r="AE59" s="217">
        <f>+'Plan de Accion apoyo transversa'!CA9</f>
        <v>0</v>
      </c>
      <c r="AF59" s="253">
        <f>+'Plan de Accion apoyo transversa'!CL9</f>
        <v>0</v>
      </c>
      <c r="AG59" s="215">
        <f>IF(AF59&gt;100%,100%,AF59)</f>
        <v>0</v>
      </c>
      <c r="AH59" s="253">
        <f>+'Plan de Accion apoyo transversa'!CC9</f>
        <v>0</v>
      </c>
      <c r="AI59" s="214">
        <f>IF(AH59&gt;100%,100%,AH59)</f>
        <v>0</v>
      </c>
      <c r="AJ59" s="233"/>
      <c r="AL59" s="210"/>
      <c r="AM59" s="210"/>
      <c r="AN59" s="207"/>
      <c r="AO59" s="211"/>
      <c r="AP59" s="210"/>
      <c r="AQ59" s="207"/>
      <c r="AR59" s="210"/>
      <c r="AS59" s="210"/>
      <c r="AT59" s="207"/>
      <c r="AU59" s="210"/>
      <c r="AV59" s="210"/>
      <c r="AW59" s="205"/>
      <c r="AX59" s="232"/>
      <c r="AZ59" s="210"/>
      <c r="BA59" s="210"/>
      <c r="BB59" s="207"/>
      <c r="BC59" s="211"/>
      <c r="BD59" s="210"/>
      <c r="BE59" s="207"/>
      <c r="BF59" s="210"/>
      <c r="BG59" s="210"/>
      <c r="BH59" s="207"/>
      <c r="BI59" s="210"/>
      <c r="BJ59" s="210"/>
      <c r="BK59" s="205"/>
      <c r="BL59" s="232"/>
      <c r="BN59" s="210"/>
      <c r="BO59" s="210"/>
      <c r="BP59" s="207"/>
      <c r="BQ59" s="211"/>
      <c r="BR59" s="210"/>
      <c r="BS59" s="207"/>
      <c r="BT59" s="210"/>
      <c r="BU59" s="210"/>
      <c r="BV59" s="207"/>
      <c r="BW59" s="210"/>
      <c r="BX59" s="210"/>
      <c r="BY59" s="205"/>
      <c r="BZ59" s="232"/>
      <c r="CB59" s="210"/>
      <c r="CC59" s="210"/>
      <c r="CD59" s="207"/>
      <c r="CE59" s="211"/>
      <c r="CF59" s="210"/>
      <c r="CG59" s="207"/>
      <c r="CH59" s="210"/>
      <c r="CI59" s="210"/>
      <c r="CJ59" s="207"/>
      <c r="CK59" s="210"/>
      <c r="CL59" s="210"/>
      <c r="CM59" s="205"/>
      <c r="CN59" s="232"/>
    </row>
    <row r="60" spans="2:92" ht="72" thickBot="1" x14ac:dyDescent="0.25">
      <c r="B60" s="1362"/>
      <c r="C60" s="1314"/>
      <c r="D60" s="1324"/>
      <c r="E60" s="1320"/>
      <c r="F60" s="1317"/>
      <c r="G60" s="322" t="str">
        <f>+'Plan de Accion apoyo transversa'!X10</f>
        <v>Informe mensual de monitoreo de la actividad en redes sociales y medios de comunicación asociados a la ADRES.</v>
      </c>
      <c r="H60" s="1346"/>
      <c r="J60" s="1302">
        <f>+'Plan de Accion apoyo transversa'!AW10</f>
        <v>0.69999994733365734</v>
      </c>
      <c r="K60" s="1290">
        <f>+'Plan de Accion apoyo transversa'!CF10</f>
        <v>0.69999994733365734</v>
      </c>
      <c r="L60" s="1290">
        <f>IF(K60&gt;100%,100%,K60)</f>
        <v>0.69999994733365734</v>
      </c>
      <c r="M60" s="1290">
        <f>+'Plan de Accion apoyo transversa'!AY10</f>
        <v>0.17499998683341433</v>
      </c>
      <c r="N60" s="1290">
        <f>IF(M60&gt;100%,100%,M60)</f>
        <v>0.17499998683341433</v>
      </c>
      <c r="O60" s="1290">
        <f>+N60</f>
        <v>0.17499998683341433</v>
      </c>
      <c r="P60" s="216"/>
      <c r="Q60" s="1302">
        <f>+'Plan de Accion apoyo transversa'!BG10</f>
        <v>1</v>
      </c>
      <c r="R60" s="1336">
        <f>+'Plan de Accion apoyo transversa'!CH10</f>
        <v>1</v>
      </c>
      <c r="S60" s="1336">
        <f>IF(R60&gt;100%,100%,R60)</f>
        <v>1</v>
      </c>
      <c r="T60" s="1336">
        <f>+'Plan de Accion apoyo transversa'!BI10</f>
        <v>0.42499998683341433</v>
      </c>
      <c r="U60" s="1336">
        <f>IF(T60&gt;100%,100%,T60)</f>
        <v>0.42499998683341433</v>
      </c>
      <c r="V60" s="1338">
        <f>+U60</f>
        <v>0.42499998683341433</v>
      </c>
      <c r="W60" s="216"/>
      <c r="X60" s="1302">
        <f>+'Plan de Accion apoyo transversa'!BQ10</f>
        <v>1</v>
      </c>
      <c r="Y60" s="1336">
        <f>+'Plan de Accion apoyo transversa'!CJ10</f>
        <v>1</v>
      </c>
      <c r="Z60" s="1336">
        <f>IF(Y60&gt;100%,100%,Y60)</f>
        <v>1</v>
      </c>
      <c r="AA60" s="1366">
        <f>+'Plan de Accion apoyo transversa'!BS10</f>
        <v>0.67499998683341433</v>
      </c>
      <c r="AB60" s="1366">
        <f>IF(AA60&gt;100%,100%,AA60)</f>
        <v>0.67499998683341433</v>
      </c>
      <c r="AC60" s="1340">
        <f>+AB60</f>
        <v>0.67499998683341433</v>
      </c>
      <c r="AD60" s="216"/>
      <c r="AE60" s="1302">
        <f>+'Plan de Accion apoyo transversa'!CA10</f>
        <v>0</v>
      </c>
      <c r="AF60" s="1336">
        <f>+'Plan de Accion apoyo transversa'!CL10</f>
        <v>0</v>
      </c>
      <c r="AG60" s="1336">
        <f>IF(AF60&gt;100%,100%,AF60)</f>
        <v>0</v>
      </c>
      <c r="AH60" s="1336">
        <f>+'Plan de Accion apoyo transversa'!CC10</f>
        <v>0.67499998683341433</v>
      </c>
      <c r="AI60" s="1338">
        <f>IF(AH60&gt;100%,100%,AH60)</f>
        <v>0.67499998683341433</v>
      </c>
      <c r="AJ60" s="231"/>
      <c r="AL60" s="210"/>
      <c r="AM60" s="210"/>
      <c r="AN60" s="207"/>
      <c r="AO60" s="211"/>
      <c r="AP60" s="210"/>
      <c r="AQ60" s="207"/>
      <c r="AR60" s="210"/>
      <c r="AS60" s="210"/>
      <c r="AT60" s="207"/>
      <c r="AU60" s="210"/>
      <c r="AV60" s="210"/>
      <c r="AW60" s="205"/>
      <c r="AX60" s="232"/>
      <c r="AZ60" s="210"/>
      <c r="BA60" s="210"/>
      <c r="BB60" s="207"/>
      <c r="BC60" s="211"/>
      <c r="BD60" s="210"/>
      <c r="BE60" s="207"/>
      <c r="BF60" s="210"/>
      <c r="BG60" s="210"/>
      <c r="BH60" s="207"/>
      <c r="BI60" s="210"/>
      <c r="BJ60" s="210"/>
      <c r="BK60" s="205"/>
      <c r="BL60" s="232"/>
      <c r="BN60" s="210"/>
      <c r="BO60" s="210"/>
      <c r="BP60" s="207"/>
      <c r="BQ60" s="211"/>
      <c r="BR60" s="210"/>
      <c r="BS60" s="207"/>
      <c r="BT60" s="210"/>
      <c r="BU60" s="210"/>
      <c r="BV60" s="207"/>
      <c r="BW60" s="210"/>
      <c r="BX60" s="210"/>
      <c r="BY60" s="205"/>
      <c r="BZ60" s="232"/>
      <c r="CB60" s="210"/>
      <c r="CC60" s="210"/>
      <c r="CD60" s="207"/>
      <c r="CE60" s="211"/>
      <c r="CF60" s="210"/>
      <c r="CG60" s="207"/>
      <c r="CH60" s="210"/>
      <c r="CI60" s="210"/>
      <c r="CJ60" s="207"/>
      <c r="CK60" s="210"/>
      <c r="CL60" s="210"/>
      <c r="CM60" s="205"/>
      <c r="CN60" s="232"/>
    </row>
    <row r="61" spans="2:92" ht="15.75" thickBot="1" x14ac:dyDescent="0.25">
      <c r="B61" s="1362"/>
      <c r="C61" s="1314"/>
      <c r="D61" s="1324"/>
      <c r="E61" s="1320"/>
      <c r="F61" s="1317"/>
      <c r="G61" s="1319" t="str">
        <f>+'Plan de Accion apoyo transversa'!X11</f>
        <v>Correos electrónicos con el monitoreo de noticias</v>
      </c>
      <c r="H61" s="1346"/>
      <c r="J61" s="1344"/>
      <c r="K61" s="1291"/>
      <c r="L61" s="1291"/>
      <c r="M61" s="1291"/>
      <c r="N61" s="1291"/>
      <c r="O61" s="1291"/>
      <c r="P61" s="216"/>
      <c r="Q61" s="1344"/>
      <c r="R61" s="1343"/>
      <c r="S61" s="1343"/>
      <c r="T61" s="1343"/>
      <c r="U61" s="1343"/>
      <c r="V61" s="1369"/>
      <c r="W61" s="216"/>
      <c r="X61" s="1344"/>
      <c r="Y61" s="1343"/>
      <c r="Z61" s="1343"/>
      <c r="AA61" s="1367"/>
      <c r="AB61" s="1367"/>
      <c r="AC61" s="1341"/>
      <c r="AD61" s="216"/>
      <c r="AE61" s="1344"/>
      <c r="AF61" s="1343"/>
      <c r="AG61" s="1343"/>
      <c r="AH61" s="1343"/>
      <c r="AI61" s="1369"/>
      <c r="AJ61" s="231"/>
      <c r="AL61" s="211"/>
      <c r="AM61" s="238"/>
      <c r="AN61" s="207"/>
      <c r="AO61" s="211"/>
      <c r="AP61" s="238"/>
      <c r="AQ61" s="207"/>
      <c r="AR61" s="211"/>
      <c r="AS61" s="238"/>
      <c r="AT61" s="207"/>
      <c r="AU61" s="211"/>
      <c r="AV61" s="238"/>
      <c r="AW61" s="205"/>
      <c r="AX61" s="232"/>
      <c r="AZ61" s="211"/>
      <c r="BA61" s="238"/>
      <c r="BB61" s="207"/>
      <c r="BC61" s="211"/>
      <c r="BD61" s="238"/>
      <c r="BE61" s="207"/>
      <c r="BF61" s="211"/>
      <c r="BG61" s="238"/>
      <c r="BH61" s="207"/>
      <c r="BI61" s="211"/>
      <c r="BJ61" s="238"/>
      <c r="BK61" s="205"/>
      <c r="BL61" s="232"/>
      <c r="BN61" s="211"/>
      <c r="BO61" s="238"/>
      <c r="BP61" s="207"/>
      <c r="BQ61" s="211"/>
      <c r="BR61" s="238"/>
      <c r="BS61" s="207"/>
      <c r="BT61" s="211"/>
      <c r="BU61" s="238"/>
      <c r="BV61" s="207"/>
      <c r="BW61" s="211"/>
      <c r="BX61" s="238"/>
      <c r="BY61" s="205"/>
      <c r="BZ61" s="232"/>
      <c r="CB61" s="211"/>
      <c r="CC61" s="238"/>
      <c r="CD61" s="207"/>
      <c r="CE61" s="211"/>
      <c r="CF61" s="238"/>
      <c r="CG61" s="207"/>
      <c r="CH61" s="211"/>
      <c r="CI61" s="238"/>
      <c r="CJ61" s="207"/>
      <c r="CK61" s="211"/>
      <c r="CL61" s="238"/>
      <c r="CM61" s="205"/>
      <c r="CN61" s="232"/>
    </row>
    <row r="62" spans="2:92" ht="15.75" thickBot="1" x14ac:dyDescent="0.25">
      <c r="B62" s="1362"/>
      <c r="C62" s="1314"/>
      <c r="D62" s="1324"/>
      <c r="E62" s="1320"/>
      <c r="F62" s="1317"/>
      <c r="G62" s="1320"/>
      <c r="H62" s="1346"/>
      <c r="J62" s="1344"/>
      <c r="K62" s="1291"/>
      <c r="L62" s="1291"/>
      <c r="M62" s="1291"/>
      <c r="N62" s="1291"/>
      <c r="O62" s="1291"/>
      <c r="P62" s="216"/>
      <c r="Q62" s="1344"/>
      <c r="R62" s="1343"/>
      <c r="S62" s="1343"/>
      <c r="T62" s="1343"/>
      <c r="U62" s="1343"/>
      <c r="V62" s="1369"/>
      <c r="W62" s="216"/>
      <c r="X62" s="1344"/>
      <c r="Y62" s="1343"/>
      <c r="Z62" s="1343"/>
      <c r="AA62" s="1367"/>
      <c r="AB62" s="1367"/>
      <c r="AC62" s="1341"/>
      <c r="AD62" s="216"/>
      <c r="AE62" s="1344"/>
      <c r="AF62" s="1343"/>
      <c r="AG62" s="1343"/>
      <c r="AH62" s="1343"/>
      <c r="AI62" s="1369"/>
      <c r="AJ62" s="231"/>
      <c r="AL62" s="211"/>
      <c r="AM62" s="238"/>
      <c r="AN62" s="207"/>
      <c r="AO62" s="211"/>
      <c r="AP62" s="238"/>
      <c r="AQ62" s="207"/>
      <c r="AR62" s="211"/>
      <c r="AS62" s="238"/>
      <c r="AT62" s="207"/>
      <c r="AU62" s="211"/>
      <c r="AV62" s="238"/>
      <c r="AW62" s="205"/>
      <c r="AX62" s="232"/>
      <c r="AZ62" s="211"/>
      <c r="BA62" s="238"/>
      <c r="BB62" s="207"/>
      <c r="BC62" s="211"/>
      <c r="BD62" s="238"/>
      <c r="BE62" s="207"/>
      <c r="BF62" s="211"/>
      <c r="BG62" s="238"/>
      <c r="BH62" s="207"/>
      <c r="BI62" s="211"/>
      <c r="BJ62" s="238"/>
      <c r="BK62" s="205"/>
      <c r="BL62" s="232"/>
      <c r="BN62" s="211"/>
      <c r="BO62" s="238"/>
      <c r="BP62" s="207"/>
      <c r="BQ62" s="211"/>
      <c r="BR62" s="238"/>
      <c r="BS62" s="207"/>
      <c r="BT62" s="211"/>
      <c r="BU62" s="238"/>
      <c r="BV62" s="207"/>
      <c r="BW62" s="211"/>
      <c r="BX62" s="238"/>
      <c r="BY62" s="205"/>
      <c r="BZ62" s="232"/>
      <c r="CB62" s="211"/>
      <c r="CC62" s="238"/>
      <c r="CD62" s="207"/>
      <c r="CE62" s="211"/>
      <c r="CF62" s="238"/>
      <c r="CG62" s="207"/>
      <c r="CH62" s="211"/>
      <c r="CI62" s="238"/>
      <c r="CJ62" s="207"/>
      <c r="CK62" s="211"/>
      <c r="CL62" s="238"/>
      <c r="CM62" s="205"/>
      <c r="CN62" s="232"/>
    </row>
    <row r="63" spans="2:92" ht="15.75" thickBot="1" x14ac:dyDescent="0.25">
      <c r="B63" s="1362"/>
      <c r="C63" s="1314"/>
      <c r="D63" s="1324"/>
      <c r="E63" s="1320"/>
      <c r="F63" s="1317"/>
      <c r="G63" s="1321"/>
      <c r="H63" s="1346"/>
      <c r="J63" s="1303"/>
      <c r="K63" s="1292"/>
      <c r="L63" s="1292"/>
      <c r="M63" s="1292"/>
      <c r="N63" s="1292"/>
      <c r="O63" s="1292"/>
      <c r="P63" s="216"/>
      <c r="Q63" s="1303"/>
      <c r="R63" s="1337"/>
      <c r="S63" s="1337"/>
      <c r="T63" s="1337"/>
      <c r="U63" s="1337"/>
      <c r="V63" s="1339"/>
      <c r="W63" s="216"/>
      <c r="X63" s="1303"/>
      <c r="Y63" s="1337"/>
      <c r="Z63" s="1337"/>
      <c r="AA63" s="1368"/>
      <c r="AB63" s="1368"/>
      <c r="AC63" s="1342"/>
      <c r="AD63" s="216"/>
      <c r="AE63" s="1303"/>
      <c r="AF63" s="1337"/>
      <c r="AG63" s="1337"/>
      <c r="AH63" s="1337"/>
      <c r="AI63" s="1339"/>
      <c r="AJ63" s="231"/>
      <c r="AL63" s="211"/>
      <c r="AM63" s="238"/>
      <c r="AN63" s="207"/>
      <c r="AO63" s="211"/>
      <c r="AP63" s="238"/>
      <c r="AQ63" s="207"/>
      <c r="AR63" s="211"/>
      <c r="AS63" s="238"/>
      <c r="AT63" s="207"/>
      <c r="AU63" s="211"/>
      <c r="AV63" s="238"/>
      <c r="AW63" s="205"/>
      <c r="AX63" s="232"/>
      <c r="AZ63" s="211"/>
      <c r="BA63" s="238"/>
      <c r="BB63" s="207"/>
      <c r="BC63" s="211"/>
      <c r="BD63" s="238"/>
      <c r="BE63" s="207"/>
      <c r="BF63" s="211"/>
      <c r="BG63" s="238"/>
      <c r="BH63" s="207"/>
      <c r="BI63" s="211"/>
      <c r="BJ63" s="238"/>
      <c r="BK63" s="205"/>
      <c r="BL63" s="232"/>
      <c r="BN63" s="211"/>
      <c r="BO63" s="238"/>
      <c r="BP63" s="207"/>
      <c r="BQ63" s="211"/>
      <c r="BR63" s="238"/>
      <c r="BS63" s="207"/>
      <c r="BT63" s="211"/>
      <c r="BU63" s="238"/>
      <c r="BV63" s="207"/>
      <c r="BW63" s="211"/>
      <c r="BX63" s="238"/>
      <c r="BY63" s="205"/>
      <c r="BZ63" s="232"/>
      <c r="CB63" s="211"/>
      <c r="CC63" s="238"/>
      <c r="CD63" s="207"/>
      <c r="CE63" s="211"/>
      <c r="CF63" s="238"/>
      <c r="CG63" s="207"/>
      <c r="CH63" s="211"/>
      <c r="CI63" s="238"/>
      <c r="CJ63" s="207"/>
      <c r="CK63" s="211"/>
      <c r="CL63" s="238"/>
      <c r="CM63" s="205"/>
      <c r="CN63" s="232"/>
    </row>
    <row r="64" spans="2:92" ht="43.5" customHeight="1" thickBot="1" x14ac:dyDescent="0.25">
      <c r="B64" s="1362"/>
      <c r="C64" s="1314"/>
      <c r="D64" s="1324"/>
      <c r="E64" s="1320"/>
      <c r="F64" s="1355" t="s">
        <v>336</v>
      </c>
      <c r="G64" s="672" t="str">
        <f>+'Plan de Accion apoyo transversa'!X167</f>
        <v>Audiencia pública de Rendición de cuentas externa realizadas</v>
      </c>
      <c r="H64" s="1346"/>
      <c r="J64" s="217" t="e">
        <f>+'Plan de Accion apoyo transversa'!AW167</f>
        <v>#DIV/0!</v>
      </c>
      <c r="K64" s="659" t="str">
        <f>+'Plan de Accion apoyo transversa'!CF167</f>
        <v>No Prog ni Ejec</v>
      </c>
      <c r="L64" s="659" t="s">
        <v>204</v>
      </c>
      <c r="M64" s="659" t="s">
        <v>204</v>
      </c>
      <c r="N64" s="659" t="s">
        <v>204</v>
      </c>
      <c r="O64" s="659" t="s">
        <v>204</v>
      </c>
      <c r="P64" s="216"/>
      <c r="Q64" s="217" t="e">
        <f>+'Plan de Accion apoyo transversa'!BG167</f>
        <v>#DIV/0!</v>
      </c>
      <c r="R64" s="253" t="str">
        <f>+'Plan de Accion apoyo transversa'!CH167</f>
        <v>No Prog ni Ejec</v>
      </c>
      <c r="S64" s="215" t="s">
        <v>204</v>
      </c>
      <c r="T64" s="659">
        <f>+'Plan de Accion apoyo transversa'!BI167</f>
        <v>0</v>
      </c>
      <c r="U64" s="659">
        <f>IF(T64&gt;100%,100%,T64)</f>
        <v>0</v>
      </c>
      <c r="V64" s="214" t="s">
        <v>204</v>
      </c>
      <c r="W64" s="216"/>
      <c r="X64" s="217">
        <f>+'Plan de Accion apoyo transversa'!BQ167</f>
        <v>0</v>
      </c>
      <c r="Y64" s="253">
        <f>+'Plan de Accion apoyo transversa'!CJ167</f>
        <v>0</v>
      </c>
      <c r="Z64" s="215">
        <f>IF(Y64&gt;100%,100%,Y64)</f>
        <v>0</v>
      </c>
      <c r="AA64" s="220">
        <f>+'Plan de Accion apoyo transversa'!BS167</f>
        <v>0</v>
      </c>
      <c r="AB64" s="220">
        <f>IF(AA64&gt;100%,100%,AA64)</f>
        <v>0</v>
      </c>
      <c r="AC64" s="661">
        <f>+AB64</f>
        <v>0</v>
      </c>
      <c r="AD64" s="216"/>
      <c r="AE64" s="217" t="e">
        <f>+'Plan de Accion apoyo transversa'!CA167</f>
        <v>#DIV/0!</v>
      </c>
      <c r="AF64" s="253" t="str">
        <f>+'Plan de Accion apoyo transversa'!CL167</f>
        <v>No Prog ni Ejec</v>
      </c>
      <c r="AG64" s="215" t="s">
        <v>204</v>
      </c>
      <c r="AH64" s="253">
        <f>+'Plan de Accion apoyo transversa'!CC167</f>
        <v>0</v>
      </c>
      <c r="AI64" s="214">
        <f>IF(AH64&gt;100%,100%,AH64)</f>
        <v>0</v>
      </c>
      <c r="AJ64" s="231"/>
      <c r="AL64" s="666"/>
      <c r="AM64" s="238"/>
      <c r="AN64" s="207"/>
      <c r="AO64" s="666"/>
      <c r="AP64" s="238"/>
      <c r="AQ64" s="207"/>
      <c r="AR64" s="666"/>
      <c r="AS64" s="238"/>
      <c r="AT64" s="207"/>
      <c r="AU64" s="666"/>
      <c r="AV64" s="238"/>
      <c r="AW64" s="205"/>
      <c r="AX64" s="232"/>
      <c r="AZ64" s="666"/>
      <c r="BA64" s="238"/>
      <c r="BB64" s="207"/>
      <c r="BC64" s="666"/>
      <c r="BD64" s="238"/>
      <c r="BE64" s="207"/>
      <c r="BF64" s="666"/>
      <c r="BG64" s="238"/>
      <c r="BH64" s="207"/>
      <c r="BI64" s="666"/>
      <c r="BJ64" s="238"/>
      <c r="BK64" s="205"/>
      <c r="BL64" s="232"/>
      <c r="BN64" s="666"/>
      <c r="BO64" s="238"/>
      <c r="BP64" s="207"/>
      <c r="BQ64" s="666"/>
      <c r="BR64" s="238"/>
      <c r="BS64" s="207"/>
      <c r="BT64" s="666"/>
      <c r="BU64" s="238"/>
      <c r="BV64" s="207"/>
      <c r="BW64" s="666"/>
      <c r="BX64" s="238"/>
      <c r="BY64" s="205"/>
      <c r="BZ64" s="232"/>
      <c r="CB64" s="666"/>
      <c r="CC64" s="238"/>
      <c r="CD64" s="207"/>
      <c r="CE64" s="666"/>
      <c r="CF64" s="238"/>
      <c r="CG64" s="207"/>
      <c r="CH64" s="666"/>
      <c r="CI64" s="238"/>
      <c r="CJ64" s="207"/>
      <c r="CK64" s="666"/>
      <c r="CL64" s="238"/>
      <c r="CM64" s="205"/>
      <c r="CN64" s="232"/>
    </row>
    <row r="65" spans="2:92" ht="29.25" thickBot="1" x14ac:dyDescent="0.25">
      <c r="B65" s="1362"/>
      <c r="C65" s="1314"/>
      <c r="D65" s="1325"/>
      <c r="E65" s="1321"/>
      <c r="F65" s="1355"/>
      <c r="G65" s="322" t="str">
        <f>+'Plan de Accion apoyo transversa'!X14</f>
        <v>Informe de audiencia pública de rendición de cuentas</v>
      </c>
      <c r="H65" s="1346"/>
      <c r="J65" s="217" t="e">
        <f>+'Plan de Accion apoyo transversa'!AW14</f>
        <v>#DIV/0!</v>
      </c>
      <c r="K65" s="483" t="str">
        <f>+'Plan de Accion apoyo transversa'!CF14</f>
        <v>No Prog ni Ejec</v>
      </c>
      <c r="L65" s="483" t="s">
        <v>204</v>
      </c>
      <c r="M65" s="483">
        <f>+'Plan de Accion apoyo transversa'!AY14</f>
        <v>0</v>
      </c>
      <c r="N65" s="483">
        <f>IF(M65&gt;100%,100%,M65)</f>
        <v>0</v>
      </c>
      <c r="O65" s="483" t="s">
        <v>204</v>
      </c>
      <c r="P65" s="216"/>
      <c r="Q65" s="217" t="e">
        <f>+'Plan de Accion apoyo transversa'!BG14</f>
        <v>#DIV/0!</v>
      </c>
      <c r="R65" s="253" t="str">
        <f>+'Plan de Accion apoyo transversa'!CH14</f>
        <v>No Prog ni Ejec</v>
      </c>
      <c r="S65" s="215" t="s">
        <v>204</v>
      </c>
      <c r="T65" s="311">
        <f>+'Plan de Accion apoyo transversa'!BI14</f>
        <v>0</v>
      </c>
      <c r="U65" s="311">
        <f>IF(T65&gt;100%,100%,T65)</f>
        <v>0</v>
      </c>
      <c r="V65" s="214" t="s">
        <v>204</v>
      </c>
      <c r="W65" s="216"/>
      <c r="X65" s="217">
        <f>+'Plan de Accion apoyo transversa'!BQ14</f>
        <v>0.95454545454545459</v>
      </c>
      <c r="Y65" s="253">
        <f>+'Plan de Accion apoyo transversa'!CJ14</f>
        <v>0.95454545454545459</v>
      </c>
      <c r="Z65" s="215">
        <f>IF(Y65&gt;100%,100%,Y65)</f>
        <v>0.95454545454545459</v>
      </c>
      <c r="AA65" s="220">
        <f>+'Plan de Accion apoyo transversa'!BS14</f>
        <v>0.95454545454545459</v>
      </c>
      <c r="AB65" s="220">
        <f>IF(AA65&gt;100%,100%,AA65)</f>
        <v>0.95454545454545459</v>
      </c>
      <c r="AC65" s="309">
        <f>+AB65</f>
        <v>0.95454545454545459</v>
      </c>
      <c r="AD65" s="216"/>
      <c r="AE65" s="217" t="e">
        <f>+'Plan de Accion apoyo transversa'!CA14</f>
        <v>#DIV/0!</v>
      </c>
      <c r="AF65" s="253" t="str">
        <f>+'Plan de Accion apoyo transversa'!CL14</f>
        <v>No Prog ni Ejec</v>
      </c>
      <c r="AG65" s="215" t="s">
        <v>204</v>
      </c>
      <c r="AH65" s="253">
        <f>+'Plan de Accion apoyo transversa'!CC14</f>
        <v>0.95454545454545459</v>
      </c>
      <c r="AI65" s="214">
        <f>IF(AH65&gt;100%,100%,AH65)</f>
        <v>0.95454545454545459</v>
      </c>
      <c r="AJ65" s="231"/>
      <c r="AL65" s="211"/>
      <c r="AM65" s="238"/>
      <c r="AN65" s="207"/>
      <c r="AO65" s="211"/>
      <c r="AP65" s="238"/>
      <c r="AQ65" s="207"/>
      <c r="AR65" s="211"/>
      <c r="AS65" s="238"/>
      <c r="AT65" s="207"/>
      <c r="AU65" s="211"/>
      <c r="AV65" s="238"/>
      <c r="AW65" s="205"/>
      <c r="AX65" s="232"/>
      <c r="AZ65" s="211"/>
      <c r="BA65" s="238"/>
      <c r="BB65" s="207"/>
      <c r="BC65" s="211"/>
      <c r="BD65" s="238"/>
      <c r="BE65" s="207"/>
      <c r="BF65" s="211"/>
      <c r="BG65" s="238"/>
      <c r="BH65" s="207"/>
      <c r="BI65" s="211"/>
      <c r="BJ65" s="238"/>
      <c r="BK65" s="205"/>
      <c r="BL65" s="232"/>
      <c r="BN65" s="211"/>
      <c r="BO65" s="238"/>
      <c r="BP65" s="207"/>
      <c r="BQ65" s="211"/>
      <c r="BR65" s="238"/>
      <c r="BS65" s="207"/>
      <c r="BT65" s="211"/>
      <c r="BU65" s="238"/>
      <c r="BV65" s="207"/>
      <c r="BW65" s="211"/>
      <c r="BX65" s="238"/>
      <c r="BY65" s="205"/>
      <c r="BZ65" s="232"/>
      <c r="CB65" s="211"/>
      <c r="CC65" s="238"/>
      <c r="CD65" s="207"/>
      <c r="CE65" s="211"/>
      <c r="CF65" s="238"/>
      <c r="CG65" s="207"/>
      <c r="CH65" s="211"/>
      <c r="CI65" s="238"/>
      <c r="CJ65" s="207"/>
      <c r="CK65" s="211"/>
      <c r="CL65" s="238"/>
      <c r="CM65" s="205"/>
      <c r="CN65" s="232"/>
    </row>
    <row r="66" spans="2:92" ht="29.25" thickBot="1" x14ac:dyDescent="0.25">
      <c r="B66" s="1362"/>
      <c r="C66" s="1314"/>
      <c r="D66" s="1351" t="s">
        <v>204</v>
      </c>
      <c r="E66" s="1322" t="s">
        <v>14</v>
      </c>
      <c r="F66" s="344" t="s">
        <v>337</v>
      </c>
      <c r="G66" s="322" t="str">
        <f>+'Plan de Accion apoyo transversa'!X50</f>
        <v xml:space="preserve">Archivo documental transferido al custodio final </v>
      </c>
      <c r="H66" s="1346"/>
      <c r="J66" s="217">
        <f>+'Plan de Accion apoyo transversa'!AW50</f>
        <v>0</v>
      </c>
      <c r="K66" s="483">
        <f>+'Plan de Accion apoyo transversa'!CF50</f>
        <v>0</v>
      </c>
      <c r="L66" s="483">
        <f>IF(K66&gt;100%,100%,K66)</f>
        <v>0</v>
      </c>
      <c r="M66" s="483">
        <f>+'Plan de Accion apoyo transversa'!AY50</f>
        <v>0</v>
      </c>
      <c r="N66" s="483">
        <f>IF(M66&gt;100%,100%,M66)</f>
        <v>0</v>
      </c>
      <c r="O66" s="483">
        <f>+N66</f>
        <v>0</v>
      </c>
      <c r="P66" s="216"/>
      <c r="Q66" s="217">
        <f>+'Plan de Accion apoyo transversa'!BG50</f>
        <v>1</v>
      </c>
      <c r="R66" s="253">
        <f>+'Plan de Accion apoyo transversa'!CH50</f>
        <v>1</v>
      </c>
      <c r="S66" s="215">
        <f>IF(R66&gt;100%,100%,R66)</f>
        <v>1</v>
      </c>
      <c r="T66" s="311">
        <f>+'Plan de Accion apoyo transversa'!BI50</f>
        <v>0.375</v>
      </c>
      <c r="U66" s="311">
        <f>IF(T66&gt;100%,100%,T66)</f>
        <v>0.375</v>
      </c>
      <c r="V66" s="214">
        <f>+U66</f>
        <v>0.375</v>
      </c>
      <c r="W66" s="216"/>
      <c r="X66" s="217">
        <f>+'Plan de Accion apoyo transversa'!BQ50</f>
        <v>1</v>
      </c>
      <c r="Y66" s="253">
        <f>+'Plan de Accion apoyo transversa'!CJ50</f>
        <v>1</v>
      </c>
      <c r="Z66" s="215">
        <f>IF(Y66&gt;100%,100%,Y66)</f>
        <v>1</v>
      </c>
      <c r="AA66" s="220">
        <f>+'Plan de Accion apoyo transversa'!BS50</f>
        <v>0.75</v>
      </c>
      <c r="AB66" s="220">
        <f>IF(AA66&gt;100%,100%,AA66)</f>
        <v>0.75</v>
      </c>
      <c r="AC66" s="309">
        <f>+AB66</f>
        <v>0.75</v>
      </c>
      <c r="AD66" s="216"/>
      <c r="AE66" s="217">
        <f>+'Plan de Accion apoyo transversa'!CA50</f>
        <v>0</v>
      </c>
      <c r="AF66" s="253">
        <f>+'Plan de Accion apoyo transversa'!CL50</f>
        <v>0</v>
      </c>
      <c r="AG66" s="215">
        <f>IF(AF66&gt;100%,100%,AF66)</f>
        <v>0</v>
      </c>
      <c r="AH66" s="253">
        <f>+'Plan de Accion apoyo transversa'!CC50</f>
        <v>0.75</v>
      </c>
      <c r="AI66" s="214">
        <f>IF(AH66&gt;100%,100%,AH66)</f>
        <v>0.75</v>
      </c>
      <c r="AJ66" s="231"/>
      <c r="AL66" s="211"/>
      <c r="AM66" s="238"/>
      <c r="AN66" s="207"/>
      <c r="AO66" s="211"/>
      <c r="AP66" s="238"/>
      <c r="AQ66" s="207"/>
      <c r="AR66" s="211"/>
      <c r="AS66" s="238"/>
      <c r="AT66" s="207"/>
      <c r="AU66" s="211"/>
      <c r="AV66" s="238"/>
      <c r="AW66" s="205"/>
      <c r="AX66" s="232"/>
      <c r="AZ66" s="211"/>
      <c r="BA66" s="238"/>
      <c r="BB66" s="207"/>
      <c r="BC66" s="211"/>
      <c r="BD66" s="238"/>
      <c r="BE66" s="207"/>
      <c r="BF66" s="211"/>
      <c r="BG66" s="238"/>
      <c r="BH66" s="207"/>
      <c r="BI66" s="211"/>
      <c r="BJ66" s="238"/>
      <c r="BK66" s="205"/>
      <c r="BL66" s="232"/>
      <c r="BN66" s="211"/>
      <c r="BO66" s="238"/>
      <c r="BP66" s="207"/>
      <c r="BQ66" s="211"/>
      <c r="BR66" s="238"/>
      <c r="BS66" s="207"/>
      <c r="BT66" s="211"/>
      <c r="BU66" s="238"/>
      <c r="BV66" s="207"/>
      <c r="BW66" s="211"/>
      <c r="BX66" s="238"/>
      <c r="BY66" s="205"/>
      <c r="BZ66" s="232"/>
      <c r="CB66" s="211"/>
      <c r="CC66" s="238"/>
      <c r="CD66" s="207"/>
      <c r="CE66" s="211"/>
      <c r="CF66" s="238"/>
      <c r="CG66" s="207"/>
      <c r="CH66" s="211"/>
      <c r="CI66" s="238"/>
      <c r="CJ66" s="207"/>
      <c r="CK66" s="211"/>
      <c r="CL66" s="238"/>
      <c r="CM66" s="205"/>
      <c r="CN66" s="232"/>
    </row>
    <row r="67" spans="2:92" ht="86.25" thickBot="1" x14ac:dyDescent="0.25">
      <c r="B67" s="1362"/>
      <c r="C67" s="1314"/>
      <c r="D67" s="1352"/>
      <c r="E67" s="1322"/>
      <c r="F67" s="1365" t="s">
        <v>1180</v>
      </c>
      <c r="G67" s="322" t="str">
        <f>+'Plan de Accion apoyo transversa'!X56</f>
        <v>Jornada de socialización y divulgación de las Políticas de SST y Prevención de alcohol y drogas a todos los servidores públicos y partes interesadas realizada</v>
      </c>
      <c r="H67" s="1346"/>
      <c r="J67" s="1302">
        <f>+'Plan de Accion apoyo transversa'!AW56</f>
        <v>0.61111112365071651</v>
      </c>
      <c r="K67" s="1290">
        <f>+'Plan de Accion apoyo transversa'!CF56</f>
        <v>0.61111112365071651</v>
      </c>
      <c r="L67" s="1290">
        <f>IF(K67&gt;100%,100%,K67)</f>
        <v>0.61111112365071651</v>
      </c>
      <c r="M67" s="1290">
        <f>+'Plan de Accion apoyo transversa'!AY56</f>
        <v>0.15277778091267913</v>
      </c>
      <c r="N67" s="1290">
        <f>IF(M67&gt;100%,100%,M67)</f>
        <v>0.15277778091267913</v>
      </c>
      <c r="O67" s="1290">
        <f>+N67</f>
        <v>0.15277778091267913</v>
      </c>
      <c r="P67" s="216"/>
      <c r="Q67" s="1302">
        <f>+'Plan de Accion apoyo transversa'!BG56</f>
        <v>0.5</v>
      </c>
      <c r="R67" s="1336">
        <f>+'Plan de Accion apoyo transversa'!CH56</f>
        <v>0.5</v>
      </c>
      <c r="S67" s="1336">
        <f>IF(R67&gt;100%,100%,R67)</f>
        <v>0.5</v>
      </c>
      <c r="T67" s="1336">
        <f>+'Plan de Accion apoyo transversa'!BI56</f>
        <v>0.27777778091267913</v>
      </c>
      <c r="U67" s="1336">
        <f>IF(T67&gt;100%,100%,T67)</f>
        <v>0.27777778091267913</v>
      </c>
      <c r="V67" s="1338">
        <f>+U67</f>
        <v>0.27777778091267913</v>
      </c>
      <c r="W67" s="216"/>
      <c r="X67" s="1302">
        <f>+'Plan de Accion apoyo transversa'!BQ56</f>
        <v>1.6388888951586915</v>
      </c>
      <c r="Y67" s="1336">
        <f>+'Plan de Accion apoyo transversa'!CJ56</f>
        <v>1.6388888951586915</v>
      </c>
      <c r="Z67" s="1336">
        <f>IF(Y67&gt;100%,100%,Y67)</f>
        <v>1</v>
      </c>
      <c r="AA67" s="1366">
        <f>+'Plan de Accion apoyo transversa'!BS56</f>
        <v>0.68750000470235206</v>
      </c>
      <c r="AB67" s="1366">
        <f>IF(AA67&gt;100%,100%,AA67)</f>
        <v>0.68750000470235206</v>
      </c>
      <c r="AC67" s="1340">
        <f>+AB67</f>
        <v>0.68750000470235206</v>
      </c>
      <c r="AD67" s="216">
        <v>1</v>
      </c>
      <c r="AE67" s="1302">
        <f>+'Plan de Accion apoyo transversa'!CA56</f>
        <v>0</v>
      </c>
      <c r="AF67" s="1336">
        <f>+'Plan de Accion apoyo transversa'!CL56</f>
        <v>0</v>
      </c>
      <c r="AG67" s="1336">
        <f>IF(AF67&gt;100%,100%,AF67)</f>
        <v>0</v>
      </c>
      <c r="AH67" s="1336">
        <f>+'Plan de Accion apoyo transversa'!CC56</f>
        <v>0.68750000470235206</v>
      </c>
      <c r="AI67" s="1338">
        <f>IF(AH67&gt;100%,100%,AH67)</f>
        <v>0.68750000470235206</v>
      </c>
      <c r="AJ67" s="231"/>
      <c r="AL67" s="211"/>
      <c r="AM67" s="238"/>
      <c r="AN67" s="207"/>
      <c r="AO67" s="211"/>
      <c r="AP67" s="238"/>
      <c r="AQ67" s="207"/>
      <c r="AR67" s="211"/>
      <c r="AS67" s="238"/>
      <c r="AT67" s="207"/>
      <c r="AU67" s="211"/>
      <c r="AV67" s="238"/>
      <c r="AW67" s="205"/>
      <c r="AX67" s="232"/>
      <c r="AZ67" s="211"/>
      <c r="BA67" s="238"/>
      <c r="BB67" s="207"/>
      <c r="BC67" s="211"/>
      <c r="BD67" s="238"/>
      <c r="BE67" s="207"/>
      <c r="BF67" s="211"/>
      <c r="BG67" s="238"/>
      <c r="BH67" s="207"/>
      <c r="BI67" s="211"/>
      <c r="BJ67" s="238"/>
      <c r="BK67" s="205"/>
      <c r="BL67" s="232"/>
      <c r="BN67" s="211"/>
      <c r="BO67" s="238"/>
      <c r="BP67" s="207"/>
      <c r="BQ67" s="211"/>
      <c r="BR67" s="238"/>
      <c r="BS67" s="207"/>
      <c r="BT67" s="211"/>
      <c r="BU67" s="238"/>
      <c r="BV67" s="207"/>
      <c r="BW67" s="211"/>
      <c r="BX67" s="238"/>
      <c r="BY67" s="205"/>
      <c r="BZ67" s="232"/>
      <c r="CB67" s="211"/>
      <c r="CC67" s="238"/>
      <c r="CD67" s="207"/>
      <c r="CE67" s="211"/>
      <c r="CF67" s="238"/>
      <c r="CG67" s="207"/>
      <c r="CH67" s="211"/>
      <c r="CI67" s="238"/>
      <c r="CJ67" s="207"/>
      <c r="CK67" s="211"/>
      <c r="CL67" s="238"/>
      <c r="CM67" s="205"/>
      <c r="CN67" s="232"/>
    </row>
    <row r="68" spans="2:92" ht="29.25" thickBot="1" x14ac:dyDescent="0.25">
      <c r="B68" s="1362"/>
      <c r="C68" s="1314"/>
      <c r="D68" s="1352"/>
      <c r="E68" s="1322"/>
      <c r="F68" s="1365"/>
      <c r="G68" s="322" t="str">
        <f>+'Plan de Accion apoyo transversa'!X57</f>
        <v>Matriz de requisitos legales actualizada</v>
      </c>
      <c r="H68" s="1346"/>
      <c r="J68" s="1344"/>
      <c r="K68" s="1291"/>
      <c r="L68" s="1291"/>
      <c r="M68" s="1291"/>
      <c r="N68" s="1291"/>
      <c r="O68" s="1291"/>
      <c r="P68" s="216"/>
      <c r="Q68" s="1344"/>
      <c r="R68" s="1343"/>
      <c r="S68" s="1343"/>
      <c r="T68" s="1343"/>
      <c r="U68" s="1343"/>
      <c r="V68" s="1369"/>
      <c r="W68" s="216"/>
      <c r="X68" s="1344"/>
      <c r="Y68" s="1343"/>
      <c r="Z68" s="1343"/>
      <c r="AA68" s="1367"/>
      <c r="AB68" s="1367"/>
      <c r="AC68" s="1341"/>
      <c r="AD68" s="216"/>
      <c r="AE68" s="1344"/>
      <c r="AF68" s="1343"/>
      <c r="AG68" s="1343"/>
      <c r="AH68" s="1343"/>
      <c r="AI68" s="1369"/>
      <c r="AJ68" s="231"/>
      <c r="AL68" s="211"/>
      <c r="AM68" s="238"/>
      <c r="AN68" s="207"/>
      <c r="AO68" s="211"/>
      <c r="AP68" s="238"/>
      <c r="AQ68" s="207"/>
      <c r="AR68" s="211"/>
      <c r="AS68" s="238"/>
      <c r="AT68" s="207"/>
      <c r="AU68" s="211"/>
      <c r="AV68" s="238"/>
      <c r="AW68" s="205"/>
      <c r="AX68" s="232"/>
      <c r="AZ68" s="211"/>
      <c r="BA68" s="238"/>
      <c r="BB68" s="207"/>
      <c r="BC68" s="211"/>
      <c r="BD68" s="238"/>
      <c r="BE68" s="207"/>
      <c r="BF68" s="211"/>
      <c r="BG68" s="238"/>
      <c r="BH68" s="207"/>
      <c r="BI68" s="211"/>
      <c r="BJ68" s="238"/>
      <c r="BK68" s="205"/>
      <c r="BL68" s="232"/>
      <c r="BN68" s="211"/>
      <c r="BO68" s="238"/>
      <c r="BP68" s="207"/>
      <c r="BQ68" s="211"/>
      <c r="BR68" s="238"/>
      <c r="BS68" s="207"/>
      <c r="BT68" s="211"/>
      <c r="BU68" s="238"/>
      <c r="BV68" s="207"/>
      <c r="BW68" s="211"/>
      <c r="BX68" s="238"/>
      <c r="BY68" s="205"/>
      <c r="BZ68" s="232"/>
      <c r="CB68" s="211"/>
      <c r="CC68" s="238"/>
      <c r="CD68" s="207"/>
      <c r="CE68" s="211"/>
      <c r="CF68" s="238"/>
      <c r="CG68" s="207"/>
      <c r="CH68" s="211"/>
      <c r="CI68" s="238"/>
      <c r="CJ68" s="207"/>
      <c r="CK68" s="211"/>
      <c r="CL68" s="238"/>
      <c r="CM68" s="205"/>
      <c r="CN68" s="232"/>
    </row>
    <row r="69" spans="2:92" ht="29.25" thickBot="1" x14ac:dyDescent="0.25">
      <c r="B69" s="1362"/>
      <c r="C69" s="1314"/>
      <c r="D69" s="1352"/>
      <c r="E69" s="1322"/>
      <c r="F69" s="1365"/>
      <c r="G69" s="322" t="str">
        <f>+'Plan de Accion apoyo transversa'!X58</f>
        <v xml:space="preserve"> Documentos del SG-SST actualizados</v>
      </c>
      <c r="H69" s="1346"/>
      <c r="J69" s="1344"/>
      <c r="K69" s="1291"/>
      <c r="L69" s="1291"/>
      <c r="M69" s="1291"/>
      <c r="N69" s="1291"/>
      <c r="O69" s="1291"/>
      <c r="P69" s="216"/>
      <c r="Q69" s="1344"/>
      <c r="R69" s="1343"/>
      <c r="S69" s="1343"/>
      <c r="T69" s="1343"/>
      <c r="U69" s="1343"/>
      <c r="V69" s="1369"/>
      <c r="W69" s="216"/>
      <c r="X69" s="1344"/>
      <c r="Y69" s="1343"/>
      <c r="Z69" s="1343"/>
      <c r="AA69" s="1367"/>
      <c r="AB69" s="1367"/>
      <c r="AC69" s="1341"/>
      <c r="AD69" s="216"/>
      <c r="AE69" s="1344"/>
      <c r="AF69" s="1343"/>
      <c r="AG69" s="1343"/>
      <c r="AH69" s="1343"/>
      <c r="AI69" s="1369"/>
      <c r="AJ69" s="231"/>
      <c r="AL69" s="211"/>
      <c r="AM69" s="238"/>
      <c r="AN69" s="207"/>
      <c r="AO69" s="211"/>
      <c r="AP69" s="238"/>
      <c r="AQ69" s="207"/>
      <c r="AR69" s="211"/>
      <c r="AS69" s="238"/>
      <c r="AT69" s="207"/>
      <c r="AU69" s="211"/>
      <c r="AV69" s="238"/>
      <c r="AW69" s="205"/>
      <c r="AX69" s="232"/>
      <c r="AZ69" s="211"/>
      <c r="BA69" s="238"/>
      <c r="BB69" s="207"/>
      <c r="BC69" s="211"/>
      <c r="BD69" s="238"/>
      <c r="BE69" s="207"/>
      <c r="BF69" s="211"/>
      <c r="BG69" s="238"/>
      <c r="BH69" s="207"/>
      <c r="BI69" s="211"/>
      <c r="BJ69" s="238"/>
      <c r="BK69" s="205"/>
      <c r="BL69" s="232"/>
      <c r="BN69" s="211"/>
      <c r="BO69" s="238"/>
      <c r="BP69" s="207"/>
      <c r="BQ69" s="211"/>
      <c r="BR69" s="238"/>
      <c r="BS69" s="207"/>
      <c r="BT69" s="211"/>
      <c r="BU69" s="238"/>
      <c r="BV69" s="207"/>
      <c r="BW69" s="211"/>
      <c r="BX69" s="238"/>
      <c r="BY69" s="205"/>
      <c r="BZ69" s="232"/>
      <c r="CB69" s="211"/>
      <c r="CC69" s="238"/>
      <c r="CD69" s="207"/>
      <c r="CE69" s="211"/>
      <c r="CF69" s="238"/>
      <c r="CG69" s="207"/>
      <c r="CH69" s="211"/>
      <c r="CI69" s="238"/>
      <c r="CJ69" s="207"/>
      <c r="CK69" s="211"/>
      <c r="CL69" s="238"/>
      <c r="CM69" s="205"/>
      <c r="CN69" s="232"/>
    </row>
    <row r="70" spans="2:92" ht="29.25" thickBot="1" x14ac:dyDescent="0.25">
      <c r="B70" s="1362"/>
      <c r="C70" s="1314"/>
      <c r="D70" s="1352"/>
      <c r="E70" s="1322"/>
      <c r="F70" s="1365"/>
      <c r="G70" s="322" t="str">
        <f>+'Plan de Accion apoyo transversa'!X59</f>
        <v>Programa de medicina preventiva elaborado</v>
      </c>
      <c r="H70" s="1346"/>
      <c r="J70" s="1344"/>
      <c r="K70" s="1291"/>
      <c r="L70" s="1291"/>
      <c r="M70" s="1291"/>
      <c r="N70" s="1291"/>
      <c r="O70" s="1291"/>
      <c r="P70" s="216"/>
      <c r="Q70" s="1344"/>
      <c r="R70" s="1343"/>
      <c r="S70" s="1343"/>
      <c r="T70" s="1343"/>
      <c r="U70" s="1343"/>
      <c r="V70" s="1369"/>
      <c r="W70" s="216"/>
      <c r="X70" s="1344"/>
      <c r="Y70" s="1343"/>
      <c r="Z70" s="1343"/>
      <c r="AA70" s="1367"/>
      <c r="AB70" s="1367"/>
      <c r="AC70" s="1341"/>
      <c r="AD70" s="216"/>
      <c r="AE70" s="1344"/>
      <c r="AF70" s="1343"/>
      <c r="AG70" s="1343"/>
      <c r="AH70" s="1343"/>
      <c r="AI70" s="1369"/>
      <c r="AJ70" s="231"/>
      <c r="AL70" s="211"/>
      <c r="AM70" s="238"/>
      <c r="AN70" s="207"/>
      <c r="AO70" s="211"/>
      <c r="AP70" s="238"/>
      <c r="AQ70" s="207"/>
      <c r="AR70" s="211"/>
      <c r="AS70" s="238"/>
      <c r="AT70" s="207"/>
      <c r="AU70" s="211"/>
      <c r="AV70" s="238"/>
      <c r="AW70" s="205"/>
      <c r="AX70" s="232"/>
      <c r="AZ70" s="211"/>
      <c r="BA70" s="238"/>
      <c r="BB70" s="207"/>
      <c r="BC70" s="211"/>
      <c r="BD70" s="238"/>
      <c r="BE70" s="207"/>
      <c r="BF70" s="211"/>
      <c r="BG70" s="238"/>
      <c r="BH70" s="207"/>
      <c r="BI70" s="211"/>
      <c r="BJ70" s="238"/>
      <c r="BK70" s="205"/>
      <c r="BL70" s="232"/>
      <c r="BN70" s="211"/>
      <c r="BO70" s="238"/>
      <c r="BP70" s="207"/>
      <c r="BQ70" s="211"/>
      <c r="BR70" s="238"/>
      <c r="BS70" s="207"/>
      <c r="BT70" s="211"/>
      <c r="BU70" s="238"/>
      <c r="BV70" s="207"/>
      <c r="BW70" s="211"/>
      <c r="BX70" s="238"/>
      <c r="BY70" s="205"/>
      <c r="BZ70" s="232"/>
      <c r="CB70" s="211"/>
      <c r="CC70" s="238"/>
      <c r="CD70" s="207"/>
      <c r="CE70" s="211"/>
      <c r="CF70" s="238"/>
      <c r="CG70" s="207"/>
      <c r="CH70" s="211"/>
      <c r="CI70" s="238"/>
      <c r="CJ70" s="207"/>
      <c r="CK70" s="211"/>
      <c r="CL70" s="238"/>
      <c r="CM70" s="205"/>
      <c r="CN70" s="232"/>
    </row>
    <row r="71" spans="2:92" ht="29.25" thickBot="1" x14ac:dyDescent="0.25">
      <c r="B71" s="1362"/>
      <c r="C71" s="1314"/>
      <c r="D71" s="1352"/>
      <c r="E71" s="1322"/>
      <c r="F71" s="1365"/>
      <c r="G71" s="322" t="str">
        <f>+'Plan de Accion apoyo transversa'!X60</f>
        <v>Programa de orden y aseso elaborado</v>
      </c>
      <c r="H71" s="1346"/>
      <c r="J71" s="1344"/>
      <c r="K71" s="1291"/>
      <c r="L71" s="1291"/>
      <c r="M71" s="1291"/>
      <c r="N71" s="1291"/>
      <c r="O71" s="1291"/>
      <c r="P71" s="216"/>
      <c r="Q71" s="1344"/>
      <c r="R71" s="1343"/>
      <c r="S71" s="1343"/>
      <c r="T71" s="1343"/>
      <c r="U71" s="1343"/>
      <c r="V71" s="1369"/>
      <c r="W71" s="216"/>
      <c r="X71" s="1344"/>
      <c r="Y71" s="1343"/>
      <c r="Z71" s="1343"/>
      <c r="AA71" s="1367"/>
      <c r="AB71" s="1367"/>
      <c r="AC71" s="1341"/>
      <c r="AD71" s="216"/>
      <c r="AE71" s="1344"/>
      <c r="AF71" s="1343"/>
      <c r="AG71" s="1343"/>
      <c r="AH71" s="1343"/>
      <c r="AI71" s="1369"/>
      <c r="AJ71" s="231"/>
      <c r="AL71" s="211"/>
      <c r="AM71" s="238"/>
      <c r="AN71" s="207"/>
      <c r="AO71" s="211"/>
      <c r="AP71" s="238"/>
      <c r="AQ71" s="207"/>
      <c r="AR71" s="211"/>
      <c r="AS71" s="238"/>
      <c r="AT71" s="207"/>
      <c r="AU71" s="211"/>
      <c r="AV71" s="238"/>
      <c r="AW71" s="205"/>
      <c r="AX71" s="232"/>
      <c r="AZ71" s="211"/>
      <c r="BA71" s="238"/>
      <c r="BB71" s="207"/>
      <c r="BC71" s="211"/>
      <c r="BD71" s="238"/>
      <c r="BE71" s="207"/>
      <c r="BF71" s="211"/>
      <c r="BG71" s="238"/>
      <c r="BH71" s="207"/>
      <c r="BI71" s="211"/>
      <c r="BJ71" s="238"/>
      <c r="BK71" s="205"/>
      <c r="BL71" s="232"/>
      <c r="BN71" s="211"/>
      <c r="BO71" s="238"/>
      <c r="BP71" s="207"/>
      <c r="BQ71" s="211"/>
      <c r="BR71" s="238"/>
      <c r="BS71" s="207"/>
      <c r="BT71" s="211"/>
      <c r="BU71" s="238"/>
      <c r="BV71" s="207"/>
      <c r="BW71" s="211"/>
      <c r="BX71" s="238"/>
      <c r="BY71" s="205"/>
      <c r="BZ71" s="232"/>
      <c r="CB71" s="211"/>
      <c r="CC71" s="238"/>
      <c r="CD71" s="207"/>
      <c r="CE71" s="211"/>
      <c r="CF71" s="238"/>
      <c r="CG71" s="207"/>
      <c r="CH71" s="211"/>
      <c r="CI71" s="238"/>
      <c r="CJ71" s="207"/>
      <c r="CK71" s="211"/>
      <c r="CL71" s="238"/>
      <c r="CM71" s="205"/>
      <c r="CN71" s="232"/>
    </row>
    <row r="72" spans="2:92" ht="57.75" thickBot="1" x14ac:dyDescent="0.25">
      <c r="B72" s="1362"/>
      <c r="C72" s="1314"/>
      <c r="D72" s="1352"/>
      <c r="E72" s="1322"/>
      <c r="F72" s="1365"/>
      <c r="G72" s="322" t="str">
        <f>+'Plan de Accion apoyo transversa'!X61</f>
        <v>Programa de vigilancia epidemiológicos  de riesgo Psicosocial y Biomecánico elaborado</v>
      </c>
      <c r="H72" s="1346"/>
      <c r="J72" s="1344"/>
      <c r="K72" s="1291"/>
      <c r="L72" s="1291"/>
      <c r="M72" s="1291"/>
      <c r="N72" s="1291"/>
      <c r="O72" s="1291"/>
      <c r="P72" s="216"/>
      <c r="Q72" s="1344"/>
      <c r="R72" s="1343"/>
      <c r="S72" s="1343"/>
      <c r="T72" s="1343"/>
      <c r="U72" s="1343"/>
      <c r="V72" s="1369"/>
      <c r="W72" s="216"/>
      <c r="X72" s="1344"/>
      <c r="Y72" s="1343"/>
      <c r="Z72" s="1343"/>
      <c r="AA72" s="1367"/>
      <c r="AB72" s="1367"/>
      <c r="AC72" s="1341"/>
      <c r="AD72" s="216"/>
      <c r="AE72" s="1344"/>
      <c r="AF72" s="1343"/>
      <c r="AG72" s="1343"/>
      <c r="AH72" s="1343"/>
      <c r="AI72" s="1369"/>
      <c r="AJ72" s="248"/>
      <c r="AK72" s="240"/>
      <c r="AL72" s="246"/>
      <c r="AM72" s="245"/>
      <c r="AN72" s="247"/>
      <c r="AO72" s="246"/>
      <c r="AP72" s="245"/>
      <c r="AQ72" s="247"/>
      <c r="AR72" s="246"/>
      <c r="AS72" s="245"/>
      <c r="AT72" s="247"/>
      <c r="AU72" s="246"/>
      <c r="AV72" s="245"/>
      <c r="AW72" s="239"/>
      <c r="AX72" s="244"/>
      <c r="AY72" s="239"/>
      <c r="AZ72" s="246"/>
      <c r="BA72" s="245"/>
      <c r="BB72" s="247"/>
      <c r="BC72" s="246"/>
      <c r="BD72" s="245"/>
      <c r="BE72" s="247"/>
      <c r="BF72" s="246"/>
      <c r="BG72" s="245"/>
      <c r="BH72" s="247"/>
      <c r="BI72" s="246"/>
      <c r="BJ72" s="245"/>
      <c r="BK72" s="239"/>
      <c r="BL72" s="244"/>
      <c r="BN72" s="246"/>
      <c r="BO72" s="245"/>
      <c r="BP72" s="247"/>
      <c r="BQ72" s="246"/>
      <c r="BR72" s="245"/>
      <c r="BS72" s="247"/>
      <c r="BT72" s="246"/>
      <c r="BU72" s="245"/>
      <c r="BV72" s="247"/>
      <c r="BW72" s="246"/>
      <c r="BX72" s="245"/>
      <c r="BY72" s="239"/>
      <c r="BZ72" s="244"/>
      <c r="CB72" s="246"/>
      <c r="CC72" s="245"/>
      <c r="CD72" s="247"/>
      <c r="CE72" s="246"/>
      <c r="CF72" s="245"/>
      <c r="CG72" s="247"/>
      <c r="CH72" s="246"/>
      <c r="CI72" s="245"/>
      <c r="CJ72" s="247"/>
      <c r="CK72" s="246"/>
      <c r="CL72" s="245"/>
      <c r="CM72" s="239"/>
      <c r="CN72" s="244"/>
    </row>
    <row r="73" spans="2:92" ht="57.75" thickBot="1" x14ac:dyDescent="0.25">
      <c r="B73" s="1362"/>
      <c r="C73" s="1314"/>
      <c r="D73" s="1352"/>
      <c r="E73" s="1322"/>
      <c r="F73" s="1365"/>
      <c r="G73" s="322" t="str">
        <f>+'Plan de Accion apoyo transversa'!X62</f>
        <v>Programa de manejo de sustancias químicas (Sistema Globalmente armonizado) elaborado</v>
      </c>
      <c r="H73" s="1346"/>
      <c r="J73" s="1344"/>
      <c r="K73" s="1291"/>
      <c r="L73" s="1291"/>
      <c r="M73" s="1291"/>
      <c r="N73" s="1291"/>
      <c r="O73" s="1291"/>
      <c r="P73" s="216"/>
      <c r="Q73" s="1344"/>
      <c r="R73" s="1343"/>
      <c r="S73" s="1343"/>
      <c r="T73" s="1343"/>
      <c r="U73" s="1343"/>
      <c r="V73" s="1369"/>
      <c r="W73" s="216"/>
      <c r="X73" s="1344"/>
      <c r="Y73" s="1343"/>
      <c r="Z73" s="1343"/>
      <c r="AA73" s="1367"/>
      <c r="AB73" s="1367"/>
      <c r="AC73" s="1341"/>
      <c r="AD73" s="216"/>
      <c r="AE73" s="1344"/>
      <c r="AF73" s="1343"/>
      <c r="AG73" s="1343"/>
      <c r="AH73" s="1343"/>
      <c r="AI73" s="1369"/>
      <c r="AJ73" s="248"/>
      <c r="AK73" s="240"/>
      <c r="AL73" s="246"/>
      <c r="AM73" s="245"/>
      <c r="AN73" s="247"/>
      <c r="AO73" s="246"/>
      <c r="AP73" s="245"/>
      <c r="AQ73" s="247"/>
      <c r="AR73" s="246"/>
      <c r="AS73" s="245"/>
      <c r="AT73" s="247"/>
      <c r="AU73" s="246"/>
      <c r="AV73" s="245"/>
      <c r="AW73" s="239"/>
      <c r="AX73" s="244"/>
      <c r="AY73" s="239"/>
      <c r="AZ73" s="246"/>
      <c r="BA73" s="245"/>
      <c r="BB73" s="247"/>
      <c r="BC73" s="246"/>
      <c r="BD73" s="245"/>
      <c r="BE73" s="247"/>
      <c r="BF73" s="246"/>
      <c r="BG73" s="245"/>
      <c r="BH73" s="247"/>
      <c r="BI73" s="246"/>
      <c r="BJ73" s="245"/>
      <c r="BK73" s="239"/>
      <c r="BL73" s="244"/>
      <c r="BN73" s="246"/>
      <c r="BO73" s="245"/>
      <c r="BP73" s="247"/>
      <c r="BQ73" s="246"/>
      <c r="BR73" s="245"/>
      <c r="BS73" s="247"/>
      <c r="BT73" s="246"/>
      <c r="BU73" s="245"/>
      <c r="BV73" s="247"/>
      <c r="BW73" s="246"/>
      <c r="BX73" s="245"/>
      <c r="BY73" s="239"/>
      <c r="BZ73" s="244"/>
      <c r="CB73" s="246"/>
      <c r="CC73" s="245"/>
      <c r="CD73" s="247"/>
      <c r="CE73" s="246"/>
      <c r="CF73" s="245"/>
      <c r="CG73" s="247"/>
      <c r="CH73" s="246"/>
      <c r="CI73" s="245"/>
      <c r="CJ73" s="247"/>
      <c r="CK73" s="246"/>
      <c r="CL73" s="245"/>
      <c r="CM73" s="239"/>
      <c r="CN73" s="244"/>
    </row>
    <row r="74" spans="2:92" ht="72" thickBot="1" x14ac:dyDescent="0.25">
      <c r="B74" s="1362"/>
      <c r="C74" s="1314"/>
      <c r="D74" s="1352"/>
      <c r="E74" s="1322"/>
      <c r="F74" s="1365"/>
      <c r="G74" s="322" t="str">
        <f>+'Plan de Accion apoyo transversa'!X63</f>
        <v>Jornada de socialización y divulgación de los roles y responsabilidades a todos los servidores públicos y partes interesadas realizada</v>
      </c>
      <c r="H74" s="1346"/>
      <c r="J74" s="1344"/>
      <c r="K74" s="1291"/>
      <c r="L74" s="1291"/>
      <c r="M74" s="1291"/>
      <c r="N74" s="1291"/>
      <c r="O74" s="1291"/>
      <c r="P74" s="216"/>
      <c r="Q74" s="1344"/>
      <c r="R74" s="1343"/>
      <c r="S74" s="1343"/>
      <c r="T74" s="1343"/>
      <c r="U74" s="1343"/>
      <c r="V74" s="1369"/>
      <c r="W74" s="216"/>
      <c r="X74" s="1344"/>
      <c r="Y74" s="1343"/>
      <c r="Z74" s="1343"/>
      <c r="AA74" s="1367"/>
      <c r="AB74" s="1367"/>
      <c r="AC74" s="1341"/>
      <c r="AD74" s="216"/>
      <c r="AE74" s="1344"/>
      <c r="AF74" s="1343"/>
      <c r="AG74" s="1343"/>
      <c r="AH74" s="1343"/>
      <c r="AI74" s="1369"/>
      <c r="AJ74" s="248"/>
      <c r="AK74" s="240"/>
      <c r="AL74" s="246"/>
      <c r="AM74" s="245"/>
      <c r="AN74" s="247"/>
      <c r="AO74" s="246"/>
      <c r="AP74" s="245"/>
      <c r="AQ74" s="247"/>
      <c r="AR74" s="246"/>
      <c r="AS74" s="245"/>
      <c r="AT74" s="247"/>
      <c r="AU74" s="246"/>
      <c r="AV74" s="245"/>
      <c r="AW74" s="239"/>
      <c r="AX74" s="244"/>
      <c r="AY74" s="239"/>
      <c r="AZ74" s="246"/>
      <c r="BA74" s="245"/>
      <c r="BB74" s="247"/>
      <c r="BC74" s="246"/>
      <c r="BD74" s="245"/>
      <c r="BE74" s="247"/>
      <c r="BF74" s="246"/>
      <c r="BG74" s="245"/>
      <c r="BH74" s="247"/>
      <c r="BI74" s="246"/>
      <c r="BJ74" s="245"/>
      <c r="BK74" s="239"/>
      <c r="BL74" s="244"/>
      <c r="BN74" s="246"/>
      <c r="BO74" s="245"/>
      <c r="BP74" s="247"/>
      <c r="BQ74" s="246"/>
      <c r="BR74" s="245"/>
      <c r="BS74" s="247"/>
      <c r="BT74" s="246"/>
      <c r="BU74" s="245"/>
      <c r="BV74" s="247"/>
      <c r="BW74" s="246"/>
      <c r="BX74" s="245"/>
      <c r="BY74" s="239"/>
      <c r="BZ74" s="244"/>
      <c r="CB74" s="246"/>
      <c r="CC74" s="245"/>
      <c r="CD74" s="247"/>
      <c r="CE74" s="246"/>
      <c r="CF74" s="245"/>
      <c r="CG74" s="247"/>
      <c r="CH74" s="246"/>
      <c r="CI74" s="245"/>
      <c r="CJ74" s="247"/>
      <c r="CK74" s="246"/>
      <c r="CL74" s="245"/>
      <c r="CM74" s="239"/>
      <c r="CN74" s="244"/>
    </row>
    <row r="75" spans="2:92" ht="72" thickBot="1" x14ac:dyDescent="0.25">
      <c r="B75" s="1362"/>
      <c r="C75" s="1314"/>
      <c r="D75" s="1352"/>
      <c r="E75" s="1322"/>
      <c r="F75" s="1365"/>
      <c r="G75" s="322" t="str">
        <f>+'Plan de Accion apoyo transversa'!X64</f>
        <v>Rendición de Cuentas del Sistema de Seguridad y Salud en el Trabajo a todos los niveles de la Entidad  realizada</v>
      </c>
      <c r="H75" s="1346"/>
      <c r="J75" s="1344"/>
      <c r="K75" s="1291"/>
      <c r="L75" s="1291"/>
      <c r="M75" s="1291"/>
      <c r="N75" s="1291"/>
      <c r="O75" s="1291"/>
      <c r="P75" s="216"/>
      <c r="Q75" s="1344"/>
      <c r="R75" s="1343"/>
      <c r="S75" s="1343"/>
      <c r="T75" s="1343"/>
      <c r="U75" s="1343"/>
      <c r="V75" s="1369"/>
      <c r="W75" s="216"/>
      <c r="X75" s="1344"/>
      <c r="Y75" s="1343"/>
      <c r="Z75" s="1343"/>
      <c r="AA75" s="1367"/>
      <c r="AB75" s="1367"/>
      <c r="AC75" s="1341"/>
      <c r="AD75" s="216"/>
      <c r="AE75" s="1344"/>
      <c r="AF75" s="1343"/>
      <c r="AG75" s="1343"/>
      <c r="AH75" s="1343"/>
      <c r="AI75" s="1369"/>
      <c r="AJ75" s="248"/>
      <c r="AK75" s="240"/>
      <c r="AL75" s="246"/>
      <c r="AM75" s="245"/>
      <c r="AN75" s="247"/>
      <c r="AO75" s="246"/>
      <c r="AP75" s="245"/>
      <c r="AQ75" s="247"/>
      <c r="AR75" s="246"/>
      <c r="AS75" s="245"/>
      <c r="AT75" s="247"/>
      <c r="AU75" s="246"/>
      <c r="AV75" s="245"/>
      <c r="AW75" s="239"/>
      <c r="AX75" s="244"/>
      <c r="AY75" s="239"/>
      <c r="AZ75" s="246"/>
      <c r="BA75" s="245"/>
      <c r="BB75" s="247"/>
      <c r="BC75" s="246"/>
      <c r="BD75" s="245"/>
      <c r="BE75" s="247"/>
      <c r="BF75" s="246"/>
      <c r="BG75" s="245"/>
      <c r="BH75" s="247"/>
      <c r="BI75" s="246"/>
      <c r="BJ75" s="245"/>
      <c r="BK75" s="239"/>
      <c r="BL75" s="244"/>
      <c r="BN75" s="246"/>
      <c r="BO75" s="245"/>
      <c r="BP75" s="247"/>
      <c r="BQ75" s="246"/>
      <c r="BR75" s="245"/>
      <c r="BS75" s="247"/>
      <c r="BT75" s="246"/>
      <c r="BU75" s="245"/>
      <c r="BV75" s="247"/>
      <c r="BW75" s="246"/>
      <c r="BX75" s="245"/>
      <c r="BY75" s="239"/>
      <c r="BZ75" s="244"/>
      <c r="CB75" s="246"/>
      <c r="CC75" s="245"/>
      <c r="CD75" s="247"/>
      <c r="CE75" s="246"/>
      <c r="CF75" s="245"/>
      <c r="CG75" s="247"/>
      <c r="CH75" s="246"/>
      <c r="CI75" s="245"/>
      <c r="CJ75" s="247"/>
      <c r="CK75" s="246"/>
      <c r="CL75" s="245"/>
      <c r="CM75" s="239"/>
      <c r="CN75" s="244"/>
    </row>
    <row r="76" spans="2:92" ht="43.5" thickBot="1" x14ac:dyDescent="0.25">
      <c r="B76" s="1362"/>
      <c r="C76" s="1314"/>
      <c r="D76" s="1352"/>
      <c r="E76" s="1322"/>
      <c r="F76" s="1365"/>
      <c r="G76" s="322" t="str">
        <f>+'Plan de Accion apoyo transversa'!X65</f>
        <v>Jornada de divulgación del Plan de Emergencias realizada</v>
      </c>
      <c r="H76" s="1346"/>
      <c r="J76" s="1344"/>
      <c r="K76" s="1291"/>
      <c r="L76" s="1291"/>
      <c r="M76" s="1291"/>
      <c r="N76" s="1291"/>
      <c r="O76" s="1291"/>
      <c r="P76" s="216"/>
      <c r="Q76" s="1344"/>
      <c r="R76" s="1343"/>
      <c r="S76" s="1343"/>
      <c r="T76" s="1343"/>
      <c r="U76" s="1343"/>
      <c r="V76" s="1369"/>
      <c r="W76" s="216"/>
      <c r="X76" s="1344"/>
      <c r="Y76" s="1343"/>
      <c r="Z76" s="1343"/>
      <c r="AA76" s="1367"/>
      <c r="AB76" s="1367"/>
      <c r="AC76" s="1341"/>
      <c r="AD76" s="216"/>
      <c r="AE76" s="1344"/>
      <c r="AF76" s="1343"/>
      <c r="AG76" s="1343"/>
      <c r="AH76" s="1343"/>
      <c r="AI76" s="1369"/>
      <c r="AJ76" s="248"/>
      <c r="AK76" s="240"/>
      <c r="AL76" s="246"/>
      <c r="AM76" s="245"/>
      <c r="AN76" s="247"/>
      <c r="AO76" s="246"/>
      <c r="AP76" s="245"/>
      <c r="AQ76" s="247"/>
      <c r="AR76" s="246"/>
      <c r="AS76" s="245"/>
      <c r="AT76" s="247"/>
      <c r="AU76" s="246"/>
      <c r="AV76" s="245"/>
      <c r="AW76" s="239"/>
      <c r="AX76" s="244"/>
      <c r="AY76" s="239"/>
      <c r="AZ76" s="246"/>
      <c r="BA76" s="245"/>
      <c r="BB76" s="247"/>
      <c r="BC76" s="246"/>
      <c r="BD76" s="245"/>
      <c r="BE76" s="247"/>
      <c r="BF76" s="246"/>
      <c r="BG76" s="245"/>
      <c r="BH76" s="247"/>
      <c r="BI76" s="246"/>
      <c r="BJ76" s="245"/>
      <c r="BK76" s="239"/>
      <c r="BL76" s="244"/>
      <c r="BN76" s="246"/>
      <c r="BO76" s="245"/>
      <c r="BP76" s="247"/>
      <c r="BQ76" s="246"/>
      <c r="BR76" s="245"/>
      <c r="BS76" s="247"/>
      <c r="BT76" s="246"/>
      <c r="BU76" s="245"/>
      <c r="BV76" s="247"/>
      <c r="BW76" s="246"/>
      <c r="BX76" s="245"/>
      <c r="BY76" s="239"/>
      <c r="BZ76" s="244"/>
      <c r="CB76" s="246"/>
      <c r="CC76" s="245"/>
      <c r="CD76" s="247"/>
      <c r="CE76" s="246"/>
      <c r="CF76" s="245"/>
      <c r="CG76" s="247"/>
      <c r="CH76" s="246"/>
      <c r="CI76" s="245"/>
      <c r="CJ76" s="247"/>
      <c r="CK76" s="246"/>
      <c r="CL76" s="245"/>
      <c r="CM76" s="239"/>
      <c r="CN76" s="244"/>
    </row>
    <row r="77" spans="2:92" ht="43.5" thickBot="1" x14ac:dyDescent="0.25">
      <c r="B77" s="1362"/>
      <c r="C77" s="1314"/>
      <c r="D77" s="1352"/>
      <c r="E77" s="1322"/>
      <c r="F77" s="1365"/>
      <c r="G77" s="322" t="str">
        <f>+'Plan de Accion apoyo transversa'!X66</f>
        <v>Jornada de divulgación  del programa de inspecciones  realizada</v>
      </c>
      <c r="H77" s="1346"/>
      <c r="J77" s="1344"/>
      <c r="K77" s="1291"/>
      <c r="L77" s="1291"/>
      <c r="M77" s="1291"/>
      <c r="N77" s="1291"/>
      <c r="O77" s="1291"/>
      <c r="P77" s="216"/>
      <c r="Q77" s="1344"/>
      <c r="R77" s="1343"/>
      <c r="S77" s="1343"/>
      <c r="T77" s="1343"/>
      <c r="U77" s="1343"/>
      <c r="V77" s="1369"/>
      <c r="W77" s="216"/>
      <c r="X77" s="1344"/>
      <c r="Y77" s="1343"/>
      <c r="Z77" s="1343"/>
      <c r="AA77" s="1367"/>
      <c r="AB77" s="1367"/>
      <c r="AC77" s="1341"/>
      <c r="AD77" s="216"/>
      <c r="AE77" s="1344"/>
      <c r="AF77" s="1343"/>
      <c r="AG77" s="1343"/>
      <c r="AH77" s="1343"/>
      <c r="AI77" s="1369"/>
      <c r="AJ77" s="248"/>
      <c r="AK77" s="240"/>
      <c r="AL77" s="246"/>
      <c r="AM77" s="245"/>
      <c r="AN77" s="247"/>
      <c r="AO77" s="246"/>
      <c r="AP77" s="245"/>
      <c r="AQ77" s="247"/>
      <c r="AR77" s="246"/>
      <c r="AS77" s="245"/>
      <c r="AT77" s="247"/>
      <c r="AU77" s="246"/>
      <c r="AV77" s="245"/>
      <c r="AW77" s="239"/>
      <c r="AX77" s="244"/>
      <c r="AY77" s="239"/>
      <c r="AZ77" s="246"/>
      <c r="BA77" s="245"/>
      <c r="BB77" s="247"/>
      <c r="BC77" s="246"/>
      <c r="BD77" s="245"/>
      <c r="BE77" s="247"/>
      <c r="BF77" s="246"/>
      <c r="BG77" s="245"/>
      <c r="BH77" s="247"/>
      <c r="BI77" s="246"/>
      <c r="BJ77" s="245"/>
      <c r="BK77" s="239"/>
      <c r="BL77" s="244"/>
      <c r="BN77" s="246"/>
      <c r="BO77" s="245"/>
      <c r="BP77" s="247"/>
      <c r="BQ77" s="246"/>
      <c r="BR77" s="245"/>
      <c r="BS77" s="247"/>
      <c r="BT77" s="246"/>
      <c r="BU77" s="245"/>
      <c r="BV77" s="247"/>
      <c r="BW77" s="246"/>
      <c r="BX77" s="245"/>
      <c r="BY77" s="239"/>
      <c r="BZ77" s="244"/>
      <c r="CB77" s="246"/>
      <c r="CC77" s="245"/>
      <c r="CD77" s="247"/>
      <c r="CE77" s="246"/>
      <c r="CF77" s="245"/>
      <c r="CG77" s="247"/>
      <c r="CH77" s="246"/>
      <c r="CI77" s="245"/>
      <c r="CJ77" s="247"/>
      <c r="CK77" s="246"/>
      <c r="CL77" s="245"/>
      <c r="CM77" s="239"/>
      <c r="CN77" s="244"/>
    </row>
    <row r="78" spans="2:92" ht="43.5" thickBot="1" x14ac:dyDescent="0.25">
      <c r="B78" s="1362"/>
      <c r="C78" s="1314"/>
      <c r="D78" s="1352"/>
      <c r="E78" s="1322"/>
      <c r="F78" s="1365"/>
      <c r="G78" s="322" t="str">
        <f>+'Plan de Accion apoyo transversa'!X67</f>
        <v>Jornada de divulgación del programa de mantenimiento realizada</v>
      </c>
      <c r="H78" s="1346"/>
      <c r="J78" s="1344"/>
      <c r="K78" s="1291"/>
      <c r="L78" s="1291"/>
      <c r="M78" s="1291"/>
      <c r="N78" s="1291"/>
      <c r="O78" s="1291"/>
      <c r="P78" s="216"/>
      <c r="Q78" s="1344"/>
      <c r="R78" s="1343"/>
      <c r="S78" s="1343"/>
      <c r="T78" s="1343"/>
      <c r="U78" s="1343"/>
      <c r="V78" s="1369"/>
      <c r="W78" s="216"/>
      <c r="X78" s="1344"/>
      <c r="Y78" s="1343"/>
      <c r="Z78" s="1343"/>
      <c r="AA78" s="1367"/>
      <c r="AB78" s="1367"/>
      <c r="AC78" s="1341"/>
      <c r="AD78" s="216"/>
      <c r="AE78" s="1344"/>
      <c r="AF78" s="1343"/>
      <c r="AG78" s="1343"/>
      <c r="AH78" s="1343"/>
      <c r="AI78" s="1369"/>
      <c r="AJ78" s="248"/>
      <c r="AK78" s="240"/>
      <c r="AL78" s="246"/>
      <c r="AM78" s="245"/>
      <c r="AN78" s="247"/>
      <c r="AO78" s="246"/>
      <c r="AP78" s="245"/>
      <c r="AQ78" s="247"/>
      <c r="AR78" s="246"/>
      <c r="AS78" s="245"/>
      <c r="AT78" s="247"/>
      <c r="AU78" s="246"/>
      <c r="AV78" s="245"/>
      <c r="AW78" s="239"/>
      <c r="AX78" s="244"/>
      <c r="AY78" s="239"/>
      <c r="AZ78" s="246"/>
      <c r="BA78" s="245"/>
      <c r="BB78" s="247"/>
      <c r="BC78" s="246"/>
      <c r="BD78" s="245"/>
      <c r="BE78" s="247"/>
      <c r="BF78" s="246"/>
      <c r="BG78" s="245"/>
      <c r="BH78" s="247"/>
      <c r="BI78" s="246"/>
      <c r="BJ78" s="245"/>
      <c r="BK78" s="239"/>
      <c r="BL78" s="244"/>
      <c r="BN78" s="246"/>
      <c r="BO78" s="245"/>
      <c r="BP78" s="247"/>
      <c r="BQ78" s="246"/>
      <c r="BR78" s="245"/>
      <c r="BS78" s="247"/>
      <c r="BT78" s="246"/>
      <c r="BU78" s="245"/>
      <c r="BV78" s="247"/>
      <c r="BW78" s="246"/>
      <c r="BX78" s="245"/>
      <c r="BY78" s="239"/>
      <c r="BZ78" s="244"/>
      <c r="CB78" s="246"/>
      <c r="CC78" s="245"/>
      <c r="CD78" s="247"/>
      <c r="CE78" s="246"/>
      <c r="CF78" s="245"/>
      <c r="CG78" s="247"/>
      <c r="CH78" s="246"/>
      <c r="CI78" s="245"/>
      <c r="CJ78" s="247"/>
      <c r="CK78" s="246"/>
      <c r="CL78" s="245"/>
      <c r="CM78" s="239"/>
      <c r="CN78" s="244"/>
    </row>
    <row r="79" spans="2:92" ht="29.25" thickBot="1" x14ac:dyDescent="0.25">
      <c r="B79" s="1362"/>
      <c r="C79" s="1314"/>
      <c r="D79" s="1352"/>
      <c r="E79" s="1322"/>
      <c r="F79" s="1365"/>
      <c r="G79" s="322" t="str">
        <f>+'Plan de Accion apoyo transversa'!X68</f>
        <v>Informes de resultado de la investigación</v>
      </c>
      <c r="H79" s="1346"/>
      <c r="J79" s="1344"/>
      <c r="K79" s="1291"/>
      <c r="L79" s="1291"/>
      <c r="M79" s="1291"/>
      <c r="N79" s="1291"/>
      <c r="O79" s="1291"/>
      <c r="P79" s="216"/>
      <c r="Q79" s="1344"/>
      <c r="R79" s="1343"/>
      <c r="S79" s="1343"/>
      <c r="T79" s="1343"/>
      <c r="U79" s="1343"/>
      <c r="V79" s="1369"/>
      <c r="W79" s="216"/>
      <c r="X79" s="1344"/>
      <c r="Y79" s="1343"/>
      <c r="Z79" s="1343"/>
      <c r="AA79" s="1367"/>
      <c r="AB79" s="1367"/>
      <c r="AC79" s="1341"/>
      <c r="AD79" s="216"/>
      <c r="AE79" s="1344"/>
      <c r="AF79" s="1343"/>
      <c r="AG79" s="1343"/>
      <c r="AH79" s="1343"/>
      <c r="AI79" s="1369"/>
      <c r="AJ79" s="248"/>
      <c r="AK79" s="240"/>
      <c r="AL79" s="246"/>
      <c r="AM79" s="245"/>
      <c r="AN79" s="247"/>
      <c r="AO79" s="246"/>
      <c r="AP79" s="245"/>
      <c r="AQ79" s="247"/>
      <c r="AR79" s="246"/>
      <c r="AS79" s="245"/>
      <c r="AT79" s="247"/>
      <c r="AU79" s="246"/>
      <c r="AV79" s="245"/>
      <c r="AW79" s="239"/>
      <c r="AX79" s="244"/>
      <c r="AY79" s="239"/>
      <c r="AZ79" s="246"/>
      <c r="BA79" s="245"/>
      <c r="BB79" s="247"/>
      <c r="BC79" s="246"/>
      <c r="BD79" s="245"/>
      <c r="BE79" s="247"/>
      <c r="BF79" s="246"/>
      <c r="BG79" s="245"/>
      <c r="BH79" s="247"/>
      <c r="BI79" s="246"/>
      <c r="BJ79" s="245"/>
      <c r="BK79" s="239"/>
      <c r="BL79" s="244"/>
      <c r="BN79" s="246"/>
      <c r="BO79" s="245"/>
      <c r="BP79" s="247"/>
      <c r="BQ79" s="246"/>
      <c r="BR79" s="245"/>
      <c r="BS79" s="247"/>
      <c r="BT79" s="246"/>
      <c r="BU79" s="245"/>
      <c r="BV79" s="247"/>
      <c r="BW79" s="246"/>
      <c r="BX79" s="245"/>
      <c r="BY79" s="239"/>
      <c r="BZ79" s="244"/>
      <c r="CB79" s="246"/>
      <c r="CC79" s="245"/>
      <c r="CD79" s="247"/>
      <c r="CE79" s="246"/>
      <c r="CF79" s="245"/>
      <c r="CG79" s="247"/>
      <c r="CH79" s="246"/>
      <c r="CI79" s="245"/>
      <c r="CJ79" s="247"/>
      <c r="CK79" s="246"/>
      <c r="CL79" s="245"/>
      <c r="CM79" s="239"/>
      <c r="CN79" s="244"/>
    </row>
    <row r="80" spans="2:92" ht="86.25" thickBot="1" x14ac:dyDescent="0.25">
      <c r="B80" s="1362"/>
      <c r="C80" s="1314"/>
      <c r="D80" s="1352"/>
      <c r="E80" s="1322"/>
      <c r="F80" s="1365"/>
      <c r="G80" s="322" t="str">
        <f>+'Plan de Accion apoyo transversa'!X69</f>
        <v>Reuniones - Inspecciones - Acompañamiento y seguimiento en el desarrollo del Comité paritario de seguridad y Salud en el trabajo</v>
      </c>
      <c r="H80" s="1346"/>
      <c r="J80" s="1344"/>
      <c r="K80" s="1291"/>
      <c r="L80" s="1291"/>
      <c r="M80" s="1291"/>
      <c r="N80" s="1291"/>
      <c r="O80" s="1291"/>
      <c r="P80" s="216"/>
      <c r="Q80" s="1344"/>
      <c r="R80" s="1343"/>
      <c r="S80" s="1343"/>
      <c r="T80" s="1343"/>
      <c r="U80" s="1343"/>
      <c r="V80" s="1369"/>
      <c r="W80" s="216"/>
      <c r="X80" s="1344"/>
      <c r="Y80" s="1343"/>
      <c r="Z80" s="1343"/>
      <c r="AA80" s="1367"/>
      <c r="AB80" s="1367"/>
      <c r="AC80" s="1341"/>
      <c r="AD80" s="216"/>
      <c r="AE80" s="1344"/>
      <c r="AF80" s="1343"/>
      <c r="AG80" s="1343"/>
      <c r="AH80" s="1343"/>
      <c r="AI80" s="1369"/>
      <c r="AJ80" s="248"/>
      <c r="AK80" s="240"/>
      <c r="AL80" s="246"/>
      <c r="AM80" s="245"/>
      <c r="AN80" s="247"/>
      <c r="AO80" s="246"/>
      <c r="AP80" s="245"/>
      <c r="AQ80" s="247"/>
      <c r="AR80" s="246"/>
      <c r="AS80" s="245"/>
      <c r="AT80" s="247"/>
      <c r="AU80" s="246"/>
      <c r="AV80" s="245"/>
      <c r="AW80" s="239"/>
      <c r="AX80" s="244"/>
      <c r="AY80" s="239"/>
      <c r="AZ80" s="246"/>
      <c r="BA80" s="245"/>
      <c r="BB80" s="247"/>
      <c r="BC80" s="246"/>
      <c r="BD80" s="245"/>
      <c r="BE80" s="247"/>
      <c r="BF80" s="246"/>
      <c r="BG80" s="245"/>
      <c r="BH80" s="247"/>
      <c r="BI80" s="246"/>
      <c r="BJ80" s="245"/>
      <c r="BK80" s="239"/>
      <c r="BL80" s="244"/>
      <c r="BN80" s="246"/>
      <c r="BO80" s="245"/>
      <c r="BP80" s="247"/>
      <c r="BQ80" s="246"/>
      <c r="BR80" s="245"/>
      <c r="BS80" s="247"/>
      <c r="BT80" s="246"/>
      <c r="BU80" s="245"/>
      <c r="BV80" s="247"/>
      <c r="BW80" s="246"/>
      <c r="BX80" s="245"/>
      <c r="BY80" s="239"/>
      <c r="BZ80" s="244"/>
      <c r="CB80" s="246"/>
      <c r="CC80" s="245"/>
      <c r="CD80" s="247"/>
      <c r="CE80" s="246"/>
      <c r="CF80" s="245"/>
      <c r="CG80" s="247"/>
      <c r="CH80" s="246"/>
      <c r="CI80" s="245"/>
      <c r="CJ80" s="247"/>
      <c r="CK80" s="246"/>
      <c r="CL80" s="245"/>
      <c r="CM80" s="239"/>
      <c r="CN80" s="244"/>
    </row>
    <row r="81" spans="2:92" ht="36.75" customHeight="1" thickBot="1" x14ac:dyDescent="0.25">
      <c r="B81" s="1362"/>
      <c r="C81" s="1314"/>
      <c r="D81" s="1352"/>
      <c r="E81" s="1322"/>
      <c r="F81" s="1365"/>
      <c r="G81" s="322" t="str">
        <f>+'Plan de Accion apoyo transversa'!X70</f>
        <v>Informe de la evaluación de cumplimiento del SG-SST de proveedores y contratistas "de personería jurídica"</v>
      </c>
      <c r="H81" s="1346"/>
      <c r="J81" s="1344"/>
      <c r="K81" s="1291"/>
      <c r="L81" s="1291"/>
      <c r="M81" s="1291"/>
      <c r="N81" s="1291"/>
      <c r="O81" s="1291"/>
      <c r="P81" s="216"/>
      <c r="Q81" s="1344"/>
      <c r="R81" s="1343"/>
      <c r="S81" s="1343"/>
      <c r="T81" s="1343"/>
      <c r="U81" s="1343"/>
      <c r="V81" s="1369"/>
      <c r="W81" s="216"/>
      <c r="X81" s="1344"/>
      <c r="Y81" s="1343"/>
      <c r="Z81" s="1343"/>
      <c r="AA81" s="1367"/>
      <c r="AB81" s="1367"/>
      <c r="AC81" s="1341"/>
      <c r="AD81" s="216"/>
      <c r="AE81" s="1344"/>
      <c r="AF81" s="1343"/>
      <c r="AG81" s="1343"/>
      <c r="AH81" s="1343"/>
      <c r="AI81" s="1369"/>
      <c r="AJ81" s="248"/>
      <c r="AK81" s="240"/>
      <c r="AL81" s="246"/>
      <c r="AM81" s="245"/>
      <c r="AN81" s="247"/>
      <c r="AO81" s="246"/>
      <c r="AP81" s="245"/>
      <c r="AQ81" s="247"/>
      <c r="AR81" s="246"/>
      <c r="AS81" s="245"/>
      <c r="AT81" s="247"/>
      <c r="AU81" s="246"/>
      <c r="AV81" s="245"/>
      <c r="AW81" s="239"/>
      <c r="AX81" s="244"/>
      <c r="AY81" s="239"/>
      <c r="AZ81" s="246"/>
      <c r="BA81" s="245"/>
      <c r="BB81" s="247"/>
      <c r="BC81" s="246"/>
      <c r="BD81" s="245"/>
      <c r="BE81" s="247"/>
      <c r="BF81" s="246"/>
      <c r="BG81" s="245"/>
      <c r="BH81" s="247"/>
      <c r="BI81" s="246"/>
      <c r="BJ81" s="245"/>
      <c r="BK81" s="239"/>
      <c r="BL81" s="244"/>
      <c r="BN81" s="246"/>
      <c r="BO81" s="245"/>
      <c r="BP81" s="247"/>
      <c r="BQ81" s="246"/>
      <c r="BR81" s="245"/>
      <c r="BS81" s="247"/>
      <c r="BT81" s="246"/>
      <c r="BU81" s="245"/>
      <c r="BV81" s="247"/>
      <c r="BW81" s="246"/>
      <c r="BX81" s="245"/>
      <c r="BY81" s="239"/>
      <c r="BZ81" s="244"/>
      <c r="CB81" s="246"/>
      <c r="CC81" s="245"/>
      <c r="CD81" s="247"/>
      <c r="CE81" s="246"/>
      <c r="CF81" s="245"/>
      <c r="CG81" s="247"/>
      <c r="CH81" s="246"/>
      <c r="CI81" s="245"/>
      <c r="CJ81" s="247"/>
      <c r="CK81" s="246"/>
      <c r="CL81" s="245"/>
      <c r="CM81" s="239"/>
      <c r="CN81" s="244"/>
    </row>
    <row r="82" spans="2:92" ht="29.25" thickBot="1" x14ac:dyDescent="0.25">
      <c r="B82" s="1362"/>
      <c r="C82" s="1314"/>
      <c r="D82" s="1352"/>
      <c r="E82" s="1322"/>
      <c r="F82" s="1365"/>
      <c r="G82" s="322" t="str">
        <f>+'Plan de Accion apoyo transversa'!X71</f>
        <v>Informe de la auditoria interna del SG-SST</v>
      </c>
      <c r="H82" s="1346"/>
      <c r="J82" s="1344"/>
      <c r="K82" s="1291"/>
      <c r="L82" s="1291"/>
      <c r="M82" s="1291"/>
      <c r="N82" s="1291"/>
      <c r="O82" s="1291"/>
      <c r="P82" s="216"/>
      <c r="Q82" s="1344"/>
      <c r="R82" s="1343"/>
      <c r="S82" s="1343"/>
      <c r="T82" s="1343"/>
      <c r="U82" s="1343"/>
      <c r="V82" s="1369"/>
      <c r="W82" s="216"/>
      <c r="X82" s="1344"/>
      <c r="Y82" s="1343"/>
      <c r="Z82" s="1343"/>
      <c r="AA82" s="1367"/>
      <c r="AB82" s="1367"/>
      <c r="AC82" s="1341"/>
      <c r="AD82" s="216"/>
      <c r="AE82" s="1344"/>
      <c r="AF82" s="1343"/>
      <c r="AG82" s="1343"/>
      <c r="AH82" s="1343"/>
      <c r="AI82" s="1369"/>
      <c r="AJ82" s="248"/>
      <c r="AK82" s="240"/>
      <c r="AL82" s="246"/>
      <c r="AM82" s="245"/>
      <c r="AN82" s="247"/>
      <c r="AO82" s="246"/>
      <c r="AP82" s="245"/>
      <c r="AQ82" s="247"/>
      <c r="AR82" s="246"/>
      <c r="AS82" s="245"/>
      <c r="AT82" s="247"/>
      <c r="AU82" s="246"/>
      <c r="AV82" s="245"/>
      <c r="AW82" s="239"/>
      <c r="AX82" s="244"/>
      <c r="AY82" s="239"/>
      <c r="AZ82" s="246"/>
      <c r="BA82" s="245"/>
      <c r="BB82" s="247"/>
      <c r="BC82" s="246"/>
      <c r="BD82" s="245"/>
      <c r="BE82" s="247"/>
      <c r="BF82" s="246"/>
      <c r="BG82" s="245"/>
      <c r="BH82" s="247"/>
      <c r="BI82" s="246"/>
      <c r="BJ82" s="245"/>
      <c r="BK82" s="239"/>
      <c r="BL82" s="244"/>
      <c r="BN82" s="246"/>
      <c r="BO82" s="245"/>
      <c r="BP82" s="247"/>
      <c r="BQ82" s="246"/>
      <c r="BR82" s="245"/>
      <c r="BS82" s="247"/>
      <c r="BT82" s="246"/>
      <c r="BU82" s="245"/>
      <c r="BV82" s="247"/>
      <c r="BW82" s="246"/>
      <c r="BX82" s="245"/>
      <c r="BY82" s="239"/>
      <c r="BZ82" s="244"/>
      <c r="CB82" s="246"/>
      <c r="CC82" s="245"/>
      <c r="CD82" s="247"/>
      <c r="CE82" s="246"/>
      <c r="CF82" s="245"/>
      <c r="CG82" s="247"/>
      <c r="CH82" s="246"/>
      <c r="CI82" s="245"/>
      <c r="CJ82" s="247"/>
      <c r="CK82" s="246"/>
      <c r="CL82" s="245"/>
      <c r="CM82" s="239"/>
      <c r="CN82" s="244"/>
    </row>
    <row r="83" spans="2:92" ht="57.75" thickBot="1" x14ac:dyDescent="0.25">
      <c r="B83" s="1362"/>
      <c r="C83" s="1314"/>
      <c r="D83" s="1352"/>
      <c r="E83" s="1322"/>
      <c r="F83" s="1365"/>
      <c r="G83" s="322" t="str">
        <f>+'Plan de Accion apoyo transversa'!X72</f>
        <v>Plan de acción de los hallazgos generados por auditoria interna o entes de control.</v>
      </c>
      <c r="H83" s="1346"/>
      <c r="J83" s="1303"/>
      <c r="K83" s="1292"/>
      <c r="L83" s="1292"/>
      <c r="M83" s="1292"/>
      <c r="N83" s="1292"/>
      <c r="O83" s="1292"/>
      <c r="P83" s="216"/>
      <c r="Q83" s="1303"/>
      <c r="R83" s="1337"/>
      <c r="S83" s="1337"/>
      <c r="T83" s="1337"/>
      <c r="U83" s="1337"/>
      <c r="V83" s="1339"/>
      <c r="W83" s="216"/>
      <c r="X83" s="1303"/>
      <c r="Y83" s="1337"/>
      <c r="Z83" s="1337"/>
      <c r="AA83" s="1368"/>
      <c r="AB83" s="1368"/>
      <c r="AC83" s="1342"/>
      <c r="AD83" s="216"/>
      <c r="AE83" s="1303"/>
      <c r="AF83" s="1337"/>
      <c r="AG83" s="1337"/>
      <c r="AH83" s="1337"/>
      <c r="AI83" s="1339"/>
      <c r="AJ83" s="248"/>
      <c r="AK83" s="240"/>
      <c r="AL83" s="246"/>
      <c r="AM83" s="245"/>
      <c r="AN83" s="247"/>
      <c r="AO83" s="246"/>
      <c r="AP83" s="245"/>
      <c r="AQ83" s="247"/>
      <c r="AR83" s="246"/>
      <c r="AS83" s="245"/>
      <c r="AT83" s="247"/>
      <c r="AU83" s="246"/>
      <c r="AV83" s="245"/>
      <c r="AW83" s="239"/>
      <c r="AX83" s="244"/>
      <c r="AY83" s="239"/>
      <c r="AZ83" s="246"/>
      <c r="BA83" s="245"/>
      <c r="BB83" s="247"/>
      <c r="BC83" s="246"/>
      <c r="BD83" s="245"/>
      <c r="BE83" s="247"/>
      <c r="BF83" s="246"/>
      <c r="BG83" s="245"/>
      <c r="BH83" s="247"/>
      <c r="BI83" s="246"/>
      <c r="BJ83" s="245"/>
      <c r="BK83" s="239"/>
      <c r="BL83" s="244"/>
      <c r="BN83" s="246"/>
      <c r="BO83" s="245"/>
      <c r="BP83" s="247"/>
      <c r="BQ83" s="246"/>
      <c r="BR83" s="245"/>
      <c r="BS83" s="247"/>
      <c r="BT83" s="246"/>
      <c r="BU83" s="245"/>
      <c r="BV83" s="247"/>
      <c r="BW83" s="246"/>
      <c r="BX83" s="245"/>
      <c r="BY83" s="239"/>
      <c r="BZ83" s="244"/>
      <c r="CB83" s="246"/>
      <c r="CC83" s="245"/>
      <c r="CD83" s="247"/>
      <c r="CE83" s="246"/>
      <c r="CF83" s="245"/>
      <c r="CG83" s="247"/>
      <c r="CH83" s="246"/>
      <c r="CI83" s="245"/>
      <c r="CJ83" s="247"/>
      <c r="CK83" s="246"/>
      <c r="CL83" s="245"/>
      <c r="CM83" s="239"/>
      <c r="CN83" s="244"/>
    </row>
    <row r="84" spans="2:92" ht="20.25" thickBot="1" x14ac:dyDescent="0.25">
      <c r="B84" s="1362"/>
      <c r="C84" s="1314"/>
      <c r="D84" s="1352"/>
      <c r="E84" s="1322"/>
      <c r="F84" s="1365"/>
      <c r="G84" s="322" t="str">
        <f>+'Plan de Accion apoyo transversa'!X73</f>
        <v>Profesiograma elaborado</v>
      </c>
      <c r="H84" s="1346"/>
      <c r="J84" s="217" t="e">
        <f>+'Plan de Accion apoyo transversa'!AW73</f>
        <v>#DIV/0!</v>
      </c>
      <c r="K84" s="483" t="str">
        <f>+'Plan de Accion apoyo transversa'!CF73</f>
        <v>No Prog ni Ejec</v>
      </c>
      <c r="L84" s="483" t="s">
        <v>204</v>
      </c>
      <c r="M84" s="483">
        <f>+'Plan de Accion apoyo transversa'!AY73</f>
        <v>0</v>
      </c>
      <c r="N84" s="483">
        <f>IF(M84&gt;100%,100%,M84)</f>
        <v>0</v>
      </c>
      <c r="O84" s="483" t="s">
        <v>204</v>
      </c>
      <c r="P84" s="216"/>
      <c r="Q84" s="217" t="s">
        <v>204</v>
      </c>
      <c r="R84" s="253" t="str">
        <f>+'Plan de Accion apoyo transversa'!CH73</f>
        <v>No Prog ni Ejec</v>
      </c>
      <c r="S84" s="215" t="s">
        <v>204</v>
      </c>
      <c r="T84" s="311" t="s">
        <v>204</v>
      </c>
      <c r="U84" s="311" t="s">
        <v>204</v>
      </c>
      <c r="V84" s="214" t="s">
        <v>204</v>
      </c>
      <c r="W84" s="216"/>
      <c r="X84" s="217" t="s">
        <v>204</v>
      </c>
      <c r="Y84" s="253" t="str">
        <f>+'Plan de Accion apoyo transversa'!CJ73</f>
        <v>No Prog ni Ejec</v>
      </c>
      <c r="Z84" s="215" t="s">
        <v>204</v>
      </c>
      <c r="AA84" s="220" t="s">
        <v>204</v>
      </c>
      <c r="AB84" s="220" t="s">
        <v>204</v>
      </c>
      <c r="AC84" s="309" t="s">
        <v>204</v>
      </c>
      <c r="AD84" s="216"/>
      <c r="AE84" s="217" t="s">
        <v>204</v>
      </c>
      <c r="AF84" s="253" t="s">
        <v>180</v>
      </c>
      <c r="AG84" s="215" t="s">
        <v>204</v>
      </c>
      <c r="AH84" s="253" t="s">
        <v>204</v>
      </c>
      <c r="AI84" s="214" t="s">
        <v>204</v>
      </c>
      <c r="AJ84" s="248"/>
      <c r="AK84" s="240"/>
      <c r="AL84" s="246"/>
      <c r="AM84" s="245"/>
      <c r="AN84" s="247"/>
      <c r="AO84" s="246"/>
      <c r="AP84" s="245"/>
      <c r="AQ84" s="247"/>
      <c r="AR84" s="246"/>
      <c r="AS84" s="245"/>
      <c r="AT84" s="247"/>
      <c r="AU84" s="246"/>
      <c r="AV84" s="245"/>
      <c r="AW84" s="239"/>
      <c r="AX84" s="244"/>
      <c r="AY84" s="239"/>
      <c r="AZ84" s="246"/>
      <c r="BA84" s="245"/>
      <c r="BB84" s="247"/>
      <c r="BC84" s="246"/>
      <c r="BD84" s="245"/>
      <c r="BE84" s="247"/>
      <c r="BF84" s="246"/>
      <c r="BG84" s="245"/>
      <c r="BH84" s="247"/>
      <c r="BI84" s="246"/>
      <c r="BJ84" s="245"/>
      <c r="BK84" s="239"/>
      <c r="BL84" s="244"/>
      <c r="BN84" s="246"/>
      <c r="BO84" s="245"/>
      <c r="BP84" s="247"/>
      <c r="BQ84" s="246"/>
      <c r="BR84" s="245"/>
      <c r="BS84" s="247"/>
      <c r="BT84" s="246"/>
      <c r="BU84" s="245"/>
      <c r="BV84" s="247"/>
      <c r="BW84" s="246"/>
      <c r="BX84" s="245"/>
      <c r="BY84" s="239"/>
      <c r="BZ84" s="244"/>
      <c r="CB84" s="246"/>
      <c r="CC84" s="245"/>
      <c r="CD84" s="247"/>
      <c r="CE84" s="246"/>
      <c r="CF84" s="245"/>
      <c r="CG84" s="247"/>
      <c r="CH84" s="246"/>
      <c r="CI84" s="245"/>
      <c r="CJ84" s="247"/>
      <c r="CK84" s="246"/>
      <c r="CL84" s="245"/>
      <c r="CM84" s="239"/>
      <c r="CN84" s="244"/>
    </row>
    <row r="85" spans="2:92" ht="72" thickBot="1" x14ac:dyDescent="0.25">
      <c r="B85" s="1362"/>
      <c r="C85" s="1314"/>
      <c r="D85" s="1352"/>
      <c r="E85" s="1322"/>
      <c r="F85" s="1365"/>
      <c r="G85" s="322" t="str">
        <f>+'Plan de Accion apoyo transversa'!X74</f>
        <v>Documento de estudios ambientales elaborado
Documento de estudios ergonómicos en salud ocupacional elaborado</v>
      </c>
      <c r="H85" s="1346"/>
      <c r="J85" s="217" t="e">
        <f>+'Plan de Accion apoyo transversa'!AW74</f>
        <v>#DIV/0!</v>
      </c>
      <c r="K85" s="483" t="str">
        <f>+'Plan de Accion apoyo transversa'!CF74</f>
        <v>No Prog ni Ejec</v>
      </c>
      <c r="L85" s="483" t="s">
        <v>204</v>
      </c>
      <c r="M85" s="483">
        <f>+'Plan de Accion apoyo transversa'!AY74</f>
        <v>0</v>
      </c>
      <c r="N85" s="483">
        <f t="shared" ref="N85:N143" si="49">IF(M85&gt;100%,100%,M85)</f>
        <v>0</v>
      </c>
      <c r="O85" s="483" t="s">
        <v>204</v>
      </c>
      <c r="P85" s="216"/>
      <c r="Q85" s="217" t="e">
        <f>+'Plan de Accion apoyo transversa'!BG74</f>
        <v>#DIV/0!</v>
      </c>
      <c r="R85" s="253" t="str">
        <f>+'Plan de Accion apoyo transversa'!CH74</f>
        <v>No Prog ni Ejec</v>
      </c>
      <c r="S85" s="215" t="s">
        <v>204</v>
      </c>
      <c r="T85" s="311">
        <f>+'Plan de Accion apoyo transversa'!BI74</f>
        <v>0</v>
      </c>
      <c r="U85" s="311">
        <f t="shared" ref="U85:U122" si="50">IF(T85&gt;100%,100%,T85)</f>
        <v>0</v>
      </c>
      <c r="V85" s="214" t="s">
        <v>204</v>
      </c>
      <c r="W85" s="216"/>
      <c r="X85" s="217">
        <f>+'Plan de Accion apoyo transversa'!BQ74</f>
        <v>0</v>
      </c>
      <c r="Y85" s="253">
        <f>+'Plan de Accion apoyo transversa'!CJ74</f>
        <v>0</v>
      </c>
      <c r="Z85" s="215">
        <f>IF(Y85&gt;100%,100%,Y85)</f>
        <v>0</v>
      </c>
      <c r="AA85" s="220">
        <f>+'Plan de Accion apoyo transversa'!BS74</f>
        <v>0</v>
      </c>
      <c r="AB85" s="220">
        <f t="shared" ref="AB85:AB122" si="51">IF(AA85&gt;100%,100%,AA85)</f>
        <v>0</v>
      </c>
      <c r="AC85" s="309">
        <f>+AB85</f>
        <v>0</v>
      </c>
      <c r="AD85" s="216"/>
      <c r="AE85" s="217" t="e">
        <f>+'Plan de Accion apoyo transversa'!CA74</f>
        <v>#DIV/0!</v>
      </c>
      <c r="AF85" s="253" t="str">
        <f>+'Plan de Accion apoyo transversa'!CL74</f>
        <v>No Prog ni Ejec</v>
      </c>
      <c r="AG85" s="215" t="s">
        <v>204</v>
      </c>
      <c r="AH85" s="253">
        <f>+'Plan de Accion apoyo transversa'!CC74</f>
        <v>0</v>
      </c>
      <c r="AI85" s="214">
        <f t="shared" ref="AI85:AI122" si="52">IF(AH85&gt;100%,100%,AH85)</f>
        <v>0</v>
      </c>
      <c r="AJ85" s="248"/>
      <c r="AK85" s="240"/>
      <c r="AL85" s="246"/>
      <c r="AM85" s="245"/>
      <c r="AN85" s="247"/>
      <c r="AO85" s="246"/>
      <c r="AP85" s="245"/>
      <c r="AQ85" s="247"/>
      <c r="AR85" s="246"/>
      <c r="AS85" s="245"/>
      <c r="AT85" s="247"/>
      <c r="AU85" s="246"/>
      <c r="AV85" s="245"/>
      <c r="AW85" s="239"/>
      <c r="AX85" s="244"/>
      <c r="AY85" s="239"/>
      <c r="AZ85" s="246"/>
      <c r="BA85" s="245"/>
      <c r="BB85" s="247"/>
      <c r="BC85" s="246"/>
      <c r="BD85" s="245"/>
      <c r="BE85" s="247"/>
      <c r="BF85" s="246"/>
      <c r="BG85" s="245"/>
      <c r="BH85" s="247"/>
      <c r="BI85" s="246"/>
      <c r="BJ85" s="245"/>
      <c r="BK85" s="239"/>
      <c r="BL85" s="244"/>
      <c r="BN85" s="246"/>
      <c r="BO85" s="245"/>
      <c r="BP85" s="247"/>
      <c r="BQ85" s="246"/>
      <c r="BR85" s="245"/>
      <c r="BS85" s="247"/>
      <c r="BT85" s="246"/>
      <c r="BU85" s="245"/>
      <c r="BV85" s="247"/>
      <c r="BW85" s="246"/>
      <c r="BX85" s="245"/>
      <c r="BY85" s="239"/>
      <c r="BZ85" s="244"/>
      <c r="CB85" s="246"/>
      <c r="CC85" s="245"/>
      <c r="CD85" s="247"/>
      <c r="CE85" s="246"/>
      <c r="CF85" s="245"/>
      <c r="CG85" s="247"/>
      <c r="CH85" s="246"/>
      <c r="CI85" s="245"/>
      <c r="CJ85" s="247"/>
      <c r="CK85" s="246"/>
      <c r="CL85" s="245"/>
      <c r="CM85" s="239"/>
      <c r="CN85" s="244"/>
    </row>
    <row r="86" spans="2:92" ht="29.25" customHeight="1" thickBot="1" x14ac:dyDescent="0.25">
      <c r="B86" s="1362"/>
      <c r="C86" s="1314"/>
      <c r="D86" s="1352"/>
      <c r="E86" s="1322"/>
      <c r="F86" s="1365"/>
      <c r="G86" s="322" t="str">
        <f>+'Plan de Accion apoyo transversa'!X75</f>
        <v>Elementos ergonómicos adquiridos</v>
      </c>
      <c r="H86" s="1346"/>
      <c r="J86" s="217" t="e">
        <f>+'Plan de Accion apoyo transversa'!AW75</f>
        <v>#DIV/0!</v>
      </c>
      <c r="K86" s="483" t="str">
        <f>+'Plan de Accion apoyo transversa'!CF75</f>
        <v>No Prog ni Ejec</v>
      </c>
      <c r="L86" s="483" t="s">
        <v>204</v>
      </c>
      <c r="M86" s="483">
        <f>+'Plan de Accion apoyo transversa'!AY75</f>
        <v>0</v>
      </c>
      <c r="N86" s="483">
        <f t="shared" si="49"/>
        <v>0</v>
      </c>
      <c r="O86" s="483" t="s">
        <v>204</v>
      </c>
      <c r="P86" s="216"/>
      <c r="Q86" s="217" t="e">
        <f>+'Plan de Accion apoyo transversa'!BG75</f>
        <v>#DIV/0!</v>
      </c>
      <c r="R86" s="253" t="str">
        <f>+'Plan de Accion apoyo transversa'!CH75</f>
        <v>No Prog ni Ejec</v>
      </c>
      <c r="S86" s="215" t="s">
        <v>204</v>
      </c>
      <c r="T86" s="311">
        <f>+'Plan de Accion apoyo transversa'!BI75</f>
        <v>0</v>
      </c>
      <c r="U86" s="311">
        <f t="shared" si="50"/>
        <v>0</v>
      </c>
      <c r="V86" s="214" t="s">
        <v>204</v>
      </c>
      <c r="W86" s="216"/>
      <c r="X86" s="217" t="e">
        <f>+'Plan de Accion apoyo transversa'!BQ75</f>
        <v>#DIV/0!</v>
      </c>
      <c r="Y86" s="253" t="str">
        <f>+'Plan de Accion apoyo transversa'!CJ75</f>
        <v>No Prog ni Ejec</v>
      </c>
      <c r="Z86" s="215" t="s">
        <v>204</v>
      </c>
      <c r="AA86" s="220">
        <f>+'Plan de Accion apoyo transversa'!BS75</f>
        <v>0</v>
      </c>
      <c r="AB86" s="220">
        <f t="shared" si="51"/>
        <v>0</v>
      </c>
      <c r="AC86" s="309" t="s">
        <v>204</v>
      </c>
      <c r="AD86" s="216"/>
      <c r="AE86" s="217">
        <f>+'Plan de Accion apoyo transversa'!CA75</f>
        <v>0</v>
      </c>
      <c r="AF86" s="253">
        <f>+'Plan de Accion apoyo transversa'!CL75</f>
        <v>0</v>
      </c>
      <c r="AG86" s="215">
        <f>IF(AF86&gt;100%,100%,AF86)</f>
        <v>0</v>
      </c>
      <c r="AH86" s="253">
        <f>+'Plan de Accion apoyo transversa'!CC75</f>
        <v>0</v>
      </c>
      <c r="AI86" s="214">
        <f t="shared" si="52"/>
        <v>0</v>
      </c>
      <c r="AJ86" s="248"/>
      <c r="AK86" s="240"/>
      <c r="AL86" s="246"/>
      <c r="AM86" s="245"/>
      <c r="AN86" s="247"/>
      <c r="AO86" s="246"/>
      <c r="AP86" s="245"/>
      <c r="AQ86" s="247"/>
      <c r="AR86" s="246"/>
      <c r="AS86" s="245"/>
      <c r="AT86" s="247"/>
      <c r="AU86" s="246"/>
      <c r="AV86" s="245"/>
      <c r="AW86" s="239"/>
      <c r="AX86" s="244"/>
      <c r="AY86" s="239"/>
      <c r="AZ86" s="246"/>
      <c r="BA86" s="245"/>
      <c r="BB86" s="247"/>
      <c r="BC86" s="246"/>
      <c r="BD86" s="245"/>
      <c r="BE86" s="247"/>
      <c r="BF86" s="246"/>
      <c r="BG86" s="245"/>
      <c r="BH86" s="247"/>
      <c r="BI86" s="246"/>
      <c r="BJ86" s="245"/>
      <c r="BK86" s="239"/>
      <c r="BL86" s="244"/>
      <c r="BN86" s="246"/>
      <c r="BO86" s="245"/>
      <c r="BP86" s="247"/>
      <c r="BQ86" s="246"/>
      <c r="BR86" s="245"/>
      <c r="BS86" s="247"/>
      <c r="BT86" s="246"/>
      <c r="BU86" s="245"/>
      <c r="BV86" s="247"/>
      <c r="BW86" s="246"/>
      <c r="BX86" s="245"/>
      <c r="BY86" s="239"/>
      <c r="BZ86" s="244"/>
      <c r="CB86" s="246"/>
      <c r="CC86" s="245"/>
      <c r="CD86" s="247"/>
      <c r="CE86" s="246"/>
      <c r="CF86" s="245"/>
      <c r="CG86" s="247"/>
      <c r="CH86" s="246"/>
      <c r="CI86" s="245"/>
      <c r="CJ86" s="247"/>
      <c r="CK86" s="246"/>
      <c r="CL86" s="245"/>
      <c r="CM86" s="239"/>
      <c r="CN86" s="244"/>
    </row>
    <row r="87" spans="2:92" ht="29.25" thickBot="1" x14ac:dyDescent="0.25">
      <c r="B87" s="1362"/>
      <c r="C87" s="1314"/>
      <c r="D87" s="1352"/>
      <c r="E87" s="1322"/>
      <c r="F87" s="1365" t="s">
        <v>502</v>
      </c>
      <c r="G87" s="322" t="str">
        <f>+'Plan de Accion apoyo transversa'!X76</f>
        <v>Capacitación de Sistema de Seguridad Social realizada</v>
      </c>
      <c r="H87" s="1346"/>
      <c r="J87" s="217" t="e">
        <f>+'Plan de Accion apoyo transversa'!AW76</f>
        <v>#DIV/0!</v>
      </c>
      <c r="K87" s="483" t="str">
        <f>+'Plan de Accion apoyo transversa'!CF76</f>
        <v>No Prog ni Ejec</v>
      </c>
      <c r="L87" s="483" t="s">
        <v>204</v>
      </c>
      <c r="M87" s="483" t="s">
        <v>204</v>
      </c>
      <c r="N87" s="483" t="s">
        <v>204</v>
      </c>
      <c r="O87" s="483" t="s">
        <v>204</v>
      </c>
      <c r="P87" s="216"/>
      <c r="Q87" s="217" t="s">
        <v>204</v>
      </c>
      <c r="R87" s="253" t="str">
        <f>+'Plan de Accion apoyo transversa'!CH76</f>
        <v>No Prog ni Ejec</v>
      </c>
      <c r="S87" s="215" t="s">
        <v>204</v>
      </c>
      <c r="T87" s="311" t="s">
        <v>204</v>
      </c>
      <c r="U87" s="311" t="s">
        <v>204</v>
      </c>
      <c r="V87" s="214" t="str">
        <f t="shared" ref="V87:V91" si="53">+U87</f>
        <v>N.A</v>
      </c>
      <c r="W87" s="216"/>
      <c r="X87" s="217" t="s">
        <v>204</v>
      </c>
      <c r="Y87" s="253" t="str">
        <f>+'Plan de Accion apoyo transversa'!CJ76</f>
        <v>No Prog ni Ejec</v>
      </c>
      <c r="Z87" s="215" t="s">
        <v>204</v>
      </c>
      <c r="AA87" s="220" t="s">
        <v>204</v>
      </c>
      <c r="AB87" s="220" t="s">
        <v>204</v>
      </c>
      <c r="AC87" s="309" t="str">
        <f>+AB87</f>
        <v>N.A</v>
      </c>
      <c r="AD87" s="216"/>
      <c r="AE87" s="217" t="s">
        <v>204</v>
      </c>
      <c r="AF87" s="253" t="str">
        <f>+'Plan de Accion apoyo transversa'!CL76</f>
        <v>No Prog ni Ejec</v>
      </c>
      <c r="AG87" s="215" t="s">
        <v>204</v>
      </c>
      <c r="AH87" s="253" t="s">
        <v>204</v>
      </c>
      <c r="AI87" s="214" t="s">
        <v>204</v>
      </c>
      <c r="AJ87" s="248"/>
      <c r="AK87" s="240"/>
      <c r="AL87" s="246"/>
      <c r="AM87" s="245"/>
      <c r="AN87" s="247"/>
      <c r="AO87" s="246"/>
      <c r="AP87" s="245"/>
      <c r="AQ87" s="247"/>
      <c r="AR87" s="246"/>
      <c r="AS87" s="245"/>
      <c r="AT87" s="247"/>
      <c r="AU87" s="246"/>
      <c r="AV87" s="245"/>
      <c r="AW87" s="239"/>
      <c r="AX87" s="244"/>
      <c r="AY87" s="239"/>
      <c r="AZ87" s="246"/>
      <c r="BA87" s="245"/>
      <c r="BB87" s="247"/>
      <c r="BC87" s="246"/>
      <c r="BD87" s="245"/>
      <c r="BE87" s="247"/>
      <c r="BF87" s="246"/>
      <c r="BG87" s="245"/>
      <c r="BH87" s="247"/>
      <c r="BI87" s="246"/>
      <c r="BJ87" s="245"/>
      <c r="BK87" s="239"/>
      <c r="BL87" s="244"/>
      <c r="BN87" s="246"/>
      <c r="BO87" s="245"/>
      <c r="BP87" s="247"/>
      <c r="BQ87" s="246"/>
      <c r="BR87" s="245"/>
      <c r="BS87" s="247"/>
      <c r="BT87" s="246"/>
      <c r="BU87" s="245"/>
      <c r="BV87" s="247"/>
      <c r="BW87" s="246"/>
      <c r="BX87" s="245"/>
      <c r="BY87" s="239"/>
      <c r="BZ87" s="244"/>
      <c r="CB87" s="246"/>
      <c r="CC87" s="245"/>
      <c r="CD87" s="247"/>
      <c r="CE87" s="246"/>
      <c r="CF87" s="245"/>
      <c r="CG87" s="247"/>
      <c r="CH87" s="246"/>
      <c r="CI87" s="245"/>
      <c r="CJ87" s="247"/>
      <c r="CK87" s="246"/>
      <c r="CL87" s="245"/>
      <c r="CM87" s="239"/>
      <c r="CN87" s="244"/>
    </row>
    <row r="88" spans="2:92" ht="57.75" thickBot="1" x14ac:dyDescent="0.25">
      <c r="B88" s="1362"/>
      <c r="C88" s="1314"/>
      <c r="D88" s="1352"/>
      <c r="E88" s="1322"/>
      <c r="F88" s="1365"/>
      <c r="G88" s="322" t="str">
        <f>+'Plan de Accion apoyo transversa'!X77</f>
        <v>Capacitación de Administración de personal sector publico y legislación laboral realizada</v>
      </c>
      <c r="H88" s="1346"/>
      <c r="J88" s="217" t="e">
        <f>+'Plan de Accion apoyo transversa'!AW77</f>
        <v>#DIV/0!</v>
      </c>
      <c r="K88" s="483" t="str">
        <f>+'Plan de Accion apoyo transversa'!CF77</f>
        <v>No Prog ni Ejec</v>
      </c>
      <c r="L88" s="483" t="s">
        <v>204</v>
      </c>
      <c r="M88" s="483" t="s">
        <v>204</v>
      </c>
      <c r="N88" s="483" t="s">
        <v>204</v>
      </c>
      <c r="O88" s="483" t="s">
        <v>204</v>
      </c>
      <c r="P88" s="216"/>
      <c r="Q88" s="217" t="s">
        <v>204</v>
      </c>
      <c r="R88" s="253" t="str">
        <f>+'Plan de Accion apoyo transversa'!CH77</f>
        <v>No Prog ni Ejec</v>
      </c>
      <c r="S88" s="215" t="s">
        <v>204</v>
      </c>
      <c r="T88" s="552" t="s">
        <v>204</v>
      </c>
      <c r="U88" s="552" t="s">
        <v>204</v>
      </c>
      <c r="V88" s="214" t="str">
        <f t="shared" si="53"/>
        <v>N.A</v>
      </c>
      <c r="W88" s="216"/>
      <c r="X88" s="217" t="s">
        <v>204</v>
      </c>
      <c r="Y88" s="253" t="str">
        <f>+'Plan de Accion apoyo transversa'!CJ77</f>
        <v>No Prog ni Ejec</v>
      </c>
      <c r="Z88" s="215" t="s">
        <v>204</v>
      </c>
      <c r="AA88" s="220" t="s">
        <v>204</v>
      </c>
      <c r="AB88" s="220" t="s">
        <v>204</v>
      </c>
      <c r="AC88" s="556" t="str">
        <f>+AB88</f>
        <v>N.A</v>
      </c>
      <c r="AD88" s="216"/>
      <c r="AE88" s="217" t="s">
        <v>204</v>
      </c>
      <c r="AF88" s="253" t="str">
        <f>+'Plan de Accion apoyo transversa'!CL77</f>
        <v>No Prog ni Ejec</v>
      </c>
      <c r="AG88" s="215" t="s">
        <v>204</v>
      </c>
      <c r="AH88" s="253" t="s">
        <v>204</v>
      </c>
      <c r="AI88" s="214" t="s">
        <v>204</v>
      </c>
      <c r="AJ88" s="248"/>
      <c r="AK88" s="240"/>
      <c r="AL88" s="246"/>
      <c r="AM88" s="245"/>
      <c r="AN88" s="247"/>
      <c r="AO88" s="246"/>
      <c r="AP88" s="245"/>
      <c r="AQ88" s="247"/>
      <c r="AR88" s="246"/>
      <c r="AS88" s="245"/>
      <c r="AT88" s="247"/>
      <c r="AU88" s="246"/>
      <c r="AV88" s="245"/>
      <c r="AW88" s="239"/>
      <c r="AX88" s="244"/>
      <c r="AY88" s="239"/>
      <c r="AZ88" s="246"/>
      <c r="BA88" s="245"/>
      <c r="BB88" s="247"/>
      <c r="BC88" s="246"/>
      <c r="BD88" s="245"/>
      <c r="BE88" s="247"/>
      <c r="BF88" s="246"/>
      <c r="BG88" s="245"/>
      <c r="BH88" s="247"/>
      <c r="BI88" s="246"/>
      <c r="BJ88" s="245"/>
      <c r="BK88" s="239"/>
      <c r="BL88" s="244"/>
      <c r="BN88" s="246"/>
      <c r="BO88" s="245"/>
      <c r="BP88" s="247"/>
      <c r="BQ88" s="246"/>
      <c r="BR88" s="245"/>
      <c r="BS88" s="247"/>
      <c r="BT88" s="246"/>
      <c r="BU88" s="245"/>
      <c r="BV88" s="247"/>
      <c r="BW88" s="246"/>
      <c r="BX88" s="245"/>
      <c r="BY88" s="239"/>
      <c r="BZ88" s="244"/>
      <c r="CB88" s="246"/>
      <c r="CC88" s="245"/>
      <c r="CD88" s="247"/>
      <c r="CE88" s="246"/>
      <c r="CF88" s="245"/>
      <c r="CG88" s="247"/>
      <c r="CH88" s="246"/>
      <c r="CI88" s="245"/>
      <c r="CJ88" s="247"/>
      <c r="CK88" s="246"/>
      <c r="CL88" s="245"/>
      <c r="CM88" s="239"/>
      <c r="CN88" s="244"/>
    </row>
    <row r="89" spans="2:92" ht="43.5" thickBot="1" x14ac:dyDescent="0.25">
      <c r="B89" s="1362"/>
      <c r="C89" s="1314"/>
      <c r="D89" s="1352"/>
      <c r="E89" s="1322"/>
      <c r="F89" s="1365"/>
      <c r="G89" s="824" t="str">
        <f>+'Plan de Accion apoyo transversa'!X78</f>
        <v>Capacitación de Contratación estatal realizada</v>
      </c>
      <c r="H89" s="1346"/>
      <c r="J89" s="217" t="e">
        <f>+'Plan de Accion apoyo transversa'!AW78</f>
        <v>#DIV/0!</v>
      </c>
      <c r="K89" s="822" t="str">
        <f>+'Plan de Accion apoyo transversa'!CF78</f>
        <v>No Prog ni Ejec</v>
      </c>
      <c r="L89" s="822" t="s">
        <v>204</v>
      </c>
      <c r="M89" s="822" t="s">
        <v>204</v>
      </c>
      <c r="N89" s="822" t="s">
        <v>204</v>
      </c>
      <c r="O89" s="822" t="s">
        <v>204</v>
      </c>
      <c r="P89" s="216"/>
      <c r="Q89" s="217" t="s">
        <v>204</v>
      </c>
      <c r="R89" s="253" t="str">
        <f>+'Plan de Accion apoyo transversa'!CH78</f>
        <v>No Prog ni Ejec</v>
      </c>
      <c r="S89" s="215" t="s">
        <v>204</v>
      </c>
      <c r="T89" s="822" t="s">
        <v>204</v>
      </c>
      <c r="U89" s="822" t="s">
        <v>204</v>
      </c>
      <c r="V89" s="214" t="str">
        <f t="shared" ref="V89:V90" si="54">+U89</f>
        <v>N.A</v>
      </c>
      <c r="W89" s="216"/>
      <c r="X89" s="217" t="s">
        <v>204</v>
      </c>
      <c r="Y89" s="253" t="str">
        <f>+'Plan de Accion apoyo transversa'!CJ78</f>
        <v>No Prog ni Ejec</v>
      </c>
      <c r="Z89" s="215" t="s">
        <v>204</v>
      </c>
      <c r="AA89" s="220" t="s">
        <v>204</v>
      </c>
      <c r="AB89" s="220" t="s">
        <v>204</v>
      </c>
      <c r="AC89" s="823" t="str">
        <f t="shared" ref="AC89:AC90" si="55">+AB89</f>
        <v>N.A</v>
      </c>
      <c r="AD89" s="216"/>
      <c r="AE89" s="217" t="s">
        <v>204</v>
      </c>
      <c r="AF89" s="253" t="str">
        <f>+'Plan de Accion apoyo transversa'!CL78</f>
        <v>No Prog ni Ejec</v>
      </c>
      <c r="AG89" s="215" t="s">
        <v>204</v>
      </c>
      <c r="AH89" s="253" t="s">
        <v>204</v>
      </c>
      <c r="AI89" s="214" t="s">
        <v>204</v>
      </c>
      <c r="AJ89" s="248"/>
      <c r="AK89" s="240"/>
      <c r="AL89" s="246"/>
      <c r="AM89" s="245"/>
      <c r="AN89" s="247"/>
      <c r="AO89" s="246"/>
      <c r="AP89" s="245"/>
      <c r="AQ89" s="247"/>
      <c r="AR89" s="246"/>
      <c r="AS89" s="245"/>
      <c r="AT89" s="247"/>
      <c r="AU89" s="246"/>
      <c r="AV89" s="245"/>
      <c r="AW89" s="239"/>
      <c r="AX89" s="244"/>
      <c r="AY89" s="239"/>
      <c r="AZ89" s="246"/>
      <c r="BA89" s="245"/>
      <c r="BB89" s="247"/>
      <c r="BC89" s="246"/>
      <c r="BD89" s="245"/>
      <c r="BE89" s="247"/>
      <c r="BF89" s="246"/>
      <c r="BG89" s="245"/>
      <c r="BH89" s="247"/>
      <c r="BI89" s="246"/>
      <c r="BJ89" s="245"/>
      <c r="BK89" s="239"/>
      <c r="BL89" s="244"/>
      <c r="BN89" s="246"/>
      <c r="BO89" s="245"/>
      <c r="BP89" s="247"/>
      <c r="BQ89" s="246"/>
      <c r="BR89" s="245"/>
      <c r="BS89" s="247"/>
      <c r="BT89" s="246"/>
      <c r="BU89" s="245"/>
      <c r="BV89" s="247"/>
      <c r="BW89" s="246"/>
      <c r="BX89" s="245"/>
      <c r="BY89" s="239"/>
      <c r="BZ89" s="244"/>
      <c r="CB89" s="246"/>
      <c r="CC89" s="245"/>
      <c r="CD89" s="247"/>
      <c r="CE89" s="246"/>
      <c r="CF89" s="245"/>
      <c r="CG89" s="247"/>
      <c r="CH89" s="246"/>
      <c r="CI89" s="245"/>
      <c r="CJ89" s="247"/>
      <c r="CK89" s="246"/>
      <c r="CL89" s="245"/>
      <c r="CM89" s="239"/>
      <c r="CN89" s="244"/>
    </row>
    <row r="90" spans="2:92" ht="29.25" thickBot="1" x14ac:dyDescent="0.25">
      <c r="B90" s="1362"/>
      <c r="C90" s="1314"/>
      <c r="D90" s="1352"/>
      <c r="E90" s="1322"/>
      <c r="F90" s="1365"/>
      <c r="G90" s="824" t="str">
        <f>+'Plan de Accion apoyo transversa'!X79</f>
        <v>Capacitación de Salud publica realizada</v>
      </c>
      <c r="H90" s="1346"/>
      <c r="J90" s="217" t="e">
        <f>+'Plan de Accion apoyo transversa'!AW79</f>
        <v>#DIV/0!</v>
      </c>
      <c r="K90" s="822" t="str">
        <f>+'Plan de Accion apoyo transversa'!CF79</f>
        <v>No Prog ni Ejec</v>
      </c>
      <c r="L90" s="822" t="s">
        <v>204</v>
      </c>
      <c r="M90" s="822" t="s">
        <v>204</v>
      </c>
      <c r="N90" s="822" t="s">
        <v>204</v>
      </c>
      <c r="O90" s="822" t="s">
        <v>204</v>
      </c>
      <c r="P90" s="216"/>
      <c r="Q90" s="217" t="s">
        <v>204</v>
      </c>
      <c r="R90" s="253" t="str">
        <f>+'Plan de Accion apoyo transversa'!CH79</f>
        <v>No Prog ni Ejec</v>
      </c>
      <c r="S90" s="215" t="s">
        <v>204</v>
      </c>
      <c r="T90" s="822" t="s">
        <v>204</v>
      </c>
      <c r="U90" s="822" t="s">
        <v>204</v>
      </c>
      <c r="V90" s="214" t="str">
        <f t="shared" si="54"/>
        <v>N.A</v>
      </c>
      <c r="W90" s="216"/>
      <c r="X90" s="217" t="s">
        <v>204</v>
      </c>
      <c r="Y90" s="253" t="str">
        <f>+'Plan de Accion apoyo transversa'!CJ79</f>
        <v>No Prog ni Ejec</v>
      </c>
      <c r="Z90" s="215" t="s">
        <v>204</v>
      </c>
      <c r="AA90" s="220" t="s">
        <v>204</v>
      </c>
      <c r="AB90" s="220" t="s">
        <v>204</v>
      </c>
      <c r="AC90" s="823" t="str">
        <f t="shared" si="55"/>
        <v>N.A</v>
      </c>
      <c r="AD90" s="216"/>
      <c r="AE90" s="217" t="s">
        <v>204</v>
      </c>
      <c r="AF90" s="253" t="str">
        <f>+'Plan de Accion apoyo transversa'!CL79</f>
        <v>No Prog ni Ejec</v>
      </c>
      <c r="AG90" s="215" t="s">
        <v>204</v>
      </c>
      <c r="AH90" s="253" t="s">
        <v>204</v>
      </c>
      <c r="AI90" s="214" t="s">
        <v>204</v>
      </c>
      <c r="AJ90" s="248"/>
      <c r="AK90" s="240"/>
      <c r="AL90" s="246"/>
      <c r="AM90" s="245"/>
      <c r="AN90" s="247"/>
      <c r="AO90" s="246"/>
      <c r="AP90" s="245"/>
      <c r="AQ90" s="247"/>
      <c r="AR90" s="246"/>
      <c r="AS90" s="245"/>
      <c r="AT90" s="247"/>
      <c r="AU90" s="246"/>
      <c r="AV90" s="245"/>
      <c r="AW90" s="239"/>
      <c r="AX90" s="244"/>
      <c r="AY90" s="239"/>
      <c r="AZ90" s="246"/>
      <c r="BA90" s="245"/>
      <c r="BB90" s="247"/>
      <c r="BC90" s="246"/>
      <c r="BD90" s="245"/>
      <c r="BE90" s="247"/>
      <c r="BF90" s="246"/>
      <c r="BG90" s="245"/>
      <c r="BH90" s="247"/>
      <c r="BI90" s="246"/>
      <c r="BJ90" s="245"/>
      <c r="BK90" s="239"/>
      <c r="BL90" s="244"/>
      <c r="BN90" s="246"/>
      <c r="BO90" s="245"/>
      <c r="BP90" s="247"/>
      <c r="BQ90" s="246"/>
      <c r="BR90" s="245"/>
      <c r="BS90" s="247"/>
      <c r="BT90" s="246"/>
      <c r="BU90" s="245"/>
      <c r="BV90" s="247"/>
      <c r="BW90" s="246"/>
      <c r="BX90" s="245"/>
      <c r="BY90" s="239"/>
      <c r="BZ90" s="244"/>
      <c r="CB90" s="246"/>
      <c r="CC90" s="245"/>
      <c r="CD90" s="247"/>
      <c r="CE90" s="246"/>
      <c r="CF90" s="245"/>
      <c r="CG90" s="247"/>
      <c r="CH90" s="246"/>
      <c r="CI90" s="245"/>
      <c r="CJ90" s="247"/>
      <c r="CK90" s="246"/>
      <c r="CL90" s="245"/>
      <c r="CM90" s="239"/>
      <c r="CN90" s="244"/>
    </row>
    <row r="91" spans="2:92" ht="29.25" thickBot="1" x14ac:dyDescent="0.25">
      <c r="B91" s="1362"/>
      <c r="C91" s="1314"/>
      <c r="D91" s="1352"/>
      <c r="E91" s="1322"/>
      <c r="F91" s="1365"/>
      <c r="G91" s="322" t="str">
        <f>+'Plan de Accion apoyo transversa'!X80</f>
        <v>Capacitación de Big Data realizada</v>
      </c>
      <c r="H91" s="1346"/>
      <c r="J91" s="1287" t="e">
        <f>+'Plan de Accion apoyo transversa'!AW80</f>
        <v>#DIV/0!</v>
      </c>
      <c r="K91" s="1290" t="str">
        <f>+'Plan de Accion apoyo transversa'!CF80</f>
        <v>No Prog ni Ejec</v>
      </c>
      <c r="L91" s="1290" t="s">
        <v>204</v>
      </c>
      <c r="M91" s="1290">
        <f>+'Plan de Accion apoyo transversa'!AY80</f>
        <v>0</v>
      </c>
      <c r="N91" s="1290">
        <f t="shared" si="49"/>
        <v>0</v>
      </c>
      <c r="O91" s="1290" t="s">
        <v>204</v>
      </c>
      <c r="P91" s="216"/>
      <c r="Q91" s="1287">
        <f>+'Plan de Accion apoyo transversa'!BG80</f>
        <v>1.1573154290429122</v>
      </c>
      <c r="R91" s="1290">
        <f>+'Plan de Accion apoyo transversa'!CH80</f>
        <v>1.1573154290429122</v>
      </c>
      <c r="S91" s="1290">
        <f>IF(R91&gt;100%,100%,R91)</f>
        <v>1</v>
      </c>
      <c r="T91" s="1290">
        <f>+'Plan de Accion apoyo transversa'!BI80</f>
        <v>0.19288590484048537</v>
      </c>
      <c r="U91" s="1290">
        <f t="shared" si="50"/>
        <v>0.19288590484048537</v>
      </c>
      <c r="V91" s="1293">
        <f t="shared" si="53"/>
        <v>0.19288590484048537</v>
      </c>
      <c r="W91" s="216">
        <v>1</v>
      </c>
      <c r="X91" s="1287">
        <f>+'Plan de Accion apoyo transversa'!BQ80</f>
        <v>0.9039409559936028</v>
      </c>
      <c r="Y91" s="1290">
        <f>+'Plan de Accion apoyo transversa'!CJ80</f>
        <v>0.9039409559936028</v>
      </c>
      <c r="Z91" s="1290">
        <f>IF(Y91&gt;100%,100%,Y91)</f>
        <v>0.9039409559936028</v>
      </c>
      <c r="AA91" s="1296">
        <f>+'Plan de Accion apoyo transversa'!BS80</f>
        <v>0.64485638283728675</v>
      </c>
      <c r="AB91" s="1296">
        <f t="shared" si="51"/>
        <v>0.64485638283728675</v>
      </c>
      <c r="AC91" s="1299">
        <f t="shared" ref="AC91" si="56">+AB91</f>
        <v>0.64485638283728675</v>
      </c>
      <c r="AD91" s="216"/>
      <c r="AE91" s="1287">
        <f>+'Plan de Accion apoyo transversa'!CA80</f>
        <v>0</v>
      </c>
      <c r="AF91" s="1290">
        <f>+'Plan de Accion apoyo transversa'!CL80</f>
        <v>0</v>
      </c>
      <c r="AG91" s="1290">
        <f>IF(AF91&gt;100%,100%,AF91)</f>
        <v>0</v>
      </c>
      <c r="AH91" s="1290">
        <f>+'Plan de Accion apoyo transversa'!CC80</f>
        <v>0.64485638283728675</v>
      </c>
      <c r="AI91" s="1293">
        <f t="shared" si="52"/>
        <v>0.64485638283728675</v>
      </c>
      <c r="AJ91" s="248"/>
      <c r="AK91" s="240"/>
      <c r="AL91" s="246"/>
      <c r="AM91" s="245"/>
      <c r="AN91" s="247"/>
      <c r="AO91" s="246"/>
      <c r="AP91" s="245"/>
      <c r="AQ91" s="247"/>
      <c r="AR91" s="246"/>
      <c r="AS91" s="245"/>
      <c r="AT91" s="247"/>
      <c r="AU91" s="246"/>
      <c r="AV91" s="245"/>
      <c r="AW91" s="239"/>
      <c r="AX91" s="244"/>
      <c r="AY91" s="239"/>
      <c r="AZ91" s="246"/>
      <c r="BA91" s="245"/>
      <c r="BB91" s="247"/>
      <c r="BC91" s="246"/>
      <c r="BD91" s="245"/>
      <c r="BE91" s="247"/>
      <c r="BF91" s="246"/>
      <c r="BG91" s="245"/>
      <c r="BH91" s="247"/>
      <c r="BI91" s="246"/>
      <c r="BJ91" s="245"/>
      <c r="BK91" s="239"/>
      <c r="BL91" s="244"/>
      <c r="BN91" s="246"/>
      <c r="BO91" s="245"/>
      <c r="BP91" s="247"/>
      <c r="BQ91" s="246"/>
      <c r="BR91" s="245"/>
      <c r="BS91" s="247"/>
      <c r="BT91" s="246"/>
      <c r="BU91" s="245"/>
      <c r="BV91" s="247"/>
      <c r="BW91" s="246"/>
      <c r="BX91" s="245"/>
      <c r="BY91" s="239"/>
      <c r="BZ91" s="244"/>
      <c r="CB91" s="246"/>
      <c r="CC91" s="245"/>
      <c r="CD91" s="247"/>
      <c r="CE91" s="246"/>
      <c r="CF91" s="245"/>
      <c r="CG91" s="247"/>
      <c r="CH91" s="246"/>
      <c r="CI91" s="245"/>
      <c r="CJ91" s="247"/>
      <c r="CK91" s="246"/>
      <c r="CL91" s="245"/>
      <c r="CM91" s="239"/>
      <c r="CN91" s="244"/>
    </row>
    <row r="92" spans="2:92" ht="72" thickBot="1" x14ac:dyDescent="0.25">
      <c r="B92" s="1362"/>
      <c r="C92" s="1314"/>
      <c r="D92" s="1352"/>
      <c r="E92" s="1322"/>
      <c r="F92" s="1365"/>
      <c r="G92" s="322" t="str">
        <f>+'Plan de Accion apoyo transversa'!X81</f>
        <v>Capacitación de Finanzas, contabilidad básicas, Presupuesto Público, Gestión Presupuestal EICE realizada</v>
      </c>
      <c r="H92" s="1346"/>
      <c r="J92" s="1288"/>
      <c r="K92" s="1291"/>
      <c r="L92" s="1291"/>
      <c r="M92" s="1291"/>
      <c r="N92" s="1291"/>
      <c r="O92" s="1291"/>
      <c r="P92" s="216"/>
      <c r="Q92" s="1288"/>
      <c r="R92" s="1291"/>
      <c r="S92" s="1291"/>
      <c r="T92" s="1291"/>
      <c r="U92" s="1291"/>
      <c r="V92" s="1294"/>
      <c r="W92" s="216"/>
      <c r="X92" s="1288"/>
      <c r="Y92" s="1291"/>
      <c r="Z92" s="1291"/>
      <c r="AA92" s="1297"/>
      <c r="AB92" s="1297"/>
      <c r="AC92" s="1300"/>
      <c r="AD92" s="216"/>
      <c r="AE92" s="1288"/>
      <c r="AF92" s="1291"/>
      <c r="AG92" s="1291"/>
      <c r="AH92" s="1291"/>
      <c r="AI92" s="1294"/>
      <c r="AJ92" s="248"/>
      <c r="AK92" s="240"/>
      <c r="AL92" s="246"/>
      <c r="AM92" s="245"/>
      <c r="AN92" s="247"/>
      <c r="AO92" s="246"/>
      <c r="AP92" s="245"/>
      <c r="AQ92" s="247"/>
      <c r="AR92" s="246"/>
      <c r="AS92" s="245"/>
      <c r="AT92" s="247"/>
      <c r="AU92" s="246"/>
      <c r="AV92" s="245"/>
      <c r="AW92" s="239"/>
      <c r="AX92" s="244"/>
      <c r="AY92" s="239"/>
      <c r="AZ92" s="246"/>
      <c r="BA92" s="245"/>
      <c r="BB92" s="247"/>
      <c r="BC92" s="246"/>
      <c r="BD92" s="245"/>
      <c r="BE92" s="247"/>
      <c r="BF92" s="246"/>
      <c r="BG92" s="245"/>
      <c r="BH92" s="247"/>
      <c r="BI92" s="246"/>
      <c r="BJ92" s="245"/>
      <c r="BK92" s="239"/>
      <c r="BL92" s="244"/>
      <c r="BN92" s="246"/>
      <c r="BO92" s="245"/>
      <c r="BP92" s="247"/>
      <c r="BQ92" s="246"/>
      <c r="BR92" s="245"/>
      <c r="BS92" s="247"/>
      <c r="BT92" s="246"/>
      <c r="BU92" s="245"/>
      <c r="BV92" s="247"/>
      <c r="BW92" s="246"/>
      <c r="BX92" s="245"/>
      <c r="BY92" s="239"/>
      <c r="BZ92" s="244"/>
      <c r="CB92" s="246"/>
      <c r="CC92" s="245"/>
      <c r="CD92" s="247"/>
      <c r="CE92" s="246"/>
      <c r="CF92" s="245"/>
      <c r="CG92" s="247"/>
      <c r="CH92" s="246"/>
      <c r="CI92" s="245"/>
      <c r="CJ92" s="247"/>
      <c r="CK92" s="246"/>
      <c r="CL92" s="245"/>
      <c r="CM92" s="239"/>
      <c r="CN92" s="244"/>
    </row>
    <row r="93" spans="2:92" ht="29.25" thickBot="1" x14ac:dyDescent="0.25">
      <c r="B93" s="1362"/>
      <c r="C93" s="1314"/>
      <c r="D93" s="1352"/>
      <c r="E93" s="1322"/>
      <c r="F93" s="1365"/>
      <c r="G93" s="322" t="str">
        <f>+'Plan de Accion apoyo transversa'!X82</f>
        <v>Capacitación de Estadística realizada</v>
      </c>
      <c r="H93" s="1346"/>
      <c r="J93" s="1288"/>
      <c r="K93" s="1291"/>
      <c r="L93" s="1291"/>
      <c r="M93" s="1291"/>
      <c r="N93" s="1291"/>
      <c r="O93" s="1291"/>
      <c r="P93" s="216"/>
      <c r="Q93" s="1288"/>
      <c r="R93" s="1291"/>
      <c r="S93" s="1291"/>
      <c r="T93" s="1291"/>
      <c r="U93" s="1291"/>
      <c r="V93" s="1294"/>
      <c r="W93" s="216"/>
      <c r="X93" s="1288"/>
      <c r="Y93" s="1291"/>
      <c r="Z93" s="1291"/>
      <c r="AA93" s="1297"/>
      <c r="AB93" s="1297"/>
      <c r="AC93" s="1300"/>
      <c r="AD93" s="216"/>
      <c r="AE93" s="1288"/>
      <c r="AF93" s="1291"/>
      <c r="AG93" s="1291"/>
      <c r="AH93" s="1291"/>
      <c r="AI93" s="1294"/>
      <c r="AJ93" s="248"/>
      <c r="AK93" s="240"/>
      <c r="AL93" s="246"/>
      <c r="AM93" s="245"/>
      <c r="AN93" s="247"/>
      <c r="AO93" s="246"/>
      <c r="AP93" s="245"/>
      <c r="AQ93" s="247"/>
      <c r="AR93" s="246"/>
      <c r="AS93" s="245"/>
      <c r="AT93" s="247"/>
      <c r="AU93" s="246"/>
      <c r="AV93" s="245"/>
      <c r="AW93" s="239"/>
      <c r="AX93" s="244"/>
      <c r="AY93" s="239"/>
      <c r="AZ93" s="246"/>
      <c r="BA93" s="245"/>
      <c r="BB93" s="247"/>
      <c r="BC93" s="246"/>
      <c r="BD93" s="245"/>
      <c r="BE93" s="247"/>
      <c r="BF93" s="246"/>
      <c r="BG93" s="245"/>
      <c r="BH93" s="247"/>
      <c r="BI93" s="246"/>
      <c r="BJ93" s="245"/>
      <c r="BK93" s="239"/>
      <c r="BL93" s="244"/>
      <c r="BN93" s="246"/>
      <c r="BO93" s="245"/>
      <c r="BP93" s="247"/>
      <c r="BQ93" s="246"/>
      <c r="BR93" s="245"/>
      <c r="BS93" s="247"/>
      <c r="BT93" s="246"/>
      <c r="BU93" s="245"/>
      <c r="BV93" s="247"/>
      <c r="BW93" s="246"/>
      <c r="BX93" s="245"/>
      <c r="BY93" s="239"/>
      <c r="BZ93" s="244"/>
      <c r="CB93" s="246"/>
      <c r="CC93" s="245"/>
      <c r="CD93" s="247"/>
      <c r="CE93" s="246"/>
      <c r="CF93" s="245"/>
      <c r="CG93" s="247"/>
      <c r="CH93" s="246"/>
      <c r="CI93" s="245"/>
      <c r="CJ93" s="247"/>
      <c r="CK93" s="246"/>
      <c r="CL93" s="245"/>
      <c r="CM93" s="239"/>
      <c r="CN93" s="244"/>
    </row>
    <row r="94" spans="2:92" ht="43.5" thickBot="1" x14ac:dyDescent="0.25">
      <c r="B94" s="1362"/>
      <c r="C94" s="1314"/>
      <c r="D94" s="1352"/>
      <c r="E94" s="1322"/>
      <c r="F94" s="1365"/>
      <c r="G94" s="322" t="str">
        <f>+'Plan de Accion apoyo transversa'!X83</f>
        <v>Capacitación de Trabajo en equipo, comunicación asertiva realizada.</v>
      </c>
      <c r="H94" s="1346"/>
      <c r="J94" s="1288"/>
      <c r="K94" s="1291"/>
      <c r="L94" s="1291"/>
      <c r="M94" s="1291"/>
      <c r="N94" s="1291"/>
      <c r="O94" s="1291"/>
      <c r="P94" s="216"/>
      <c r="Q94" s="1288"/>
      <c r="R94" s="1291"/>
      <c r="S94" s="1291"/>
      <c r="T94" s="1291"/>
      <c r="U94" s="1291"/>
      <c r="V94" s="1294"/>
      <c r="W94" s="216"/>
      <c r="X94" s="1288"/>
      <c r="Y94" s="1291"/>
      <c r="Z94" s="1291"/>
      <c r="AA94" s="1297"/>
      <c r="AB94" s="1297"/>
      <c r="AC94" s="1300"/>
      <c r="AD94" s="216"/>
      <c r="AE94" s="1288"/>
      <c r="AF94" s="1291"/>
      <c r="AG94" s="1291"/>
      <c r="AH94" s="1291"/>
      <c r="AI94" s="1294"/>
      <c r="AJ94" s="248"/>
      <c r="AK94" s="240"/>
      <c r="AL94" s="246"/>
      <c r="AM94" s="245"/>
      <c r="AN94" s="247"/>
      <c r="AO94" s="246"/>
      <c r="AP94" s="245"/>
      <c r="AQ94" s="247"/>
      <c r="AR94" s="246"/>
      <c r="AS94" s="245"/>
      <c r="AT94" s="247"/>
      <c r="AU94" s="246"/>
      <c r="AV94" s="245"/>
      <c r="AW94" s="239"/>
      <c r="AX94" s="244"/>
      <c r="AY94" s="239"/>
      <c r="AZ94" s="246"/>
      <c r="BA94" s="245"/>
      <c r="BB94" s="247"/>
      <c r="BC94" s="246"/>
      <c r="BD94" s="245"/>
      <c r="BE94" s="247"/>
      <c r="BF94" s="246"/>
      <c r="BG94" s="245"/>
      <c r="BH94" s="247"/>
      <c r="BI94" s="246"/>
      <c r="BJ94" s="245"/>
      <c r="BK94" s="239"/>
      <c r="BL94" s="244"/>
      <c r="BN94" s="246"/>
      <c r="BO94" s="245"/>
      <c r="BP94" s="247"/>
      <c r="BQ94" s="246"/>
      <c r="BR94" s="245"/>
      <c r="BS94" s="247"/>
      <c r="BT94" s="246"/>
      <c r="BU94" s="245"/>
      <c r="BV94" s="247"/>
      <c r="BW94" s="246"/>
      <c r="BX94" s="245"/>
      <c r="BY94" s="239"/>
      <c r="BZ94" s="244"/>
      <c r="CB94" s="246"/>
      <c r="CC94" s="245"/>
      <c r="CD94" s="247"/>
      <c r="CE94" s="246"/>
      <c r="CF94" s="245"/>
      <c r="CG94" s="247"/>
      <c r="CH94" s="246"/>
      <c r="CI94" s="245"/>
      <c r="CJ94" s="247"/>
      <c r="CK94" s="246"/>
      <c r="CL94" s="245"/>
      <c r="CM94" s="239"/>
      <c r="CN94" s="244"/>
    </row>
    <row r="95" spans="2:92" ht="29.25" thickBot="1" x14ac:dyDescent="0.25">
      <c r="B95" s="1362"/>
      <c r="C95" s="1314"/>
      <c r="D95" s="1352"/>
      <c r="E95" s="1322"/>
      <c r="F95" s="1365"/>
      <c r="G95" s="322" t="str">
        <f>+'Plan de Accion apoyo transversa'!X84</f>
        <v>Capacitación de Redacción realizada</v>
      </c>
      <c r="H95" s="1346"/>
      <c r="J95" s="1288"/>
      <c r="K95" s="1291"/>
      <c r="L95" s="1291"/>
      <c r="M95" s="1291"/>
      <c r="N95" s="1291"/>
      <c r="O95" s="1291"/>
      <c r="P95" s="216"/>
      <c r="Q95" s="1288"/>
      <c r="R95" s="1291"/>
      <c r="S95" s="1291"/>
      <c r="T95" s="1291"/>
      <c r="U95" s="1291"/>
      <c r="V95" s="1294"/>
      <c r="W95" s="216"/>
      <c r="X95" s="1288"/>
      <c r="Y95" s="1291"/>
      <c r="Z95" s="1291"/>
      <c r="AA95" s="1297"/>
      <c r="AB95" s="1297"/>
      <c r="AC95" s="1300"/>
      <c r="AD95" s="216"/>
      <c r="AE95" s="1288"/>
      <c r="AF95" s="1291"/>
      <c r="AG95" s="1291"/>
      <c r="AH95" s="1291"/>
      <c r="AI95" s="1294"/>
      <c r="AJ95" s="248"/>
      <c r="AK95" s="240"/>
      <c r="AL95" s="246"/>
      <c r="AM95" s="245"/>
      <c r="AN95" s="247"/>
      <c r="AO95" s="246"/>
      <c r="AP95" s="245"/>
      <c r="AQ95" s="247"/>
      <c r="AR95" s="246"/>
      <c r="AS95" s="245"/>
      <c r="AT95" s="247"/>
      <c r="AU95" s="246"/>
      <c r="AV95" s="245"/>
      <c r="AW95" s="239"/>
      <c r="AX95" s="244"/>
      <c r="AY95" s="239"/>
      <c r="AZ95" s="246"/>
      <c r="BA95" s="245"/>
      <c r="BB95" s="247"/>
      <c r="BC95" s="246"/>
      <c r="BD95" s="245"/>
      <c r="BE95" s="247"/>
      <c r="BF95" s="246"/>
      <c r="BG95" s="245"/>
      <c r="BH95" s="247"/>
      <c r="BI95" s="246"/>
      <c r="BJ95" s="245"/>
      <c r="BK95" s="239"/>
      <c r="BL95" s="244"/>
      <c r="BN95" s="246"/>
      <c r="BO95" s="245"/>
      <c r="BP95" s="247"/>
      <c r="BQ95" s="246"/>
      <c r="BR95" s="245"/>
      <c r="BS95" s="247"/>
      <c r="BT95" s="246"/>
      <c r="BU95" s="245"/>
      <c r="BV95" s="247"/>
      <c r="BW95" s="246"/>
      <c r="BX95" s="245"/>
      <c r="BY95" s="239"/>
      <c r="BZ95" s="244"/>
      <c r="CB95" s="246"/>
      <c r="CC95" s="245"/>
      <c r="CD95" s="247"/>
      <c r="CE95" s="246"/>
      <c r="CF95" s="245"/>
      <c r="CG95" s="247"/>
      <c r="CH95" s="246"/>
      <c r="CI95" s="245"/>
      <c r="CJ95" s="247"/>
      <c r="CK95" s="246"/>
      <c r="CL95" s="245"/>
      <c r="CM95" s="239"/>
      <c r="CN95" s="244"/>
    </row>
    <row r="96" spans="2:92" ht="29.25" thickBot="1" x14ac:dyDescent="0.25">
      <c r="B96" s="1362"/>
      <c r="C96" s="1314"/>
      <c r="D96" s="1352"/>
      <c r="E96" s="1322"/>
      <c r="F96" s="1365"/>
      <c r="G96" s="322" t="str">
        <f>+'Plan de Accion apoyo transversa'!X85</f>
        <v>Capacitación de Código de Integridad realizada</v>
      </c>
      <c r="H96" s="1346"/>
      <c r="J96" s="1289"/>
      <c r="K96" s="1292"/>
      <c r="L96" s="1292"/>
      <c r="M96" s="1292"/>
      <c r="N96" s="1292"/>
      <c r="O96" s="1292"/>
      <c r="P96" s="216"/>
      <c r="Q96" s="1289"/>
      <c r="R96" s="1292"/>
      <c r="S96" s="1292"/>
      <c r="T96" s="1292"/>
      <c r="U96" s="1292"/>
      <c r="V96" s="1295"/>
      <c r="W96" s="216"/>
      <c r="X96" s="1289"/>
      <c r="Y96" s="1292"/>
      <c r="Z96" s="1292"/>
      <c r="AA96" s="1298"/>
      <c r="AB96" s="1298"/>
      <c r="AC96" s="1301"/>
      <c r="AD96" s="216"/>
      <c r="AE96" s="1289"/>
      <c r="AF96" s="1292"/>
      <c r="AG96" s="1292"/>
      <c r="AH96" s="1292"/>
      <c r="AI96" s="1295"/>
      <c r="AJ96" s="248"/>
      <c r="AK96" s="240"/>
      <c r="AL96" s="246"/>
      <c r="AM96" s="245"/>
      <c r="AN96" s="247"/>
      <c r="AO96" s="246"/>
      <c r="AP96" s="245"/>
      <c r="AQ96" s="247"/>
      <c r="AR96" s="246"/>
      <c r="AS96" s="245"/>
      <c r="AT96" s="247"/>
      <c r="AU96" s="246"/>
      <c r="AV96" s="245"/>
      <c r="AW96" s="239"/>
      <c r="AX96" s="244"/>
      <c r="AY96" s="239"/>
      <c r="AZ96" s="246"/>
      <c r="BA96" s="245"/>
      <c r="BB96" s="247"/>
      <c r="BC96" s="246"/>
      <c r="BD96" s="245"/>
      <c r="BE96" s="247"/>
      <c r="BF96" s="246"/>
      <c r="BG96" s="245"/>
      <c r="BH96" s="247"/>
      <c r="BI96" s="246"/>
      <c r="BJ96" s="245"/>
      <c r="BK96" s="239"/>
      <c r="BL96" s="244"/>
      <c r="BN96" s="246"/>
      <c r="BO96" s="245"/>
      <c r="BP96" s="247"/>
      <c r="BQ96" s="246"/>
      <c r="BR96" s="245"/>
      <c r="BS96" s="247"/>
      <c r="BT96" s="246"/>
      <c r="BU96" s="245"/>
      <c r="BV96" s="247"/>
      <c r="BW96" s="246"/>
      <c r="BX96" s="245"/>
      <c r="BY96" s="239"/>
      <c r="BZ96" s="244"/>
      <c r="CB96" s="246"/>
      <c r="CC96" s="245"/>
      <c r="CD96" s="247"/>
      <c r="CE96" s="246"/>
      <c r="CF96" s="245"/>
      <c r="CG96" s="247"/>
      <c r="CH96" s="246"/>
      <c r="CI96" s="245"/>
      <c r="CJ96" s="247"/>
      <c r="CK96" s="246"/>
      <c r="CL96" s="245"/>
      <c r="CM96" s="239"/>
      <c r="CN96" s="244"/>
    </row>
    <row r="97" spans="2:92" ht="21" customHeight="1" thickBot="1" x14ac:dyDescent="0.25">
      <c r="B97" s="1362"/>
      <c r="C97" s="1314"/>
      <c r="D97" s="1352"/>
      <c r="E97" s="1322"/>
      <c r="F97" s="1365" t="s">
        <v>1181</v>
      </c>
      <c r="G97" s="322" t="str">
        <f>+'Plan de Accion apoyo transversa'!X94</f>
        <v>Olimpiada deportiva de Microfútbol</v>
      </c>
      <c r="H97" s="1346"/>
      <c r="J97" s="1287" t="e">
        <f>+'Plan de Accion apoyo transversa'!AW94</f>
        <v>#DIV/0!</v>
      </c>
      <c r="K97" s="1290" t="str">
        <f>+'Plan de Accion apoyo transversa'!CF94</f>
        <v>No Prog ni Ejec</v>
      </c>
      <c r="L97" s="1290" t="s">
        <v>204</v>
      </c>
      <c r="M97" s="1290">
        <f>+'Plan de Accion apoyo transversa'!AY94</f>
        <v>0</v>
      </c>
      <c r="N97" s="1290">
        <f t="shared" si="49"/>
        <v>0</v>
      </c>
      <c r="O97" s="1290" t="s">
        <v>204</v>
      </c>
      <c r="P97" s="216"/>
      <c r="Q97" s="1287">
        <f>+'Plan de Accion apoyo transversa'!BG94</f>
        <v>0.49600855071979694</v>
      </c>
      <c r="R97" s="1290">
        <f>+'Plan de Accion apoyo transversa'!CH94</f>
        <v>0.49600855071979694</v>
      </c>
      <c r="S97" s="1290">
        <f>IF(R97&gt;100%,100%,R97)</f>
        <v>0.49600855071979694</v>
      </c>
      <c r="T97" s="1290">
        <f>+'Plan de Accion apoyo transversa'!BI94</f>
        <v>5.5112061191088545E-2</v>
      </c>
      <c r="U97" s="1290">
        <f t="shared" si="50"/>
        <v>5.5112061191088545E-2</v>
      </c>
      <c r="V97" s="1293">
        <f t="shared" ref="V97:V122" si="57">+U97</f>
        <v>5.5112061191088545E-2</v>
      </c>
      <c r="W97" s="216"/>
      <c r="X97" s="1287">
        <f>+'Plan de Accion apoyo transversa'!BQ94</f>
        <v>0</v>
      </c>
      <c r="Y97" s="1290">
        <f>+'Plan de Accion apoyo transversa'!CJ94</f>
        <v>0</v>
      </c>
      <c r="Z97" s="1290">
        <f>IF(Y97&gt;100%,100%,Y97)</f>
        <v>0</v>
      </c>
      <c r="AA97" s="1296">
        <f>+'Plan de Accion apoyo transversa'!BS94</f>
        <v>5.5112061191088545E-2</v>
      </c>
      <c r="AB97" s="1296">
        <f t="shared" si="51"/>
        <v>5.5112061191088545E-2</v>
      </c>
      <c r="AC97" s="1299">
        <f>+AB97</f>
        <v>5.5112061191088545E-2</v>
      </c>
      <c r="AD97" s="216"/>
      <c r="AE97" s="1287">
        <f>+'Plan de Accion apoyo transversa'!CA94</f>
        <v>0</v>
      </c>
      <c r="AF97" s="1290">
        <f>+'Plan de Accion apoyo transversa'!CL94</f>
        <v>0</v>
      </c>
      <c r="AG97" s="1290">
        <f>IF(AF97&gt;100%,100%,AF97)</f>
        <v>0</v>
      </c>
      <c r="AH97" s="1290">
        <f>+'Plan de Accion apoyo transversa'!CC94</f>
        <v>5.5112061191088545E-2</v>
      </c>
      <c r="AI97" s="1293">
        <f t="shared" si="52"/>
        <v>5.5112061191088545E-2</v>
      </c>
      <c r="AJ97" s="248"/>
      <c r="AK97" s="240"/>
      <c r="AL97" s="246"/>
      <c r="AM97" s="245"/>
      <c r="AN97" s="247"/>
      <c r="AO97" s="246"/>
      <c r="AP97" s="245"/>
      <c r="AQ97" s="247"/>
      <c r="AR97" s="246"/>
      <c r="AS97" s="245"/>
      <c r="AT97" s="247"/>
      <c r="AU97" s="246"/>
      <c r="AV97" s="245"/>
      <c r="AW97" s="239"/>
      <c r="AX97" s="244"/>
      <c r="AY97" s="239"/>
      <c r="AZ97" s="246"/>
      <c r="BA97" s="245"/>
      <c r="BB97" s="247"/>
      <c r="BC97" s="246"/>
      <c r="BD97" s="245"/>
      <c r="BE97" s="247"/>
      <c r="BF97" s="246"/>
      <c r="BG97" s="245"/>
      <c r="BH97" s="247"/>
      <c r="BI97" s="246"/>
      <c r="BJ97" s="245"/>
      <c r="BK97" s="239"/>
      <c r="BL97" s="244"/>
      <c r="BN97" s="246"/>
      <c r="BO97" s="245"/>
      <c r="BP97" s="247"/>
      <c r="BQ97" s="246"/>
      <c r="BR97" s="245"/>
      <c r="BS97" s="247"/>
      <c r="BT97" s="246"/>
      <c r="BU97" s="245"/>
      <c r="BV97" s="247"/>
      <c r="BW97" s="246"/>
      <c r="BX97" s="245"/>
      <c r="BY97" s="239"/>
      <c r="BZ97" s="244"/>
      <c r="CB97" s="246"/>
      <c r="CC97" s="245"/>
      <c r="CD97" s="247"/>
      <c r="CE97" s="246"/>
      <c r="CF97" s="245"/>
      <c r="CG97" s="247"/>
      <c r="CH97" s="246"/>
      <c r="CI97" s="245"/>
      <c r="CJ97" s="247"/>
      <c r="CK97" s="246"/>
      <c r="CL97" s="245"/>
      <c r="CM97" s="239"/>
      <c r="CN97" s="244"/>
    </row>
    <row r="98" spans="2:92" ht="21" customHeight="1" thickBot="1" x14ac:dyDescent="0.25">
      <c r="B98" s="1362"/>
      <c r="C98" s="1314"/>
      <c r="D98" s="1352"/>
      <c r="E98" s="1322"/>
      <c r="F98" s="1365"/>
      <c r="G98" s="322" t="str">
        <f>+'Plan de Accion apoyo transversa'!X95</f>
        <v>Olimpiada deportiva de Voleibol</v>
      </c>
      <c r="H98" s="1346"/>
      <c r="J98" s="1288"/>
      <c r="K98" s="1291"/>
      <c r="L98" s="1291"/>
      <c r="M98" s="1291"/>
      <c r="N98" s="1291"/>
      <c r="O98" s="1291"/>
      <c r="P98" s="216"/>
      <c r="Q98" s="1288"/>
      <c r="R98" s="1291"/>
      <c r="S98" s="1291"/>
      <c r="T98" s="1291"/>
      <c r="U98" s="1291"/>
      <c r="V98" s="1294"/>
      <c r="W98" s="216"/>
      <c r="X98" s="1288"/>
      <c r="Y98" s="1291"/>
      <c r="Z98" s="1291"/>
      <c r="AA98" s="1297"/>
      <c r="AB98" s="1297"/>
      <c r="AC98" s="1300"/>
      <c r="AD98" s="216"/>
      <c r="AE98" s="1288"/>
      <c r="AF98" s="1291"/>
      <c r="AG98" s="1291"/>
      <c r="AH98" s="1291"/>
      <c r="AI98" s="1294"/>
      <c r="AJ98" s="248"/>
      <c r="AK98" s="240"/>
      <c r="AL98" s="246"/>
      <c r="AM98" s="245"/>
      <c r="AN98" s="247"/>
      <c r="AO98" s="246"/>
      <c r="AP98" s="245"/>
      <c r="AQ98" s="247"/>
      <c r="AR98" s="246"/>
      <c r="AS98" s="245"/>
      <c r="AT98" s="247"/>
      <c r="AU98" s="246"/>
      <c r="AV98" s="245"/>
      <c r="AW98" s="239"/>
      <c r="AX98" s="244"/>
      <c r="AY98" s="239"/>
      <c r="AZ98" s="246"/>
      <c r="BA98" s="245"/>
      <c r="BB98" s="247"/>
      <c r="BC98" s="246"/>
      <c r="BD98" s="245"/>
      <c r="BE98" s="247"/>
      <c r="BF98" s="246"/>
      <c r="BG98" s="245"/>
      <c r="BH98" s="247"/>
      <c r="BI98" s="246"/>
      <c r="BJ98" s="245"/>
      <c r="BK98" s="239"/>
      <c r="BL98" s="244"/>
      <c r="BN98" s="246"/>
      <c r="BO98" s="245"/>
      <c r="BP98" s="247"/>
      <c r="BQ98" s="246"/>
      <c r="BR98" s="245"/>
      <c r="BS98" s="247"/>
      <c r="BT98" s="246"/>
      <c r="BU98" s="245"/>
      <c r="BV98" s="247"/>
      <c r="BW98" s="246"/>
      <c r="BX98" s="245"/>
      <c r="BY98" s="239"/>
      <c r="BZ98" s="244"/>
      <c r="CB98" s="246"/>
      <c r="CC98" s="245"/>
      <c r="CD98" s="247"/>
      <c r="CE98" s="246"/>
      <c r="CF98" s="245"/>
      <c r="CG98" s="247"/>
      <c r="CH98" s="246"/>
      <c r="CI98" s="245"/>
      <c r="CJ98" s="247"/>
      <c r="CK98" s="246"/>
      <c r="CL98" s="245"/>
      <c r="CM98" s="239"/>
      <c r="CN98" s="244"/>
    </row>
    <row r="99" spans="2:92" ht="29.25" thickBot="1" x14ac:dyDescent="0.25">
      <c r="B99" s="1362"/>
      <c r="C99" s="1314"/>
      <c r="D99" s="1352"/>
      <c r="E99" s="1322"/>
      <c r="F99" s="1365"/>
      <c r="G99" s="322" t="str">
        <f>+'Plan de Accion apoyo transversa'!X96</f>
        <v>Olimpiada deportiva de Tenis de mesa</v>
      </c>
      <c r="H99" s="1346"/>
      <c r="J99" s="1288"/>
      <c r="K99" s="1291"/>
      <c r="L99" s="1291"/>
      <c r="M99" s="1291"/>
      <c r="N99" s="1291"/>
      <c r="O99" s="1291"/>
      <c r="P99" s="216"/>
      <c r="Q99" s="1288"/>
      <c r="R99" s="1291"/>
      <c r="S99" s="1291"/>
      <c r="T99" s="1291"/>
      <c r="U99" s="1291"/>
      <c r="V99" s="1294"/>
      <c r="W99" s="216"/>
      <c r="X99" s="1288"/>
      <c r="Y99" s="1291"/>
      <c r="Z99" s="1291"/>
      <c r="AA99" s="1297"/>
      <c r="AB99" s="1297"/>
      <c r="AC99" s="1300"/>
      <c r="AD99" s="216"/>
      <c r="AE99" s="1288"/>
      <c r="AF99" s="1291"/>
      <c r="AG99" s="1291"/>
      <c r="AH99" s="1291"/>
      <c r="AI99" s="1294"/>
      <c r="AJ99" s="248"/>
      <c r="AK99" s="240"/>
      <c r="AL99" s="246"/>
      <c r="AM99" s="245"/>
      <c r="AN99" s="247"/>
      <c r="AO99" s="246"/>
      <c r="AP99" s="245"/>
      <c r="AQ99" s="247"/>
      <c r="AR99" s="246"/>
      <c r="AS99" s="245"/>
      <c r="AT99" s="247"/>
      <c r="AU99" s="246"/>
      <c r="AV99" s="245"/>
      <c r="AW99" s="239"/>
      <c r="AX99" s="244"/>
      <c r="AY99" s="239"/>
      <c r="AZ99" s="246"/>
      <c r="BA99" s="245"/>
      <c r="BB99" s="247"/>
      <c r="BC99" s="246"/>
      <c r="BD99" s="245"/>
      <c r="BE99" s="247"/>
      <c r="BF99" s="246"/>
      <c r="BG99" s="245"/>
      <c r="BH99" s="247"/>
      <c r="BI99" s="246"/>
      <c r="BJ99" s="245"/>
      <c r="BK99" s="239"/>
      <c r="BL99" s="244"/>
      <c r="BN99" s="246"/>
      <c r="BO99" s="245"/>
      <c r="BP99" s="247"/>
      <c r="BQ99" s="246"/>
      <c r="BR99" s="245"/>
      <c r="BS99" s="247"/>
      <c r="BT99" s="246"/>
      <c r="BU99" s="245"/>
      <c r="BV99" s="247"/>
      <c r="BW99" s="246"/>
      <c r="BX99" s="245"/>
      <c r="BY99" s="239"/>
      <c r="BZ99" s="244"/>
      <c r="CB99" s="246"/>
      <c r="CC99" s="245"/>
      <c r="CD99" s="247"/>
      <c r="CE99" s="246"/>
      <c r="CF99" s="245"/>
      <c r="CG99" s="247"/>
      <c r="CH99" s="246"/>
      <c r="CI99" s="245"/>
      <c r="CJ99" s="247"/>
      <c r="CK99" s="246"/>
      <c r="CL99" s="245"/>
      <c r="CM99" s="239"/>
      <c r="CN99" s="244"/>
    </row>
    <row r="100" spans="2:92" ht="29.25" thickBot="1" x14ac:dyDescent="0.25">
      <c r="B100" s="1362"/>
      <c r="C100" s="1314"/>
      <c r="D100" s="1352"/>
      <c r="E100" s="1322"/>
      <c r="F100" s="1365"/>
      <c r="G100" s="322" t="str">
        <f>+'Plan de Accion apoyo transversa'!X97</f>
        <v>Olimpiada deportiva de Bolos</v>
      </c>
      <c r="H100" s="1346"/>
      <c r="J100" s="1288"/>
      <c r="K100" s="1291"/>
      <c r="L100" s="1291"/>
      <c r="M100" s="1291"/>
      <c r="N100" s="1291"/>
      <c r="O100" s="1291"/>
      <c r="P100" s="216"/>
      <c r="Q100" s="1288"/>
      <c r="R100" s="1291"/>
      <c r="S100" s="1291"/>
      <c r="T100" s="1291"/>
      <c r="U100" s="1291"/>
      <c r="V100" s="1294"/>
      <c r="W100" s="216"/>
      <c r="X100" s="1288"/>
      <c r="Y100" s="1291"/>
      <c r="Z100" s="1291"/>
      <c r="AA100" s="1297"/>
      <c r="AB100" s="1297"/>
      <c r="AC100" s="1300"/>
      <c r="AD100" s="216"/>
      <c r="AE100" s="1288"/>
      <c r="AF100" s="1291"/>
      <c r="AG100" s="1291"/>
      <c r="AH100" s="1291"/>
      <c r="AI100" s="1294"/>
      <c r="AJ100" s="248"/>
      <c r="AK100" s="240"/>
      <c r="AL100" s="246"/>
      <c r="AM100" s="245"/>
      <c r="AN100" s="247"/>
      <c r="AO100" s="246"/>
      <c r="AP100" s="245"/>
      <c r="AQ100" s="247"/>
      <c r="AR100" s="246"/>
      <c r="AS100" s="245"/>
      <c r="AT100" s="247"/>
      <c r="AU100" s="246"/>
      <c r="AV100" s="245"/>
      <c r="AW100" s="239"/>
      <c r="AX100" s="244"/>
      <c r="AY100" s="239"/>
      <c r="AZ100" s="246"/>
      <c r="BA100" s="245"/>
      <c r="BB100" s="247"/>
      <c r="BC100" s="246"/>
      <c r="BD100" s="245"/>
      <c r="BE100" s="247"/>
      <c r="BF100" s="246"/>
      <c r="BG100" s="245"/>
      <c r="BH100" s="247"/>
      <c r="BI100" s="246"/>
      <c r="BJ100" s="245"/>
      <c r="BK100" s="239"/>
      <c r="BL100" s="244"/>
      <c r="BN100" s="246"/>
      <c r="BO100" s="245"/>
      <c r="BP100" s="247"/>
      <c r="BQ100" s="246"/>
      <c r="BR100" s="245"/>
      <c r="BS100" s="247"/>
      <c r="BT100" s="246"/>
      <c r="BU100" s="245"/>
      <c r="BV100" s="247"/>
      <c r="BW100" s="246"/>
      <c r="BX100" s="245"/>
      <c r="BY100" s="239"/>
      <c r="BZ100" s="244"/>
      <c r="CB100" s="246"/>
      <c r="CC100" s="245"/>
      <c r="CD100" s="247"/>
      <c r="CE100" s="246"/>
      <c r="CF100" s="245"/>
      <c r="CG100" s="247"/>
      <c r="CH100" s="246"/>
      <c r="CI100" s="245"/>
      <c r="CJ100" s="247"/>
      <c r="CK100" s="246"/>
      <c r="CL100" s="245"/>
      <c r="CM100" s="239"/>
      <c r="CN100" s="244"/>
    </row>
    <row r="101" spans="2:92" ht="20.25" thickBot="1" x14ac:dyDescent="0.25">
      <c r="B101" s="1362"/>
      <c r="C101" s="1314"/>
      <c r="D101" s="1352"/>
      <c r="E101" s="1322"/>
      <c r="F101" s="1365"/>
      <c r="G101" s="322" t="str">
        <f>+'Plan de Accion apoyo transversa'!X98</f>
        <v>Olimpiada deportiva de Billar</v>
      </c>
      <c r="H101" s="1346"/>
      <c r="J101" s="1288"/>
      <c r="K101" s="1291"/>
      <c r="L101" s="1291"/>
      <c r="M101" s="1291"/>
      <c r="N101" s="1291"/>
      <c r="O101" s="1291"/>
      <c r="P101" s="216"/>
      <c r="Q101" s="1288"/>
      <c r="R101" s="1291"/>
      <c r="S101" s="1291"/>
      <c r="T101" s="1291"/>
      <c r="U101" s="1291"/>
      <c r="V101" s="1294"/>
      <c r="W101" s="216"/>
      <c r="X101" s="1288"/>
      <c r="Y101" s="1291"/>
      <c r="Z101" s="1291"/>
      <c r="AA101" s="1297"/>
      <c r="AB101" s="1297"/>
      <c r="AC101" s="1300"/>
      <c r="AD101" s="216"/>
      <c r="AE101" s="1288"/>
      <c r="AF101" s="1291"/>
      <c r="AG101" s="1291"/>
      <c r="AH101" s="1291"/>
      <c r="AI101" s="1294"/>
      <c r="AJ101" s="248"/>
      <c r="AK101" s="240"/>
      <c r="AL101" s="246"/>
      <c r="AM101" s="245"/>
      <c r="AN101" s="247"/>
      <c r="AO101" s="246"/>
      <c r="AP101" s="245"/>
      <c r="AQ101" s="247"/>
      <c r="AR101" s="246"/>
      <c r="AS101" s="245"/>
      <c r="AT101" s="247"/>
      <c r="AU101" s="246"/>
      <c r="AV101" s="245"/>
      <c r="AW101" s="239"/>
      <c r="AX101" s="244"/>
      <c r="AY101" s="239"/>
      <c r="AZ101" s="246"/>
      <c r="BA101" s="245"/>
      <c r="BB101" s="247"/>
      <c r="BC101" s="246"/>
      <c r="BD101" s="245"/>
      <c r="BE101" s="247"/>
      <c r="BF101" s="246"/>
      <c r="BG101" s="245"/>
      <c r="BH101" s="247"/>
      <c r="BI101" s="246"/>
      <c r="BJ101" s="245"/>
      <c r="BK101" s="239"/>
      <c r="BL101" s="244"/>
      <c r="BN101" s="246"/>
      <c r="BO101" s="245"/>
      <c r="BP101" s="247"/>
      <c r="BQ101" s="246"/>
      <c r="BR101" s="245"/>
      <c r="BS101" s="247"/>
      <c r="BT101" s="246"/>
      <c r="BU101" s="245"/>
      <c r="BV101" s="247"/>
      <c r="BW101" s="246"/>
      <c r="BX101" s="245"/>
      <c r="BY101" s="239"/>
      <c r="BZ101" s="244"/>
      <c r="CB101" s="246"/>
      <c r="CC101" s="245"/>
      <c r="CD101" s="247"/>
      <c r="CE101" s="246"/>
      <c r="CF101" s="245"/>
      <c r="CG101" s="247"/>
      <c r="CH101" s="246"/>
      <c r="CI101" s="245"/>
      <c r="CJ101" s="247"/>
      <c r="CK101" s="246"/>
      <c r="CL101" s="245"/>
      <c r="CM101" s="239"/>
      <c r="CN101" s="244"/>
    </row>
    <row r="102" spans="2:92" ht="29.25" thickBot="1" x14ac:dyDescent="0.25">
      <c r="B102" s="1362"/>
      <c r="C102" s="1314"/>
      <c r="D102" s="1352"/>
      <c r="E102" s="1322"/>
      <c r="F102" s="1365"/>
      <c r="G102" s="322" t="str">
        <f>+'Plan de Accion apoyo transversa'!X99</f>
        <v>Vacaciones recreativas realizadas</v>
      </c>
      <c r="H102" s="1346"/>
      <c r="J102" s="1288"/>
      <c r="K102" s="1291"/>
      <c r="L102" s="1291"/>
      <c r="M102" s="1291"/>
      <c r="N102" s="1291"/>
      <c r="O102" s="1291"/>
      <c r="P102" s="216"/>
      <c r="Q102" s="1288"/>
      <c r="R102" s="1291"/>
      <c r="S102" s="1291"/>
      <c r="T102" s="1291"/>
      <c r="U102" s="1291"/>
      <c r="V102" s="1294"/>
      <c r="W102" s="216"/>
      <c r="X102" s="1288"/>
      <c r="Y102" s="1291"/>
      <c r="Z102" s="1291"/>
      <c r="AA102" s="1297"/>
      <c r="AB102" s="1297"/>
      <c r="AC102" s="1300"/>
      <c r="AD102" s="216"/>
      <c r="AE102" s="1288"/>
      <c r="AF102" s="1291"/>
      <c r="AG102" s="1291"/>
      <c r="AH102" s="1291"/>
      <c r="AI102" s="1294"/>
      <c r="AJ102" s="248"/>
      <c r="AK102" s="240"/>
      <c r="AL102" s="246"/>
      <c r="AM102" s="245"/>
      <c r="AN102" s="247"/>
      <c r="AO102" s="246"/>
      <c r="AP102" s="245"/>
      <c r="AQ102" s="247"/>
      <c r="AR102" s="246"/>
      <c r="AS102" s="245"/>
      <c r="AT102" s="247"/>
      <c r="AU102" s="246"/>
      <c r="AV102" s="245"/>
      <c r="AW102" s="239"/>
      <c r="AX102" s="244"/>
      <c r="AY102" s="239"/>
      <c r="AZ102" s="246"/>
      <c r="BA102" s="245"/>
      <c r="BB102" s="247"/>
      <c r="BC102" s="246"/>
      <c r="BD102" s="245"/>
      <c r="BE102" s="247"/>
      <c r="BF102" s="246"/>
      <c r="BG102" s="245"/>
      <c r="BH102" s="247"/>
      <c r="BI102" s="246"/>
      <c r="BJ102" s="245"/>
      <c r="BK102" s="239"/>
      <c r="BL102" s="244"/>
      <c r="BN102" s="246"/>
      <c r="BO102" s="245"/>
      <c r="BP102" s="247"/>
      <c r="BQ102" s="246"/>
      <c r="BR102" s="245"/>
      <c r="BS102" s="247"/>
      <c r="BT102" s="246"/>
      <c r="BU102" s="245"/>
      <c r="BV102" s="247"/>
      <c r="BW102" s="246"/>
      <c r="BX102" s="245"/>
      <c r="BY102" s="239"/>
      <c r="BZ102" s="244"/>
      <c r="CB102" s="246"/>
      <c r="CC102" s="245"/>
      <c r="CD102" s="247"/>
      <c r="CE102" s="246"/>
      <c r="CF102" s="245"/>
      <c r="CG102" s="247"/>
      <c r="CH102" s="246"/>
      <c r="CI102" s="245"/>
      <c r="CJ102" s="247"/>
      <c r="CK102" s="246"/>
      <c r="CL102" s="245"/>
      <c r="CM102" s="239"/>
      <c r="CN102" s="244"/>
    </row>
    <row r="103" spans="2:92" ht="29.25" thickBot="1" x14ac:dyDescent="0.25">
      <c r="B103" s="1362"/>
      <c r="C103" s="1314"/>
      <c r="D103" s="1352"/>
      <c r="E103" s="1322"/>
      <c r="F103" s="1365"/>
      <c r="G103" s="322" t="str">
        <f>+'Plan de Accion apoyo transversa'!X100</f>
        <v>Actividad día del niño realizada</v>
      </c>
      <c r="H103" s="1346"/>
      <c r="J103" s="1288"/>
      <c r="K103" s="1291"/>
      <c r="L103" s="1291"/>
      <c r="M103" s="1291"/>
      <c r="N103" s="1291"/>
      <c r="O103" s="1291"/>
      <c r="P103" s="216"/>
      <c r="Q103" s="1288"/>
      <c r="R103" s="1291"/>
      <c r="S103" s="1291"/>
      <c r="T103" s="1291"/>
      <c r="U103" s="1291"/>
      <c r="V103" s="1294"/>
      <c r="W103" s="216"/>
      <c r="X103" s="1288"/>
      <c r="Y103" s="1291"/>
      <c r="Z103" s="1291"/>
      <c r="AA103" s="1297"/>
      <c r="AB103" s="1297"/>
      <c r="AC103" s="1300"/>
      <c r="AD103" s="216"/>
      <c r="AE103" s="1288"/>
      <c r="AF103" s="1291"/>
      <c r="AG103" s="1291"/>
      <c r="AH103" s="1291"/>
      <c r="AI103" s="1294"/>
      <c r="AJ103" s="248"/>
      <c r="AK103" s="240"/>
      <c r="AL103" s="246"/>
      <c r="AM103" s="245"/>
      <c r="AN103" s="247"/>
      <c r="AO103" s="246"/>
      <c r="AP103" s="245"/>
      <c r="AQ103" s="247"/>
      <c r="AR103" s="246"/>
      <c r="AS103" s="245"/>
      <c r="AT103" s="247"/>
      <c r="AU103" s="246"/>
      <c r="AV103" s="245"/>
      <c r="AW103" s="239"/>
      <c r="AX103" s="244"/>
      <c r="AY103" s="239"/>
      <c r="AZ103" s="246"/>
      <c r="BA103" s="245"/>
      <c r="BB103" s="247"/>
      <c r="BC103" s="246"/>
      <c r="BD103" s="245"/>
      <c r="BE103" s="247"/>
      <c r="BF103" s="246"/>
      <c r="BG103" s="245"/>
      <c r="BH103" s="247"/>
      <c r="BI103" s="246"/>
      <c r="BJ103" s="245"/>
      <c r="BK103" s="239"/>
      <c r="BL103" s="244"/>
      <c r="BN103" s="246"/>
      <c r="BO103" s="245"/>
      <c r="BP103" s="247"/>
      <c r="BQ103" s="246"/>
      <c r="BR103" s="245"/>
      <c r="BS103" s="247"/>
      <c r="BT103" s="246"/>
      <c r="BU103" s="245"/>
      <c r="BV103" s="247"/>
      <c r="BW103" s="246"/>
      <c r="BX103" s="245"/>
      <c r="BY103" s="239"/>
      <c r="BZ103" s="244"/>
      <c r="CB103" s="246"/>
      <c r="CC103" s="245"/>
      <c r="CD103" s="247"/>
      <c r="CE103" s="246"/>
      <c r="CF103" s="245"/>
      <c r="CG103" s="247"/>
      <c r="CH103" s="246"/>
      <c r="CI103" s="245"/>
      <c r="CJ103" s="247"/>
      <c r="CK103" s="246"/>
      <c r="CL103" s="245"/>
      <c r="CM103" s="239"/>
      <c r="CN103" s="244"/>
    </row>
    <row r="104" spans="2:92" ht="29.25" thickBot="1" x14ac:dyDescent="0.25">
      <c r="B104" s="1362"/>
      <c r="C104" s="1314"/>
      <c r="D104" s="1352"/>
      <c r="E104" s="1322"/>
      <c r="F104" s="1365"/>
      <c r="G104" s="322" t="str">
        <f>+'Plan de Accion apoyo transversa'!X101</f>
        <v>Actividad cultural y artística de Cine realizada</v>
      </c>
      <c r="H104" s="1346"/>
      <c r="J104" s="1288"/>
      <c r="K104" s="1291"/>
      <c r="L104" s="1291"/>
      <c r="M104" s="1291"/>
      <c r="N104" s="1291"/>
      <c r="O104" s="1291"/>
      <c r="P104" s="216"/>
      <c r="Q104" s="1288"/>
      <c r="R104" s="1291"/>
      <c r="S104" s="1291"/>
      <c r="T104" s="1291"/>
      <c r="U104" s="1291"/>
      <c r="V104" s="1294"/>
      <c r="W104" s="216"/>
      <c r="X104" s="1288"/>
      <c r="Y104" s="1291"/>
      <c r="Z104" s="1291"/>
      <c r="AA104" s="1297"/>
      <c r="AB104" s="1297"/>
      <c r="AC104" s="1300"/>
      <c r="AD104" s="216"/>
      <c r="AE104" s="1288"/>
      <c r="AF104" s="1291"/>
      <c r="AG104" s="1291"/>
      <c r="AH104" s="1291"/>
      <c r="AI104" s="1294"/>
      <c r="AJ104" s="248"/>
      <c r="AK104" s="240"/>
      <c r="AL104" s="246"/>
      <c r="AM104" s="245"/>
      <c r="AN104" s="247"/>
      <c r="AO104" s="246"/>
      <c r="AP104" s="245"/>
      <c r="AQ104" s="247"/>
      <c r="AR104" s="246"/>
      <c r="AS104" s="245"/>
      <c r="AT104" s="247"/>
      <c r="AU104" s="246"/>
      <c r="AV104" s="245"/>
      <c r="AW104" s="239"/>
      <c r="AX104" s="244"/>
      <c r="AY104" s="239"/>
      <c r="AZ104" s="246"/>
      <c r="BA104" s="245"/>
      <c r="BB104" s="247"/>
      <c r="BC104" s="246"/>
      <c r="BD104" s="245"/>
      <c r="BE104" s="247"/>
      <c r="BF104" s="246"/>
      <c r="BG104" s="245"/>
      <c r="BH104" s="247"/>
      <c r="BI104" s="246"/>
      <c r="BJ104" s="245"/>
      <c r="BK104" s="239"/>
      <c r="BL104" s="244"/>
      <c r="BN104" s="246"/>
      <c r="BO104" s="245"/>
      <c r="BP104" s="247"/>
      <c r="BQ104" s="246"/>
      <c r="BR104" s="245"/>
      <c r="BS104" s="247"/>
      <c r="BT104" s="246"/>
      <c r="BU104" s="245"/>
      <c r="BV104" s="247"/>
      <c r="BW104" s="246"/>
      <c r="BX104" s="245"/>
      <c r="BY104" s="239"/>
      <c r="BZ104" s="244"/>
      <c r="CB104" s="246"/>
      <c r="CC104" s="245"/>
      <c r="CD104" s="247"/>
      <c r="CE104" s="246"/>
      <c r="CF104" s="245"/>
      <c r="CG104" s="247"/>
      <c r="CH104" s="246"/>
      <c r="CI104" s="245"/>
      <c r="CJ104" s="247"/>
      <c r="CK104" s="246"/>
      <c r="CL104" s="245"/>
      <c r="CM104" s="239"/>
      <c r="CN104" s="244"/>
    </row>
    <row r="105" spans="2:92" ht="61.5" customHeight="1" thickBot="1" x14ac:dyDescent="0.25">
      <c r="B105" s="1362"/>
      <c r="C105" s="1314"/>
      <c r="D105" s="1352"/>
      <c r="E105" s="1322"/>
      <c r="F105" s="1365"/>
      <c r="G105" s="322" t="str">
        <f>+'Plan de Accion apoyo transversa'!X102</f>
        <v>Actividad cultural y artística de Taller de cocina realizada</v>
      </c>
      <c r="H105" s="1346"/>
      <c r="J105" s="1288"/>
      <c r="K105" s="1291"/>
      <c r="L105" s="1291"/>
      <c r="M105" s="1291"/>
      <c r="N105" s="1291"/>
      <c r="O105" s="1291"/>
      <c r="P105" s="216"/>
      <c r="Q105" s="1288"/>
      <c r="R105" s="1291"/>
      <c r="S105" s="1291"/>
      <c r="T105" s="1291"/>
      <c r="U105" s="1291"/>
      <c r="V105" s="1294"/>
      <c r="W105" s="216"/>
      <c r="X105" s="1288"/>
      <c r="Y105" s="1291"/>
      <c r="Z105" s="1291"/>
      <c r="AA105" s="1297"/>
      <c r="AB105" s="1297"/>
      <c r="AC105" s="1300"/>
      <c r="AD105" s="216"/>
      <c r="AE105" s="1288"/>
      <c r="AF105" s="1291"/>
      <c r="AG105" s="1291"/>
      <c r="AH105" s="1291"/>
      <c r="AI105" s="1294"/>
      <c r="AJ105" s="248"/>
      <c r="AK105" s="240"/>
      <c r="AL105" s="246"/>
      <c r="AM105" s="245"/>
      <c r="AN105" s="247"/>
      <c r="AO105" s="246"/>
      <c r="AP105" s="245"/>
      <c r="AQ105" s="247"/>
      <c r="AR105" s="246"/>
      <c r="AS105" s="245"/>
      <c r="AT105" s="247"/>
      <c r="AU105" s="246"/>
      <c r="AV105" s="245"/>
      <c r="AW105" s="239"/>
      <c r="AX105" s="244"/>
      <c r="AY105" s="239"/>
      <c r="AZ105" s="246"/>
      <c r="BA105" s="245"/>
      <c r="BB105" s="247"/>
      <c r="BC105" s="246"/>
      <c r="BD105" s="245"/>
      <c r="BE105" s="247"/>
      <c r="BF105" s="246"/>
      <c r="BG105" s="245"/>
      <c r="BH105" s="247"/>
      <c r="BI105" s="246"/>
      <c r="BJ105" s="245"/>
      <c r="BK105" s="239"/>
      <c r="BL105" s="244"/>
      <c r="BN105" s="246"/>
      <c r="BO105" s="245"/>
      <c r="BP105" s="247"/>
      <c r="BQ105" s="246"/>
      <c r="BR105" s="245"/>
      <c r="BS105" s="247"/>
      <c r="BT105" s="246"/>
      <c r="BU105" s="245"/>
      <c r="BV105" s="247"/>
      <c r="BW105" s="246"/>
      <c r="BX105" s="245"/>
      <c r="BY105" s="239"/>
      <c r="BZ105" s="244"/>
      <c r="CB105" s="246"/>
      <c r="CC105" s="245"/>
      <c r="CD105" s="247"/>
      <c r="CE105" s="246"/>
      <c r="CF105" s="245"/>
      <c r="CG105" s="247"/>
      <c r="CH105" s="246"/>
      <c r="CI105" s="245"/>
      <c r="CJ105" s="247"/>
      <c r="CK105" s="246"/>
      <c r="CL105" s="245"/>
      <c r="CM105" s="239"/>
      <c r="CN105" s="244"/>
    </row>
    <row r="106" spans="2:92" ht="29.25" thickBot="1" x14ac:dyDescent="0.25">
      <c r="B106" s="1362"/>
      <c r="C106" s="1314"/>
      <c r="D106" s="1352"/>
      <c r="E106" s="1322"/>
      <c r="F106" s="1365"/>
      <c r="G106" s="322" t="str">
        <f>+'Plan de Accion apoyo transversa'!X103</f>
        <v>Actividad social de Dia de la familia realizada</v>
      </c>
      <c r="H106" s="1346"/>
      <c r="J106" s="1288"/>
      <c r="K106" s="1291"/>
      <c r="L106" s="1291"/>
      <c r="M106" s="1291"/>
      <c r="N106" s="1291"/>
      <c r="O106" s="1291"/>
      <c r="P106" s="216"/>
      <c r="Q106" s="1288"/>
      <c r="R106" s="1291"/>
      <c r="S106" s="1291"/>
      <c r="T106" s="1291"/>
      <c r="U106" s="1291"/>
      <c r="V106" s="1294"/>
      <c r="W106" s="216"/>
      <c r="X106" s="1288"/>
      <c r="Y106" s="1291"/>
      <c r="Z106" s="1291"/>
      <c r="AA106" s="1297"/>
      <c r="AB106" s="1297"/>
      <c r="AC106" s="1300"/>
      <c r="AD106" s="216"/>
      <c r="AE106" s="1288"/>
      <c r="AF106" s="1291"/>
      <c r="AG106" s="1291"/>
      <c r="AH106" s="1291"/>
      <c r="AI106" s="1294"/>
      <c r="AJ106" s="248"/>
      <c r="AK106" s="240"/>
      <c r="AL106" s="246"/>
      <c r="AM106" s="245"/>
      <c r="AN106" s="247"/>
      <c r="AO106" s="246"/>
      <c r="AP106" s="245"/>
      <c r="AQ106" s="247"/>
      <c r="AR106" s="246"/>
      <c r="AS106" s="245"/>
      <c r="AT106" s="247"/>
      <c r="AU106" s="246"/>
      <c r="AV106" s="245"/>
      <c r="AW106" s="239"/>
      <c r="AX106" s="244"/>
      <c r="AY106" s="239"/>
      <c r="AZ106" s="246"/>
      <c r="BA106" s="245"/>
      <c r="BB106" s="247"/>
      <c r="BC106" s="246"/>
      <c r="BD106" s="245"/>
      <c r="BE106" s="247"/>
      <c r="BF106" s="246"/>
      <c r="BG106" s="245"/>
      <c r="BH106" s="247"/>
      <c r="BI106" s="246"/>
      <c r="BJ106" s="245"/>
      <c r="BK106" s="239"/>
      <c r="BL106" s="244"/>
      <c r="BN106" s="246"/>
      <c r="BO106" s="245"/>
      <c r="BP106" s="247"/>
      <c r="BQ106" s="246"/>
      <c r="BR106" s="245"/>
      <c r="BS106" s="247"/>
      <c r="BT106" s="246"/>
      <c r="BU106" s="245"/>
      <c r="BV106" s="247"/>
      <c r="BW106" s="246"/>
      <c r="BX106" s="245"/>
      <c r="BY106" s="239"/>
      <c r="BZ106" s="244"/>
      <c r="CB106" s="246"/>
      <c r="CC106" s="245"/>
      <c r="CD106" s="247"/>
      <c r="CE106" s="246"/>
      <c r="CF106" s="245"/>
      <c r="CG106" s="247"/>
      <c r="CH106" s="246"/>
      <c r="CI106" s="245"/>
      <c r="CJ106" s="247"/>
      <c r="CK106" s="246"/>
      <c r="CL106" s="245"/>
      <c r="CM106" s="239"/>
      <c r="CN106" s="244"/>
    </row>
    <row r="107" spans="2:92" ht="43.5" thickBot="1" x14ac:dyDescent="0.25">
      <c r="B107" s="1362"/>
      <c r="C107" s="1314"/>
      <c r="D107" s="1352"/>
      <c r="E107" s="1322"/>
      <c r="F107" s="1365"/>
      <c r="G107" s="322" t="str">
        <f>+'Plan de Accion apoyo transversa'!X104</f>
        <v>Actividad social de Dia Internacional de la Mujer realizada</v>
      </c>
      <c r="H107" s="1346"/>
      <c r="J107" s="1288"/>
      <c r="K107" s="1291"/>
      <c r="L107" s="1291"/>
      <c r="M107" s="1291"/>
      <c r="N107" s="1291"/>
      <c r="O107" s="1291"/>
      <c r="P107" s="216"/>
      <c r="Q107" s="1288"/>
      <c r="R107" s="1291"/>
      <c r="S107" s="1291"/>
      <c r="T107" s="1291"/>
      <c r="U107" s="1291"/>
      <c r="V107" s="1294"/>
      <c r="W107" s="216"/>
      <c r="X107" s="1288"/>
      <c r="Y107" s="1291"/>
      <c r="Z107" s="1291"/>
      <c r="AA107" s="1297"/>
      <c r="AB107" s="1297"/>
      <c r="AC107" s="1300"/>
      <c r="AD107" s="216"/>
      <c r="AE107" s="1288"/>
      <c r="AF107" s="1291"/>
      <c r="AG107" s="1291"/>
      <c r="AH107" s="1291"/>
      <c r="AI107" s="1294"/>
      <c r="AJ107" s="248"/>
      <c r="AK107" s="240"/>
      <c r="AL107" s="246"/>
      <c r="AM107" s="245"/>
      <c r="AN107" s="247"/>
      <c r="AO107" s="246"/>
      <c r="AP107" s="245"/>
      <c r="AQ107" s="247"/>
      <c r="AR107" s="246"/>
      <c r="AS107" s="245"/>
      <c r="AT107" s="247"/>
      <c r="AU107" s="246"/>
      <c r="AV107" s="245"/>
      <c r="AW107" s="239"/>
      <c r="AX107" s="244"/>
      <c r="AY107" s="239"/>
      <c r="AZ107" s="246"/>
      <c r="BA107" s="245"/>
      <c r="BB107" s="247"/>
      <c r="BC107" s="246"/>
      <c r="BD107" s="245"/>
      <c r="BE107" s="247"/>
      <c r="BF107" s="246"/>
      <c r="BG107" s="245"/>
      <c r="BH107" s="247"/>
      <c r="BI107" s="246"/>
      <c r="BJ107" s="245"/>
      <c r="BK107" s="239"/>
      <c r="BL107" s="244"/>
      <c r="BN107" s="246"/>
      <c r="BO107" s="245"/>
      <c r="BP107" s="247"/>
      <c r="BQ107" s="246"/>
      <c r="BR107" s="245"/>
      <c r="BS107" s="247"/>
      <c r="BT107" s="246"/>
      <c r="BU107" s="245"/>
      <c r="BV107" s="247"/>
      <c r="BW107" s="246"/>
      <c r="BX107" s="245"/>
      <c r="BY107" s="239"/>
      <c r="BZ107" s="244"/>
      <c r="CB107" s="246"/>
      <c r="CC107" s="245"/>
      <c r="CD107" s="247"/>
      <c r="CE107" s="246"/>
      <c r="CF107" s="245"/>
      <c r="CG107" s="247"/>
      <c r="CH107" s="246"/>
      <c r="CI107" s="245"/>
      <c r="CJ107" s="247"/>
      <c r="CK107" s="246"/>
      <c r="CL107" s="245"/>
      <c r="CM107" s="239"/>
      <c r="CN107" s="244"/>
    </row>
    <row r="108" spans="2:92" s="176" customFormat="1" ht="53.25" customHeight="1" thickBot="1" x14ac:dyDescent="0.25">
      <c r="B108" s="1362"/>
      <c r="C108" s="1314"/>
      <c r="D108" s="1352"/>
      <c r="E108" s="1322"/>
      <c r="F108" s="1365"/>
      <c r="G108" s="322" t="str">
        <f>+'Plan de Accion apoyo transversa'!X105</f>
        <v>Actividades de navidad (novenas del 16 al 20 de diciembre de 2019) realizadas</v>
      </c>
      <c r="H108" s="1346"/>
      <c r="I108" s="177"/>
      <c r="J108" s="1288"/>
      <c r="K108" s="1291"/>
      <c r="L108" s="1291"/>
      <c r="M108" s="1291"/>
      <c r="N108" s="1291"/>
      <c r="O108" s="1291"/>
      <c r="P108" s="216"/>
      <c r="Q108" s="1288"/>
      <c r="R108" s="1291"/>
      <c r="S108" s="1291"/>
      <c r="T108" s="1291"/>
      <c r="U108" s="1291"/>
      <c r="V108" s="1294"/>
      <c r="W108" s="216"/>
      <c r="X108" s="1288"/>
      <c r="Y108" s="1291"/>
      <c r="Z108" s="1291"/>
      <c r="AA108" s="1297"/>
      <c r="AB108" s="1297"/>
      <c r="AC108" s="1300"/>
      <c r="AD108" s="216"/>
      <c r="AE108" s="1288"/>
      <c r="AF108" s="1291"/>
      <c r="AG108" s="1291"/>
      <c r="AH108" s="1291"/>
      <c r="AI108" s="1294"/>
      <c r="AJ108" s="252"/>
      <c r="AK108" s="237"/>
      <c r="AL108" s="251"/>
      <c r="AM108" s="250"/>
      <c r="AN108" s="236"/>
      <c r="AO108" s="251"/>
      <c r="AP108" s="250"/>
      <c r="AQ108" s="236"/>
      <c r="AR108" s="251"/>
      <c r="AS108" s="250"/>
      <c r="AT108" s="236"/>
      <c r="AU108" s="251"/>
      <c r="AV108" s="250"/>
      <c r="AW108" s="236"/>
      <c r="AX108" s="249"/>
      <c r="AY108" s="236"/>
      <c r="AZ108" s="251"/>
      <c r="BA108" s="250"/>
      <c r="BB108" s="236"/>
      <c r="BC108" s="251"/>
      <c r="BD108" s="250"/>
      <c r="BE108" s="236"/>
      <c r="BF108" s="251"/>
      <c r="BG108" s="250"/>
      <c r="BH108" s="236"/>
      <c r="BI108" s="251"/>
      <c r="BJ108" s="250"/>
      <c r="BK108" s="236"/>
      <c r="BL108" s="249"/>
      <c r="BN108" s="251"/>
      <c r="BO108" s="250"/>
      <c r="BP108" s="236"/>
      <c r="BQ108" s="251"/>
      <c r="BR108" s="250"/>
      <c r="BS108" s="236"/>
      <c r="BT108" s="251"/>
      <c r="BU108" s="250"/>
      <c r="BV108" s="236"/>
      <c r="BW108" s="251"/>
      <c r="BX108" s="250"/>
      <c r="BY108" s="236"/>
      <c r="BZ108" s="249"/>
      <c r="CB108" s="251"/>
      <c r="CC108" s="250"/>
      <c r="CD108" s="236"/>
      <c r="CE108" s="251"/>
      <c r="CF108" s="250"/>
      <c r="CG108" s="236"/>
      <c r="CH108" s="251"/>
      <c r="CI108" s="250"/>
      <c r="CJ108" s="236"/>
      <c r="CK108" s="251"/>
      <c r="CL108" s="250"/>
      <c r="CM108" s="236"/>
      <c r="CN108" s="249"/>
    </row>
    <row r="109" spans="2:92" s="176" customFormat="1" ht="29.25" thickBot="1" x14ac:dyDescent="0.25">
      <c r="B109" s="1362"/>
      <c r="C109" s="1314"/>
      <c r="D109" s="1352"/>
      <c r="E109" s="1322"/>
      <c r="F109" s="1365"/>
      <c r="G109" s="322" t="str">
        <f>+'Plan de Accion apoyo transversa'!X106</f>
        <v>Actividad social de Dia del servidor público realizada</v>
      </c>
      <c r="H109" s="1346"/>
      <c r="I109" s="177"/>
      <c r="J109" s="1288"/>
      <c r="K109" s="1291"/>
      <c r="L109" s="1291"/>
      <c r="M109" s="1291"/>
      <c r="N109" s="1291"/>
      <c r="O109" s="1291"/>
      <c r="P109" s="216"/>
      <c r="Q109" s="1288"/>
      <c r="R109" s="1291"/>
      <c r="S109" s="1291"/>
      <c r="T109" s="1291"/>
      <c r="U109" s="1291"/>
      <c r="V109" s="1294"/>
      <c r="W109" s="216"/>
      <c r="X109" s="1288"/>
      <c r="Y109" s="1291"/>
      <c r="Z109" s="1291"/>
      <c r="AA109" s="1297"/>
      <c r="AB109" s="1297"/>
      <c r="AC109" s="1300"/>
      <c r="AD109" s="216"/>
      <c r="AE109" s="1288"/>
      <c r="AF109" s="1291"/>
      <c r="AG109" s="1291"/>
      <c r="AH109" s="1291"/>
      <c r="AI109" s="1294"/>
      <c r="AJ109" s="252"/>
      <c r="AK109" s="237"/>
      <c r="AL109" s="251"/>
      <c r="AM109" s="250"/>
      <c r="AN109" s="236"/>
      <c r="AO109" s="251"/>
      <c r="AP109" s="250"/>
      <c r="AQ109" s="236"/>
      <c r="AR109" s="251"/>
      <c r="AS109" s="250"/>
      <c r="AT109" s="236"/>
      <c r="AU109" s="251"/>
      <c r="AV109" s="250"/>
      <c r="AW109" s="236"/>
      <c r="AX109" s="249"/>
      <c r="AY109" s="236"/>
      <c r="AZ109" s="251"/>
      <c r="BA109" s="250"/>
      <c r="BB109" s="236"/>
      <c r="BC109" s="251"/>
      <c r="BD109" s="250"/>
      <c r="BE109" s="236"/>
      <c r="BF109" s="251"/>
      <c r="BG109" s="250"/>
      <c r="BH109" s="236"/>
      <c r="BI109" s="251"/>
      <c r="BJ109" s="250"/>
      <c r="BK109" s="236"/>
      <c r="BL109" s="249"/>
      <c r="BN109" s="251"/>
      <c r="BO109" s="250"/>
      <c r="BP109" s="236"/>
      <c r="BQ109" s="251"/>
      <c r="BR109" s="250"/>
      <c r="BS109" s="236"/>
      <c r="BT109" s="251"/>
      <c r="BU109" s="250"/>
      <c r="BV109" s="236"/>
      <c r="BW109" s="251"/>
      <c r="BX109" s="250"/>
      <c r="BY109" s="236"/>
      <c r="BZ109" s="249"/>
      <c r="CB109" s="251"/>
      <c r="CC109" s="250"/>
      <c r="CD109" s="236"/>
      <c r="CE109" s="251"/>
      <c r="CF109" s="250"/>
      <c r="CG109" s="236"/>
      <c r="CH109" s="251"/>
      <c r="CI109" s="250"/>
      <c r="CJ109" s="236"/>
      <c r="CK109" s="251"/>
      <c r="CL109" s="250"/>
      <c r="CM109" s="236"/>
      <c r="CN109" s="249"/>
    </row>
    <row r="110" spans="2:92" s="176" customFormat="1" ht="29.25" thickBot="1" x14ac:dyDescent="0.25">
      <c r="B110" s="1362"/>
      <c r="C110" s="1314"/>
      <c r="D110" s="1352"/>
      <c r="E110" s="1322"/>
      <c r="F110" s="1365"/>
      <c r="G110" s="322" t="str">
        <f>+'Plan de Accion apoyo transversa'!X107</f>
        <v>Plan prepensionados realizado</v>
      </c>
      <c r="H110" s="1346"/>
      <c r="I110" s="177"/>
      <c r="J110" s="1288"/>
      <c r="K110" s="1291"/>
      <c r="L110" s="1291"/>
      <c r="M110" s="1291"/>
      <c r="N110" s="1291"/>
      <c r="O110" s="1291"/>
      <c r="P110" s="216"/>
      <c r="Q110" s="1288"/>
      <c r="R110" s="1291"/>
      <c r="S110" s="1291"/>
      <c r="T110" s="1291"/>
      <c r="U110" s="1291"/>
      <c r="V110" s="1294"/>
      <c r="W110" s="216"/>
      <c r="X110" s="1288"/>
      <c r="Y110" s="1291"/>
      <c r="Z110" s="1291"/>
      <c r="AA110" s="1297"/>
      <c r="AB110" s="1297"/>
      <c r="AC110" s="1300"/>
      <c r="AD110" s="216"/>
      <c r="AE110" s="1288"/>
      <c r="AF110" s="1291"/>
      <c r="AG110" s="1291"/>
      <c r="AH110" s="1291"/>
      <c r="AI110" s="1294"/>
      <c r="AJ110" s="252"/>
      <c r="AK110" s="237"/>
      <c r="AL110" s="251"/>
      <c r="AM110" s="250"/>
      <c r="AN110" s="236"/>
      <c r="AO110" s="251"/>
      <c r="AP110" s="250"/>
      <c r="AQ110" s="236"/>
      <c r="AR110" s="251"/>
      <c r="AS110" s="250"/>
      <c r="AT110" s="236"/>
      <c r="AU110" s="251"/>
      <c r="AV110" s="250"/>
      <c r="AW110" s="236"/>
      <c r="AX110" s="249"/>
      <c r="AY110" s="236"/>
      <c r="AZ110" s="251"/>
      <c r="BA110" s="250"/>
      <c r="BB110" s="236"/>
      <c r="BC110" s="251"/>
      <c r="BD110" s="250"/>
      <c r="BE110" s="236"/>
      <c r="BF110" s="251"/>
      <c r="BG110" s="250"/>
      <c r="BH110" s="236"/>
      <c r="BI110" s="251"/>
      <c r="BJ110" s="250"/>
      <c r="BK110" s="236"/>
      <c r="BL110" s="249"/>
      <c r="BN110" s="251"/>
      <c r="BO110" s="250"/>
      <c r="BP110" s="236"/>
      <c r="BQ110" s="251"/>
      <c r="BR110" s="250"/>
      <c r="BS110" s="236"/>
      <c r="BT110" s="251"/>
      <c r="BU110" s="250"/>
      <c r="BV110" s="236"/>
      <c r="BW110" s="251"/>
      <c r="BX110" s="250"/>
      <c r="BY110" s="236"/>
      <c r="BZ110" s="249"/>
      <c r="CB110" s="251"/>
      <c r="CC110" s="250"/>
      <c r="CD110" s="236"/>
      <c r="CE110" s="251"/>
      <c r="CF110" s="250"/>
      <c r="CG110" s="236"/>
      <c r="CH110" s="251"/>
      <c r="CI110" s="250"/>
      <c r="CJ110" s="236"/>
      <c r="CK110" s="251"/>
      <c r="CL110" s="250"/>
      <c r="CM110" s="236"/>
      <c r="CN110" s="249"/>
    </row>
    <row r="111" spans="2:92" s="176" customFormat="1" ht="43.5" thickBot="1" x14ac:dyDescent="0.25">
      <c r="B111" s="1362"/>
      <c r="C111" s="1314"/>
      <c r="D111" s="1352"/>
      <c r="E111" s="1322"/>
      <c r="F111" s="1365"/>
      <c r="G111" s="322" t="str">
        <f>+'Plan de Accion apoyo transversa'!X108</f>
        <v>Jornada de salud sobre: Prevención cardiovascular realizada</v>
      </c>
      <c r="H111" s="1346"/>
      <c r="I111" s="177"/>
      <c r="J111" s="1288"/>
      <c r="K111" s="1291"/>
      <c r="L111" s="1291"/>
      <c r="M111" s="1291"/>
      <c r="N111" s="1291"/>
      <c r="O111" s="1291"/>
      <c r="P111" s="216"/>
      <c r="Q111" s="1288"/>
      <c r="R111" s="1291"/>
      <c r="S111" s="1291"/>
      <c r="T111" s="1291"/>
      <c r="U111" s="1291"/>
      <c r="V111" s="1294"/>
      <c r="W111" s="216"/>
      <c r="X111" s="1288"/>
      <c r="Y111" s="1291"/>
      <c r="Z111" s="1291"/>
      <c r="AA111" s="1297"/>
      <c r="AB111" s="1297"/>
      <c r="AC111" s="1300"/>
      <c r="AD111" s="216"/>
      <c r="AE111" s="1288"/>
      <c r="AF111" s="1291"/>
      <c r="AG111" s="1291"/>
      <c r="AH111" s="1291"/>
      <c r="AI111" s="1294"/>
      <c r="AJ111" s="252"/>
      <c r="AK111" s="237"/>
      <c r="AL111" s="251"/>
      <c r="AM111" s="250"/>
      <c r="AN111" s="236"/>
      <c r="AO111" s="251"/>
      <c r="AP111" s="250"/>
      <c r="AQ111" s="236"/>
      <c r="AR111" s="251"/>
      <c r="AS111" s="250"/>
      <c r="AT111" s="236"/>
      <c r="AU111" s="251"/>
      <c r="AV111" s="250"/>
      <c r="AW111" s="236"/>
      <c r="AX111" s="249"/>
      <c r="AY111" s="236"/>
      <c r="AZ111" s="251"/>
      <c r="BA111" s="250"/>
      <c r="BB111" s="236"/>
      <c r="BC111" s="251"/>
      <c r="BD111" s="250"/>
      <c r="BE111" s="236"/>
      <c r="BF111" s="251"/>
      <c r="BG111" s="250"/>
      <c r="BH111" s="236"/>
      <c r="BI111" s="251"/>
      <c r="BJ111" s="250"/>
      <c r="BK111" s="236"/>
      <c r="BL111" s="249"/>
      <c r="BN111" s="251"/>
      <c r="BO111" s="250"/>
      <c r="BP111" s="236"/>
      <c r="BQ111" s="251"/>
      <c r="BR111" s="250"/>
      <c r="BS111" s="236"/>
      <c r="BT111" s="251"/>
      <c r="BU111" s="250"/>
      <c r="BV111" s="236"/>
      <c r="BW111" s="251"/>
      <c r="BX111" s="250"/>
      <c r="BY111" s="236"/>
      <c r="BZ111" s="249"/>
      <c r="CB111" s="251"/>
      <c r="CC111" s="250"/>
      <c r="CD111" s="236"/>
      <c r="CE111" s="251"/>
      <c r="CF111" s="250"/>
      <c r="CG111" s="236"/>
      <c r="CH111" s="251"/>
      <c r="CI111" s="250"/>
      <c r="CJ111" s="236"/>
      <c r="CK111" s="251"/>
      <c r="CL111" s="250"/>
      <c r="CM111" s="236"/>
      <c r="CN111" s="249"/>
    </row>
    <row r="112" spans="2:92" s="176" customFormat="1" ht="29.25" thickBot="1" x14ac:dyDescent="0.25">
      <c r="B112" s="1362"/>
      <c r="C112" s="1314"/>
      <c r="D112" s="1352"/>
      <c r="E112" s="1322"/>
      <c r="F112" s="1365"/>
      <c r="G112" s="322" t="str">
        <f>+'Plan de Accion apoyo transversa'!X109</f>
        <v>Jornada de salud sobre: Pausas activas realizadas</v>
      </c>
      <c r="H112" s="1346"/>
      <c r="I112" s="177"/>
      <c r="J112" s="1288"/>
      <c r="K112" s="1291"/>
      <c r="L112" s="1291"/>
      <c r="M112" s="1291"/>
      <c r="N112" s="1291"/>
      <c r="O112" s="1291"/>
      <c r="P112" s="216"/>
      <c r="Q112" s="1288"/>
      <c r="R112" s="1291"/>
      <c r="S112" s="1291"/>
      <c r="T112" s="1291"/>
      <c r="U112" s="1291"/>
      <c r="V112" s="1294"/>
      <c r="W112" s="216"/>
      <c r="X112" s="1288"/>
      <c r="Y112" s="1291"/>
      <c r="Z112" s="1291"/>
      <c r="AA112" s="1297"/>
      <c r="AB112" s="1297"/>
      <c r="AC112" s="1300"/>
      <c r="AD112" s="216"/>
      <c r="AE112" s="1288"/>
      <c r="AF112" s="1291"/>
      <c r="AG112" s="1291"/>
      <c r="AH112" s="1291"/>
      <c r="AI112" s="1294"/>
      <c r="AJ112" s="252"/>
      <c r="AK112" s="237"/>
      <c r="AL112" s="251"/>
      <c r="AM112" s="250"/>
      <c r="AN112" s="236"/>
      <c r="AO112" s="251"/>
      <c r="AP112" s="250"/>
      <c r="AQ112" s="236"/>
      <c r="AR112" s="251"/>
      <c r="AS112" s="250"/>
      <c r="AT112" s="236"/>
      <c r="AU112" s="251"/>
      <c r="AV112" s="250"/>
      <c r="AW112" s="236"/>
      <c r="AX112" s="249"/>
      <c r="AY112" s="236"/>
      <c r="AZ112" s="251"/>
      <c r="BA112" s="250"/>
      <c r="BB112" s="236"/>
      <c r="BC112" s="251"/>
      <c r="BD112" s="250"/>
      <c r="BE112" s="236"/>
      <c r="BF112" s="251"/>
      <c r="BG112" s="250"/>
      <c r="BH112" s="236"/>
      <c r="BI112" s="251"/>
      <c r="BJ112" s="250"/>
      <c r="BK112" s="236"/>
      <c r="BL112" s="249"/>
      <c r="BN112" s="251"/>
      <c r="BO112" s="250"/>
      <c r="BP112" s="236"/>
      <c r="BQ112" s="251"/>
      <c r="BR112" s="250"/>
      <c r="BS112" s="236"/>
      <c r="BT112" s="251"/>
      <c r="BU112" s="250"/>
      <c r="BV112" s="236"/>
      <c r="BW112" s="251"/>
      <c r="BX112" s="250"/>
      <c r="BY112" s="236"/>
      <c r="BZ112" s="249"/>
      <c r="CB112" s="251"/>
      <c r="CC112" s="250"/>
      <c r="CD112" s="236"/>
      <c r="CE112" s="251"/>
      <c r="CF112" s="250"/>
      <c r="CG112" s="236"/>
      <c r="CH112" s="251"/>
      <c r="CI112" s="250"/>
      <c r="CJ112" s="236"/>
      <c r="CK112" s="251"/>
      <c r="CL112" s="250"/>
      <c r="CM112" s="236"/>
      <c r="CN112" s="249"/>
    </row>
    <row r="113" spans="2:92" s="176" customFormat="1" ht="29.25" thickBot="1" x14ac:dyDescent="0.25">
      <c r="B113" s="1362"/>
      <c r="C113" s="1314"/>
      <c r="D113" s="1352"/>
      <c r="E113" s="1322"/>
      <c r="F113" s="1365"/>
      <c r="G113" s="322" t="str">
        <f>+'Plan de Accion apoyo transversa'!X110</f>
        <v>Actividad de Incentivos realizada</v>
      </c>
      <c r="H113" s="1346"/>
      <c r="I113" s="177"/>
      <c r="J113" s="1288"/>
      <c r="K113" s="1291"/>
      <c r="L113" s="1291"/>
      <c r="M113" s="1291"/>
      <c r="N113" s="1291"/>
      <c r="O113" s="1291"/>
      <c r="P113" s="216"/>
      <c r="Q113" s="1288"/>
      <c r="R113" s="1291"/>
      <c r="S113" s="1291"/>
      <c r="T113" s="1291"/>
      <c r="U113" s="1291"/>
      <c r="V113" s="1294"/>
      <c r="W113" s="216"/>
      <c r="X113" s="1288"/>
      <c r="Y113" s="1291"/>
      <c r="Z113" s="1291"/>
      <c r="AA113" s="1297"/>
      <c r="AB113" s="1297"/>
      <c r="AC113" s="1300"/>
      <c r="AD113" s="216"/>
      <c r="AE113" s="1288"/>
      <c r="AF113" s="1291"/>
      <c r="AG113" s="1291"/>
      <c r="AH113" s="1291"/>
      <c r="AI113" s="1294"/>
      <c r="AJ113" s="252"/>
      <c r="AK113" s="237"/>
      <c r="AL113" s="251"/>
      <c r="AM113" s="250"/>
      <c r="AN113" s="236"/>
      <c r="AO113" s="251"/>
      <c r="AP113" s="250"/>
      <c r="AQ113" s="236"/>
      <c r="AR113" s="251"/>
      <c r="AS113" s="250"/>
      <c r="AT113" s="236"/>
      <c r="AU113" s="251"/>
      <c r="AV113" s="250"/>
      <c r="AW113" s="236"/>
      <c r="AX113" s="249"/>
      <c r="AY113" s="236"/>
      <c r="AZ113" s="251"/>
      <c r="BA113" s="250"/>
      <c r="BB113" s="236"/>
      <c r="BC113" s="251"/>
      <c r="BD113" s="250"/>
      <c r="BE113" s="236"/>
      <c r="BF113" s="251"/>
      <c r="BG113" s="250"/>
      <c r="BH113" s="236"/>
      <c r="BI113" s="251"/>
      <c r="BJ113" s="250"/>
      <c r="BK113" s="236"/>
      <c r="BL113" s="249"/>
      <c r="BN113" s="251"/>
      <c r="BO113" s="250"/>
      <c r="BP113" s="236"/>
      <c r="BQ113" s="251"/>
      <c r="BR113" s="250"/>
      <c r="BS113" s="236"/>
      <c r="BT113" s="251"/>
      <c r="BU113" s="250"/>
      <c r="BV113" s="236"/>
      <c r="BW113" s="251"/>
      <c r="BX113" s="250"/>
      <c r="BY113" s="236"/>
      <c r="BZ113" s="249"/>
      <c r="CB113" s="251"/>
      <c r="CC113" s="250"/>
      <c r="CD113" s="236"/>
      <c r="CE113" s="251"/>
      <c r="CF113" s="250"/>
      <c r="CG113" s="236"/>
      <c r="CH113" s="251"/>
      <c r="CI113" s="250"/>
      <c r="CJ113" s="236"/>
      <c r="CK113" s="251"/>
      <c r="CL113" s="250"/>
      <c r="CM113" s="236"/>
      <c r="CN113" s="249"/>
    </row>
    <row r="114" spans="2:92" s="176" customFormat="1" ht="29.25" thickBot="1" x14ac:dyDescent="0.25">
      <c r="B114" s="1362"/>
      <c r="C114" s="1314"/>
      <c r="D114" s="1352"/>
      <c r="E114" s="1322"/>
      <c r="F114" s="1365"/>
      <c r="G114" s="322" t="str">
        <f>+'Plan de Accion apoyo transversa'!X111</f>
        <v>Actividad de Cierre de gestión realizada</v>
      </c>
      <c r="H114" s="1346"/>
      <c r="I114" s="177"/>
      <c r="J114" s="1288"/>
      <c r="K114" s="1291"/>
      <c r="L114" s="1291"/>
      <c r="M114" s="1291"/>
      <c r="N114" s="1291"/>
      <c r="O114" s="1291"/>
      <c r="P114" s="216"/>
      <c r="Q114" s="1288"/>
      <c r="R114" s="1291"/>
      <c r="S114" s="1291"/>
      <c r="T114" s="1291"/>
      <c r="U114" s="1291"/>
      <c r="V114" s="1294"/>
      <c r="W114" s="216"/>
      <c r="X114" s="1288"/>
      <c r="Y114" s="1291"/>
      <c r="Z114" s="1291"/>
      <c r="AA114" s="1297"/>
      <c r="AB114" s="1297"/>
      <c r="AC114" s="1300"/>
      <c r="AD114" s="216"/>
      <c r="AE114" s="1288"/>
      <c r="AF114" s="1291"/>
      <c r="AG114" s="1291"/>
      <c r="AH114" s="1291"/>
      <c r="AI114" s="1294"/>
      <c r="AJ114" s="252"/>
      <c r="AK114" s="237"/>
      <c r="AL114" s="251"/>
      <c r="AM114" s="250"/>
      <c r="AN114" s="236"/>
      <c r="AO114" s="251"/>
      <c r="AP114" s="250"/>
      <c r="AQ114" s="236"/>
      <c r="AR114" s="251"/>
      <c r="AS114" s="250"/>
      <c r="AT114" s="236"/>
      <c r="AU114" s="251"/>
      <c r="AV114" s="250"/>
      <c r="AW114" s="236"/>
      <c r="AX114" s="249"/>
      <c r="AY114" s="236"/>
      <c r="AZ114" s="251"/>
      <c r="BA114" s="250"/>
      <c r="BB114" s="236"/>
      <c r="BC114" s="251"/>
      <c r="BD114" s="250"/>
      <c r="BE114" s="236"/>
      <c r="BF114" s="251"/>
      <c r="BG114" s="250"/>
      <c r="BH114" s="236"/>
      <c r="BI114" s="251"/>
      <c r="BJ114" s="250"/>
      <c r="BK114" s="236"/>
      <c r="BL114" s="249"/>
      <c r="BN114" s="251"/>
      <c r="BO114" s="250"/>
      <c r="BP114" s="236"/>
      <c r="BQ114" s="251"/>
      <c r="BR114" s="250"/>
      <c r="BS114" s="236"/>
      <c r="BT114" s="251"/>
      <c r="BU114" s="250"/>
      <c r="BV114" s="236"/>
      <c r="BW114" s="251"/>
      <c r="BX114" s="250"/>
      <c r="BY114" s="236"/>
      <c r="BZ114" s="249"/>
      <c r="CB114" s="251"/>
      <c r="CC114" s="250"/>
      <c r="CD114" s="236"/>
      <c r="CE114" s="251"/>
      <c r="CF114" s="250"/>
      <c r="CG114" s="236"/>
      <c r="CH114" s="251"/>
      <c r="CI114" s="250"/>
      <c r="CJ114" s="236"/>
      <c r="CK114" s="251"/>
      <c r="CL114" s="250"/>
      <c r="CM114" s="236"/>
      <c r="CN114" s="249"/>
    </row>
    <row r="115" spans="2:92" s="176" customFormat="1" ht="20.25" thickBot="1" x14ac:dyDescent="0.25">
      <c r="B115" s="1362"/>
      <c r="C115" s="1314"/>
      <c r="D115" s="1352"/>
      <c r="E115" s="1322"/>
      <c r="F115" s="1365"/>
      <c r="G115" s="558" t="str">
        <f>+'Plan de Accion apoyo transversa'!X112</f>
        <v>Gimnasio convenio</v>
      </c>
      <c r="H115" s="1346"/>
      <c r="I115" s="177"/>
      <c r="J115" s="1288"/>
      <c r="K115" s="1291"/>
      <c r="L115" s="1291"/>
      <c r="M115" s="1291"/>
      <c r="N115" s="1291"/>
      <c r="O115" s="1291"/>
      <c r="P115" s="216"/>
      <c r="Q115" s="1288"/>
      <c r="R115" s="1291"/>
      <c r="S115" s="1291"/>
      <c r="T115" s="1291"/>
      <c r="U115" s="1291"/>
      <c r="V115" s="1294"/>
      <c r="W115" s="216"/>
      <c r="X115" s="1288"/>
      <c r="Y115" s="1291"/>
      <c r="Z115" s="1291"/>
      <c r="AA115" s="1297"/>
      <c r="AB115" s="1297"/>
      <c r="AC115" s="1300"/>
      <c r="AD115" s="216"/>
      <c r="AE115" s="1288"/>
      <c r="AF115" s="1291"/>
      <c r="AG115" s="1291"/>
      <c r="AH115" s="1291"/>
      <c r="AI115" s="1294"/>
      <c r="AJ115" s="252"/>
      <c r="AK115" s="237"/>
      <c r="AL115" s="251"/>
      <c r="AM115" s="250"/>
      <c r="AN115" s="236"/>
      <c r="AO115" s="251"/>
      <c r="AP115" s="250"/>
      <c r="AQ115" s="236"/>
      <c r="AR115" s="251"/>
      <c r="AS115" s="250"/>
      <c r="AT115" s="236"/>
      <c r="AU115" s="251"/>
      <c r="AV115" s="250"/>
      <c r="AW115" s="236"/>
      <c r="AX115" s="249"/>
      <c r="AY115" s="236"/>
      <c r="AZ115" s="251"/>
      <c r="BA115" s="250"/>
      <c r="BB115" s="236"/>
      <c r="BC115" s="251"/>
      <c r="BD115" s="250"/>
      <c r="BE115" s="236"/>
      <c r="BF115" s="251"/>
      <c r="BG115" s="250"/>
      <c r="BH115" s="236"/>
      <c r="BI115" s="251"/>
      <c r="BJ115" s="250"/>
      <c r="BK115" s="236"/>
      <c r="BL115" s="249"/>
      <c r="BN115" s="251"/>
      <c r="BO115" s="250"/>
      <c r="BP115" s="236"/>
      <c r="BQ115" s="251"/>
      <c r="BR115" s="250"/>
      <c r="BS115" s="236"/>
      <c r="BT115" s="251"/>
      <c r="BU115" s="250"/>
      <c r="BV115" s="236"/>
      <c r="BW115" s="251"/>
      <c r="BX115" s="250"/>
      <c r="BY115" s="236"/>
      <c r="BZ115" s="249"/>
      <c r="CB115" s="251"/>
      <c r="CC115" s="250"/>
      <c r="CD115" s="236"/>
      <c r="CE115" s="251"/>
      <c r="CF115" s="250"/>
      <c r="CG115" s="236"/>
      <c r="CH115" s="251"/>
      <c r="CI115" s="250"/>
      <c r="CJ115" s="236"/>
      <c r="CK115" s="251"/>
      <c r="CL115" s="250"/>
      <c r="CM115" s="236"/>
      <c r="CN115" s="249"/>
    </row>
    <row r="116" spans="2:92" s="176" customFormat="1" ht="29.25" thickBot="1" x14ac:dyDescent="0.25">
      <c r="B116" s="1362"/>
      <c r="C116" s="1314"/>
      <c r="D116" s="1352"/>
      <c r="E116" s="1322"/>
      <c r="F116" s="1365"/>
      <c r="G116" s="558" t="str">
        <f>+'Plan de Accion apoyo transversa'!X99</f>
        <v>Vacaciones recreativas realizadas</v>
      </c>
      <c r="H116" s="1346"/>
      <c r="I116" s="177"/>
      <c r="J116" s="1289"/>
      <c r="K116" s="1292"/>
      <c r="L116" s="1292"/>
      <c r="M116" s="1292"/>
      <c r="N116" s="1292"/>
      <c r="O116" s="1292"/>
      <c r="P116" s="216"/>
      <c r="Q116" s="1289"/>
      <c r="R116" s="1292"/>
      <c r="S116" s="1292"/>
      <c r="T116" s="1292"/>
      <c r="U116" s="1292"/>
      <c r="V116" s="1295"/>
      <c r="W116" s="216"/>
      <c r="X116" s="1289"/>
      <c r="Y116" s="1292"/>
      <c r="Z116" s="1292"/>
      <c r="AA116" s="1298"/>
      <c r="AB116" s="1298"/>
      <c r="AC116" s="1301"/>
      <c r="AD116" s="216"/>
      <c r="AE116" s="1289"/>
      <c r="AF116" s="1292"/>
      <c r="AG116" s="1292"/>
      <c r="AH116" s="1292"/>
      <c r="AI116" s="1295"/>
      <c r="AJ116" s="252"/>
      <c r="AK116" s="237"/>
      <c r="AL116" s="251"/>
      <c r="AM116" s="250"/>
      <c r="AN116" s="236"/>
      <c r="AO116" s="251"/>
      <c r="AP116" s="250"/>
      <c r="AQ116" s="236"/>
      <c r="AR116" s="251"/>
      <c r="AS116" s="250"/>
      <c r="AT116" s="236"/>
      <c r="AU116" s="251"/>
      <c r="AV116" s="250"/>
      <c r="AW116" s="236"/>
      <c r="AX116" s="249"/>
      <c r="AY116" s="236"/>
      <c r="AZ116" s="251"/>
      <c r="BA116" s="250"/>
      <c r="BB116" s="236"/>
      <c r="BC116" s="251"/>
      <c r="BD116" s="250"/>
      <c r="BE116" s="236"/>
      <c r="BF116" s="251"/>
      <c r="BG116" s="250"/>
      <c r="BH116" s="236"/>
      <c r="BI116" s="251"/>
      <c r="BJ116" s="250"/>
      <c r="BK116" s="236"/>
      <c r="BL116" s="249"/>
      <c r="BN116" s="251"/>
      <c r="BO116" s="250"/>
      <c r="BP116" s="236"/>
      <c r="BQ116" s="251"/>
      <c r="BR116" s="250"/>
      <c r="BS116" s="236"/>
      <c r="BT116" s="251"/>
      <c r="BU116" s="250"/>
      <c r="BV116" s="236"/>
      <c r="BW116" s="251"/>
      <c r="BX116" s="250"/>
      <c r="BY116" s="236"/>
      <c r="BZ116" s="249"/>
      <c r="CB116" s="251"/>
      <c r="CC116" s="250"/>
      <c r="CD116" s="236"/>
      <c r="CE116" s="251"/>
      <c r="CF116" s="250"/>
      <c r="CG116" s="236"/>
      <c r="CH116" s="251"/>
      <c r="CI116" s="250"/>
      <c r="CJ116" s="236"/>
      <c r="CK116" s="251"/>
      <c r="CL116" s="250"/>
      <c r="CM116" s="236"/>
      <c r="CN116" s="249"/>
    </row>
    <row r="117" spans="2:92" s="176" customFormat="1" ht="29.25" thickBot="1" x14ac:dyDescent="0.25">
      <c r="B117" s="1362"/>
      <c r="C117" s="1314"/>
      <c r="D117" s="1352"/>
      <c r="E117" s="1322"/>
      <c r="F117" s="1365"/>
      <c r="G117" s="322" t="str">
        <f>+'Plan de Accion apoyo transversa'!X114</f>
        <v>Medición del clima laboral realizada</v>
      </c>
      <c r="H117" s="1346"/>
      <c r="I117" s="177"/>
      <c r="J117" s="217" t="e">
        <f>+'Plan de Accion apoyo transversa'!AW114</f>
        <v>#DIV/0!</v>
      </c>
      <c r="K117" s="483" t="str">
        <f>+'Plan de Accion apoyo transversa'!CF114</f>
        <v>No Prog ni Ejec</v>
      </c>
      <c r="L117" s="483" t="s">
        <v>204</v>
      </c>
      <c r="M117" s="659" t="s">
        <v>204</v>
      </c>
      <c r="N117" s="659" t="s">
        <v>204</v>
      </c>
      <c r="O117" s="483" t="s">
        <v>204</v>
      </c>
      <c r="P117" s="216"/>
      <c r="Q117" s="217" t="e">
        <f>+'Plan de Accion apoyo transversa'!BG114</f>
        <v>#DIV/0!</v>
      </c>
      <c r="R117" s="253" t="str">
        <f>+'Plan de Accion apoyo transversa'!CH114</f>
        <v>No Prog ni Ejec</v>
      </c>
      <c r="S117" s="215" t="s">
        <v>204</v>
      </c>
      <c r="T117" s="311" t="s">
        <v>204</v>
      </c>
      <c r="U117" s="311" t="s">
        <v>204</v>
      </c>
      <c r="V117" s="214" t="s">
        <v>204</v>
      </c>
      <c r="W117" s="216"/>
      <c r="X117" s="217" t="e">
        <f>+'Plan de Accion apoyo transversa'!BQ114</f>
        <v>#DIV/0!</v>
      </c>
      <c r="Y117" s="253" t="s">
        <v>180</v>
      </c>
      <c r="Z117" s="215" t="s">
        <v>204</v>
      </c>
      <c r="AA117" s="220" t="s">
        <v>204</v>
      </c>
      <c r="AB117" s="220" t="s">
        <v>204</v>
      </c>
      <c r="AC117" s="309" t="s">
        <v>204</v>
      </c>
      <c r="AD117" s="216"/>
      <c r="AE117" s="217" t="e">
        <f>+'Plan de Accion apoyo transversa'!CA114</f>
        <v>#DIV/0!</v>
      </c>
      <c r="AF117" s="253" t="str">
        <f>+'Plan de Accion apoyo transversa'!CL114</f>
        <v>No Prog ni Ejec</v>
      </c>
      <c r="AG117" s="215" t="s">
        <v>204</v>
      </c>
      <c r="AH117" s="253" t="s">
        <v>204</v>
      </c>
      <c r="AI117" s="214" t="s">
        <v>204</v>
      </c>
      <c r="AJ117" s="252"/>
      <c r="AK117" s="237"/>
      <c r="AL117" s="251"/>
      <c r="AM117" s="250"/>
      <c r="AN117" s="236"/>
      <c r="AO117" s="251"/>
      <c r="AP117" s="250"/>
      <c r="AQ117" s="236"/>
      <c r="AR117" s="251"/>
      <c r="AS117" s="250"/>
      <c r="AT117" s="236"/>
      <c r="AU117" s="251"/>
      <c r="AV117" s="250"/>
      <c r="AW117" s="236"/>
      <c r="AX117" s="249"/>
      <c r="AY117" s="236"/>
      <c r="AZ117" s="251"/>
      <c r="BA117" s="250"/>
      <c r="BB117" s="236"/>
      <c r="BC117" s="251"/>
      <c r="BD117" s="250"/>
      <c r="BE117" s="236"/>
      <c r="BF117" s="251"/>
      <c r="BG117" s="250"/>
      <c r="BH117" s="236"/>
      <c r="BI117" s="251"/>
      <c r="BJ117" s="250"/>
      <c r="BK117" s="236"/>
      <c r="BL117" s="249"/>
      <c r="BN117" s="251"/>
      <c r="BO117" s="250"/>
      <c r="BP117" s="236"/>
      <c r="BQ117" s="251"/>
      <c r="BR117" s="250"/>
      <c r="BS117" s="236"/>
      <c r="BT117" s="251"/>
      <c r="BU117" s="250"/>
      <c r="BV117" s="236"/>
      <c r="BW117" s="251"/>
      <c r="BX117" s="250"/>
      <c r="BY117" s="236"/>
      <c r="BZ117" s="249"/>
      <c r="CB117" s="251"/>
      <c r="CC117" s="250"/>
      <c r="CD117" s="236"/>
      <c r="CE117" s="251"/>
      <c r="CF117" s="250"/>
      <c r="CG117" s="236"/>
      <c r="CH117" s="251"/>
      <c r="CI117" s="250"/>
      <c r="CJ117" s="236"/>
      <c r="CK117" s="251"/>
      <c r="CL117" s="250"/>
      <c r="CM117" s="236"/>
      <c r="CN117" s="249"/>
    </row>
    <row r="118" spans="2:92" s="176" customFormat="1" ht="29.25" thickBot="1" x14ac:dyDescent="0.25">
      <c r="B118" s="1362"/>
      <c r="C118" s="1314"/>
      <c r="D118" s="1352"/>
      <c r="E118" s="1322"/>
      <c r="F118" s="1365"/>
      <c r="G118" s="322" t="str">
        <f>+'Plan de Accion apoyo transversa'!X115</f>
        <v>Jornada de salud sobre: Salud visual realizada</v>
      </c>
      <c r="H118" s="1346"/>
      <c r="I118" s="177"/>
      <c r="J118" s="217" t="e">
        <f>+'Plan de Accion apoyo transversa'!AW115</f>
        <v>#DIV/0!</v>
      </c>
      <c r="K118" s="483" t="str">
        <f>+'Plan de Accion apoyo transversa'!CF115</f>
        <v>No Prog ni Ejec</v>
      </c>
      <c r="L118" s="483" t="s">
        <v>204</v>
      </c>
      <c r="M118" s="483">
        <f>+'Plan de Accion apoyo transversa'!AY115</f>
        <v>0</v>
      </c>
      <c r="N118" s="483">
        <f t="shared" si="49"/>
        <v>0</v>
      </c>
      <c r="O118" s="483" t="s">
        <v>204</v>
      </c>
      <c r="P118" s="216"/>
      <c r="Q118" s="217" t="s">
        <v>204</v>
      </c>
      <c r="R118" s="253" t="s">
        <v>180</v>
      </c>
      <c r="S118" s="215" t="s">
        <v>204</v>
      </c>
      <c r="T118" s="311" t="s">
        <v>204</v>
      </c>
      <c r="U118" s="311" t="s">
        <v>204</v>
      </c>
      <c r="V118" s="214" t="str">
        <f t="shared" si="57"/>
        <v>N.A</v>
      </c>
      <c r="W118" s="216"/>
      <c r="X118" s="217" t="s">
        <v>204</v>
      </c>
      <c r="Y118" s="253" t="str">
        <f>+'Plan de Accion apoyo transversa'!CJ115</f>
        <v>No Prog ni Ejec</v>
      </c>
      <c r="Z118" s="215" t="s">
        <v>204</v>
      </c>
      <c r="AA118" s="220" t="s">
        <v>204</v>
      </c>
      <c r="AB118" s="220" t="s">
        <v>204</v>
      </c>
      <c r="AC118" s="309" t="str">
        <f t="shared" ref="AC118" si="58">+AB118</f>
        <v>N.A</v>
      </c>
      <c r="AD118" s="216"/>
      <c r="AE118" s="217" t="s">
        <v>204</v>
      </c>
      <c r="AF118" s="253" t="s">
        <v>180</v>
      </c>
      <c r="AG118" s="215" t="s">
        <v>204</v>
      </c>
      <c r="AH118" s="253" t="s">
        <v>204</v>
      </c>
      <c r="AI118" s="214" t="s">
        <v>204</v>
      </c>
      <c r="AJ118" s="252"/>
      <c r="AK118" s="237"/>
      <c r="AL118" s="251"/>
      <c r="AM118" s="250"/>
      <c r="AN118" s="236"/>
      <c r="AO118" s="251"/>
      <c r="AP118" s="250"/>
      <c r="AQ118" s="236"/>
      <c r="AR118" s="251"/>
      <c r="AS118" s="250"/>
      <c r="AT118" s="236"/>
      <c r="AU118" s="251"/>
      <c r="AV118" s="250"/>
      <c r="AW118" s="236"/>
      <c r="AX118" s="249"/>
      <c r="AY118" s="236"/>
      <c r="AZ118" s="251"/>
      <c r="BA118" s="250"/>
      <c r="BB118" s="236"/>
      <c r="BC118" s="251"/>
      <c r="BD118" s="250"/>
      <c r="BE118" s="236"/>
      <c r="BF118" s="251"/>
      <c r="BG118" s="250"/>
      <c r="BH118" s="236"/>
      <c r="BI118" s="251"/>
      <c r="BJ118" s="250"/>
      <c r="BK118" s="236"/>
      <c r="BL118" s="249"/>
      <c r="BN118" s="251"/>
      <c r="BO118" s="250"/>
      <c r="BP118" s="236"/>
      <c r="BQ118" s="251"/>
      <c r="BR118" s="250"/>
      <c r="BS118" s="236"/>
      <c r="BT118" s="251"/>
      <c r="BU118" s="250"/>
      <c r="BV118" s="236"/>
      <c r="BW118" s="251"/>
      <c r="BX118" s="250"/>
      <c r="BY118" s="236"/>
      <c r="BZ118" s="249"/>
      <c r="CB118" s="251"/>
      <c r="CC118" s="250"/>
      <c r="CD118" s="236"/>
      <c r="CE118" s="251"/>
      <c r="CF118" s="250"/>
      <c r="CG118" s="236"/>
      <c r="CH118" s="251"/>
      <c r="CI118" s="250"/>
      <c r="CJ118" s="236"/>
      <c r="CK118" s="251"/>
      <c r="CL118" s="250"/>
      <c r="CM118" s="236"/>
      <c r="CN118" s="249"/>
    </row>
    <row r="119" spans="2:92" s="176" customFormat="1" ht="33.75" customHeight="1" thickBot="1" x14ac:dyDescent="0.25">
      <c r="B119" s="1362"/>
      <c r="C119" s="1314"/>
      <c r="D119" s="1352"/>
      <c r="E119" s="1322"/>
      <c r="F119" s="1365"/>
      <c r="G119" s="322" t="str">
        <f>+'Plan de Accion apoyo transversa'!X116</f>
        <v>Jornada de salud sobre: Salud Oral realizada</v>
      </c>
      <c r="H119" s="1346"/>
      <c r="I119" s="177"/>
      <c r="J119" s="217" t="e">
        <f>+'Plan de Accion apoyo transversa'!AW116</f>
        <v>#DIV/0!</v>
      </c>
      <c r="K119" s="483" t="str">
        <f>+'Plan de Accion apoyo transversa'!CF116</f>
        <v>No Prog ni Ejec</v>
      </c>
      <c r="L119" s="483" t="s">
        <v>204</v>
      </c>
      <c r="M119" s="483">
        <f>+'Plan de Accion apoyo transversa'!AY116</f>
        <v>0</v>
      </c>
      <c r="N119" s="483">
        <f t="shared" si="49"/>
        <v>0</v>
      </c>
      <c r="O119" s="483" t="s">
        <v>204</v>
      </c>
      <c r="P119" s="216"/>
      <c r="Q119" s="217" t="s">
        <v>204</v>
      </c>
      <c r="R119" s="253" t="s">
        <v>180</v>
      </c>
      <c r="S119" s="215" t="s">
        <v>204</v>
      </c>
      <c r="T119" s="552" t="s">
        <v>204</v>
      </c>
      <c r="U119" s="552" t="s">
        <v>204</v>
      </c>
      <c r="V119" s="214" t="str">
        <f t="shared" ref="V119" si="59">+U119</f>
        <v>N.A</v>
      </c>
      <c r="W119" s="216"/>
      <c r="X119" s="217" t="s">
        <v>204</v>
      </c>
      <c r="Y119" s="253" t="str">
        <f>+'Plan de Accion apoyo transversa'!CJ116</f>
        <v>No Prog ni Ejec</v>
      </c>
      <c r="Z119" s="215" t="s">
        <v>204</v>
      </c>
      <c r="AA119" s="220" t="s">
        <v>204</v>
      </c>
      <c r="AB119" s="220" t="s">
        <v>204</v>
      </c>
      <c r="AC119" s="556" t="str">
        <f t="shared" ref="AC119" si="60">+AB119</f>
        <v>N.A</v>
      </c>
      <c r="AD119" s="216"/>
      <c r="AE119" s="217" t="s">
        <v>204</v>
      </c>
      <c r="AF119" s="253" t="s">
        <v>180</v>
      </c>
      <c r="AG119" s="215" t="s">
        <v>204</v>
      </c>
      <c r="AH119" s="253" t="s">
        <v>204</v>
      </c>
      <c r="AI119" s="214" t="s">
        <v>204</v>
      </c>
      <c r="AJ119" s="252"/>
      <c r="AK119" s="237"/>
      <c r="AL119" s="251"/>
      <c r="AM119" s="250"/>
      <c r="AN119" s="236"/>
      <c r="AO119" s="251"/>
      <c r="AP119" s="250"/>
      <c r="AQ119" s="236"/>
      <c r="AR119" s="251"/>
      <c r="AS119" s="250"/>
      <c r="AT119" s="236"/>
      <c r="AU119" s="251"/>
      <c r="AV119" s="250"/>
      <c r="AW119" s="236"/>
      <c r="AX119" s="249"/>
      <c r="AY119" s="236"/>
      <c r="AZ119" s="251"/>
      <c r="BA119" s="250"/>
      <c r="BB119" s="236"/>
      <c r="BC119" s="251"/>
      <c r="BD119" s="250"/>
      <c r="BE119" s="236"/>
      <c r="BF119" s="251"/>
      <c r="BG119" s="250"/>
      <c r="BH119" s="236"/>
      <c r="BI119" s="251"/>
      <c r="BJ119" s="250"/>
      <c r="BK119" s="236"/>
      <c r="BL119" s="249"/>
      <c r="BN119" s="251"/>
      <c r="BO119" s="250"/>
      <c r="BP119" s="236"/>
      <c r="BQ119" s="251"/>
      <c r="BR119" s="250"/>
      <c r="BS119" s="236"/>
      <c r="BT119" s="251"/>
      <c r="BU119" s="250"/>
      <c r="BV119" s="236"/>
      <c r="BW119" s="251"/>
      <c r="BX119" s="250"/>
      <c r="BY119" s="236"/>
      <c r="BZ119" s="249"/>
      <c r="CB119" s="251"/>
      <c r="CC119" s="250"/>
      <c r="CD119" s="236"/>
      <c r="CE119" s="251"/>
      <c r="CF119" s="250"/>
      <c r="CG119" s="236"/>
      <c r="CH119" s="251"/>
      <c r="CI119" s="250"/>
      <c r="CJ119" s="236"/>
      <c r="CK119" s="251"/>
      <c r="CL119" s="250"/>
      <c r="CM119" s="236"/>
      <c r="CN119" s="249"/>
    </row>
    <row r="120" spans="2:92" s="176" customFormat="1" ht="43.5" thickBot="1" x14ac:dyDescent="0.25">
      <c r="B120" s="1362"/>
      <c r="C120" s="1314"/>
      <c r="D120" s="1352"/>
      <c r="E120" s="1322"/>
      <c r="F120" s="1365"/>
      <c r="G120" s="322" t="str">
        <f>+'Plan de Accion apoyo transversa'!X117</f>
        <v>Jornada de salud sobre: Prevención del cáncer realizada</v>
      </c>
      <c r="H120" s="1346"/>
      <c r="I120" s="177"/>
      <c r="J120" s="217" t="e">
        <f>+'Plan de Accion apoyo transversa'!AW117</f>
        <v>#DIV/0!</v>
      </c>
      <c r="K120" s="483" t="str">
        <f>+'Plan de Accion apoyo transversa'!CF117</f>
        <v>No Prog ni Ejec</v>
      </c>
      <c r="L120" s="483" t="s">
        <v>204</v>
      </c>
      <c r="M120" s="483">
        <f>+'Plan de Accion apoyo transversa'!AY117</f>
        <v>0</v>
      </c>
      <c r="N120" s="483">
        <f t="shared" si="49"/>
        <v>0</v>
      </c>
      <c r="O120" s="483" t="s">
        <v>204</v>
      </c>
      <c r="P120" s="216"/>
      <c r="Q120" s="217" t="s">
        <v>204</v>
      </c>
      <c r="R120" s="253" t="s">
        <v>180</v>
      </c>
      <c r="S120" s="215" t="s">
        <v>204</v>
      </c>
      <c r="T120" s="552" t="s">
        <v>204</v>
      </c>
      <c r="U120" s="552" t="s">
        <v>204</v>
      </c>
      <c r="V120" s="214" t="str">
        <f t="shared" ref="V120" si="61">+U120</f>
        <v>N.A</v>
      </c>
      <c r="W120" s="216"/>
      <c r="X120" s="217" t="s">
        <v>204</v>
      </c>
      <c r="Y120" s="253" t="str">
        <f>+'Plan de Accion apoyo transversa'!CJ117</f>
        <v>No Prog ni Ejec</v>
      </c>
      <c r="Z120" s="215" t="s">
        <v>204</v>
      </c>
      <c r="AA120" s="220" t="s">
        <v>204</v>
      </c>
      <c r="AB120" s="220" t="s">
        <v>204</v>
      </c>
      <c r="AC120" s="556" t="str">
        <f t="shared" ref="AC120" si="62">+AB120</f>
        <v>N.A</v>
      </c>
      <c r="AD120" s="216"/>
      <c r="AE120" s="217" t="s">
        <v>204</v>
      </c>
      <c r="AF120" s="253" t="s">
        <v>180</v>
      </c>
      <c r="AG120" s="215" t="s">
        <v>204</v>
      </c>
      <c r="AH120" s="253" t="s">
        <v>204</v>
      </c>
      <c r="AI120" s="214" t="s">
        <v>204</v>
      </c>
      <c r="AJ120" s="252"/>
      <c r="AK120" s="237"/>
      <c r="AL120" s="251"/>
      <c r="AM120" s="250"/>
      <c r="AN120" s="236"/>
      <c r="AO120" s="251"/>
      <c r="AP120" s="250"/>
      <c r="AQ120" s="236"/>
      <c r="AR120" s="251"/>
      <c r="AS120" s="250"/>
      <c r="AT120" s="236"/>
      <c r="AU120" s="251"/>
      <c r="AV120" s="250"/>
      <c r="AW120" s="236"/>
      <c r="AX120" s="249"/>
      <c r="AY120" s="236"/>
      <c r="AZ120" s="251"/>
      <c r="BA120" s="250"/>
      <c r="BB120" s="236"/>
      <c r="BC120" s="251"/>
      <c r="BD120" s="250"/>
      <c r="BE120" s="236"/>
      <c r="BF120" s="251"/>
      <c r="BG120" s="250"/>
      <c r="BH120" s="236"/>
      <c r="BI120" s="251"/>
      <c r="BJ120" s="250"/>
      <c r="BK120" s="236"/>
      <c r="BL120" s="249"/>
      <c r="BN120" s="251"/>
      <c r="BO120" s="250"/>
      <c r="BP120" s="236"/>
      <c r="BQ120" s="251"/>
      <c r="BR120" s="250"/>
      <c r="BS120" s="236"/>
      <c r="BT120" s="251"/>
      <c r="BU120" s="250"/>
      <c r="BV120" s="236"/>
      <c r="BW120" s="251"/>
      <c r="BX120" s="250"/>
      <c r="BY120" s="236"/>
      <c r="BZ120" s="249"/>
      <c r="CB120" s="251"/>
      <c r="CC120" s="250"/>
      <c r="CD120" s="236"/>
      <c r="CE120" s="251"/>
      <c r="CF120" s="250"/>
      <c r="CG120" s="236"/>
      <c r="CH120" s="251"/>
      <c r="CI120" s="250"/>
      <c r="CJ120" s="236"/>
      <c r="CK120" s="251"/>
      <c r="CL120" s="250"/>
      <c r="CM120" s="236"/>
      <c r="CN120" s="249"/>
    </row>
    <row r="121" spans="2:92" s="176" customFormat="1" ht="57.75" thickBot="1" x14ac:dyDescent="0.25">
      <c r="B121" s="1362"/>
      <c r="C121" s="1314"/>
      <c r="D121" s="1352"/>
      <c r="E121" s="1322"/>
      <c r="F121" s="879"/>
      <c r="G121" s="322" t="str">
        <f>+'Plan de Accion apoyo transversa'!X122</f>
        <v>Gestión de Servicio al ciudadano de la entidad  por los diferentes canales  de atención.</v>
      </c>
      <c r="H121" s="1346"/>
      <c r="I121" s="177"/>
      <c r="J121" s="217">
        <f>+'Plan de Accion apoyo transversa'!AW122</f>
        <v>0.70647303946179063</v>
      </c>
      <c r="K121" s="483">
        <f>+'Plan de Accion apoyo transversa'!CF122</f>
        <v>0.70647303946179063</v>
      </c>
      <c r="L121" s="483">
        <f>IF(K121&gt;100%,100%,K121)</f>
        <v>0.70647303946179063</v>
      </c>
      <c r="M121" s="483">
        <f>+'Plan de Accion apoyo transversa'!AY122</f>
        <v>0.17661825986544766</v>
      </c>
      <c r="N121" s="483">
        <f t="shared" si="49"/>
        <v>0.17661825986544766</v>
      </c>
      <c r="O121" s="483">
        <f t="shared" ref="O121:O126" si="63">+N121</f>
        <v>0.17661825986544766</v>
      </c>
      <c r="P121" s="216"/>
      <c r="Q121" s="217">
        <f>+'Plan de Accion apoyo transversa'!BG122</f>
        <v>1.0596902388003862</v>
      </c>
      <c r="R121" s="253">
        <f>+'Plan de Accion apoyo transversa'!CH122</f>
        <v>1.0596902388003862</v>
      </c>
      <c r="S121" s="215">
        <f>IF(R121&gt;100%,100%,R121)</f>
        <v>1</v>
      </c>
      <c r="T121" s="311">
        <f>+'Plan de Accion apoyo transversa'!BI122</f>
        <v>0.4415408195655442</v>
      </c>
      <c r="U121" s="311">
        <f t="shared" si="50"/>
        <v>0.4415408195655442</v>
      </c>
      <c r="V121" s="214">
        <f t="shared" si="57"/>
        <v>0.4415408195655442</v>
      </c>
      <c r="W121" s="216">
        <v>1</v>
      </c>
      <c r="X121" s="217">
        <f>+'Plan de Accion apoyo transversa'!BQ122</f>
        <v>1.0597292750084875</v>
      </c>
      <c r="Y121" s="253">
        <f>+'Plan de Accion apoyo transversa'!CJ122</f>
        <v>1.0597292750084875</v>
      </c>
      <c r="Z121" s="215">
        <f t="shared" ref="Z121:Z138" si="64">IF(Y121&gt;100%,100%,Y121)</f>
        <v>1</v>
      </c>
      <c r="AA121" s="220">
        <f>+'Plan de Accion apoyo transversa'!BS122</f>
        <v>0.70647313831766612</v>
      </c>
      <c r="AB121" s="220">
        <f t="shared" si="51"/>
        <v>0.70647313831766612</v>
      </c>
      <c r="AC121" s="309">
        <f t="shared" ref="AC121:AC131" si="65">+AB121</f>
        <v>0.70647313831766612</v>
      </c>
      <c r="AD121" s="216">
        <v>1</v>
      </c>
      <c r="AE121" s="217">
        <f>+'Plan de Accion apoyo transversa'!CA122</f>
        <v>0</v>
      </c>
      <c r="AF121" s="253">
        <f>+'Plan de Accion apoyo transversa'!CL122</f>
        <v>0</v>
      </c>
      <c r="AG121" s="215">
        <f t="shared" ref="AG121:AG129" si="66">IF(AF121&gt;100%,100%,AF121)</f>
        <v>0</v>
      </c>
      <c r="AH121" s="253">
        <f>+'Plan de Accion apoyo transversa'!CC122</f>
        <v>0.70647313831766612</v>
      </c>
      <c r="AI121" s="214">
        <f t="shared" si="52"/>
        <v>0.70647313831766612</v>
      </c>
      <c r="AJ121" s="252"/>
      <c r="AK121" s="237"/>
      <c r="AL121" s="251"/>
      <c r="AM121" s="250"/>
      <c r="AN121" s="236"/>
      <c r="AO121" s="251"/>
      <c r="AP121" s="250"/>
      <c r="AQ121" s="236"/>
      <c r="AR121" s="251"/>
      <c r="AS121" s="250"/>
      <c r="AT121" s="236"/>
      <c r="AU121" s="251"/>
      <c r="AV121" s="250"/>
      <c r="AW121" s="236"/>
      <c r="AX121" s="249"/>
      <c r="AY121" s="236"/>
      <c r="AZ121" s="251"/>
      <c r="BA121" s="250"/>
      <c r="BB121" s="236"/>
      <c r="BC121" s="251"/>
      <c r="BD121" s="250"/>
      <c r="BE121" s="236"/>
      <c r="BF121" s="251"/>
      <c r="BG121" s="250"/>
      <c r="BH121" s="236"/>
      <c r="BI121" s="251"/>
      <c r="BJ121" s="250"/>
      <c r="BK121" s="236"/>
      <c r="BL121" s="249"/>
      <c r="BN121" s="251"/>
      <c r="BO121" s="250"/>
      <c r="BP121" s="236"/>
      <c r="BQ121" s="251"/>
      <c r="BR121" s="250"/>
      <c r="BS121" s="236"/>
      <c r="BT121" s="251"/>
      <c r="BU121" s="250"/>
      <c r="BV121" s="236"/>
      <c r="BW121" s="251"/>
      <c r="BX121" s="250"/>
      <c r="BY121" s="236"/>
      <c r="BZ121" s="249"/>
      <c r="CB121" s="251"/>
      <c r="CC121" s="250"/>
      <c r="CD121" s="236"/>
      <c r="CE121" s="251"/>
      <c r="CF121" s="250"/>
      <c r="CG121" s="236"/>
      <c r="CH121" s="251"/>
      <c r="CI121" s="250"/>
      <c r="CJ121" s="236"/>
      <c r="CK121" s="251"/>
      <c r="CL121" s="250"/>
      <c r="CM121" s="236"/>
      <c r="CN121" s="249"/>
    </row>
    <row r="122" spans="2:92" s="176" customFormat="1" ht="57.75" customHeight="1" thickBot="1" x14ac:dyDescent="0.25">
      <c r="B122" s="1362"/>
      <c r="C122" s="1314"/>
      <c r="D122" s="1353"/>
      <c r="E122" s="1322"/>
      <c r="F122" s="656" t="s">
        <v>992</v>
      </c>
      <c r="G122" s="322" t="str">
        <f>+'Plan de Accion apoyo transversa'!X174</f>
        <v>Contratos suscritos</v>
      </c>
      <c r="H122" s="1346"/>
      <c r="I122" s="177"/>
      <c r="J122" s="217">
        <f>+'Plan de Accion apoyo transversa'!AW174</f>
        <v>1.3061820715783481</v>
      </c>
      <c r="K122" s="483">
        <f>+'Plan de Accion apoyo transversa'!CF174</f>
        <v>1.3061820715783481</v>
      </c>
      <c r="L122" s="483">
        <f>IF(K122&gt;100%,100%,K122)</f>
        <v>1</v>
      </c>
      <c r="M122" s="483">
        <f>+'Plan de Accion apoyo transversa'!AY174</f>
        <v>1.3061820715783481</v>
      </c>
      <c r="N122" s="483">
        <f t="shared" si="49"/>
        <v>1</v>
      </c>
      <c r="O122" s="483">
        <f t="shared" si="63"/>
        <v>1</v>
      </c>
      <c r="P122" s="216"/>
      <c r="Q122" s="217" t="e">
        <f>+'Plan de Accion apoyo transversa'!BG174</f>
        <v>#DIV/0!</v>
      </c>
      <c r="R122" s="253" t="s">
        <v>180</v>
      </c>
      <c r="S122" s="215" t="s">
        <v>204</v>
      </c>
      <c r="T122" s="311">
        <f>+'Plan de Accion apoyo transversa'!BI174</f>
        <v>1.3061820715783481</v>
      </c>
      <c r="U122" s="311">
        <f t="shared" si="50"/>
        <v>1</v>
      </c>
      <c r="V122" s="214">
        <f t="shared" si="57"/>
        <v>1</v>
      </c>
      <c r="W122" s="216"/>
      <c r="X122" s="217" t="e">
        <f>+'Plan de Accion apoyo transversa'!BQ174</f>
        <v>#DIV/0!</v>
      </c>
      <c r="Y122" s="253" t="s">
        <v>180</v>
      </c>
      <c r="Z122" s="215" t="s">
        <v>204</v>
      </c>
      <c r="AA122" s="220">
        <f>+'Plan de Accion apoyo transversa'!BS174</f>
        <v>1.3061820715783481</v>
      </c>
      <c r="AB122" s="220">
        <f t="shared" si="51"/>
        <v>1</v>
      </c>
      <c r="AC122" s="309">
        <f t="shared" si="65"/>
        <v>1</v>
      </c>
      <c r="AD122" s="216"/>
      <c r="AE122" s="217" t="e">
        <f>+'Plan de Accion apoyo transversa'!CA174</f>
        <v>#DIV/0!</v>
      </c>
      <c r="AF122" s="253" t="s">
        <v>180</v>
      </c>
      <c r="AG122" s="215" t="s">
        <v>204</v>
      </c>
      <c r="AH122" s="253">
        <f>+'Plan de Accion apoyo transversa'!CC174</f>
        <v>1.3061820715783481</v>
      </c>
      <c r="AI122" s="214">
        <f t="shared" si="52"/>
        <v>1</v>
      </c>
      <c r="AJ122" s="252"/>
      <c r="AK122" s="237"/>
      <c r="AL122" s="251"/>
      <c r="AM122" s="250"/>
      <c r="AN122" s="236"/>
      <c r="AO122" s="251"/>
      <c r="AP122" s="250"/>
      <c r="AQ122" s="236"/>
      <c r="AR122" s="251"/>
      <c r="AS122" s="250"/>
      <c r="AT122" s="236"/>
      <c r="AU122" s="251"/>
      <c r="AV122" s="250"/>
      <c r="AW122" s="236"/>
      <c r="AX122" s="249"/>
      <c r="AY122" s="236"/>
      <c r="AZ122" s="251"/>
      <c r="BA122" s="250"/>
      <c r="BB122" s="236"/>
      <c r="BC122" s="251"/>
      <c r="BD122" s="250"/>
      <c r="BE122" s="236"/>
      <c r="BF122" s="251"/>
      <c r="BG122" s="250"/>
      <c r="BH122" s="236"/>
      <c r="BI122" s="251"/>
      <c r="BJ122" s="250"/>
      <c r="BK122" s="236"/>
      <c r="BL122" s="249"/>
      <c r="BN122" s="251"/>
      <c r="BO122" s="250"/>
      <c r="BP122" s="236"/>
      <c r="BQ122" s="251"/>
      <c r="BR122" s="250"/>
      <c r="BS122" s="236"/>
      <c r="BT122" s="251"/>
      <c r="BU122" s="250"/>
      <c r="BV122" s="236"/>
      <c r="BW122" s="251"/>
      <c r="BX122" s="250"/>
      <c r="BY122" s="236"/>
      <c r="BZ122" s="249"/>
      <c r="CB122" s="251"/>
      <c r="CC122" s="250"/>
      <c r="CD122" s="236"/>
      <c r="CE122" s="251"/>
      <c r="CF122" s="250"/>
      <c r="CG122" s="236"/>
      <c r="CH122" s="251"/>
      <c r="CI122" s="250"/>
      <c r="CJ122" s="236"/>
      <c r="CK122" s="251"/>
      <c r="CL122" s="250"/>
      <c r="CM122" s="236"/>
      <c r="CN122" s="249"/>
    </row>
    <row r="123" spans="2:92" s="176" customFormat="1" ht="57.75" customHeight="1" thickBot="1" x14ac:dyDescent="0.25">
      <c r="B123" s="1362"/>
      <c r="C123" s="1314"/>
      <c r="D123" s="1351" t="s">
        <v>204</v>
      </c>
      <c r="E123" s="1351" t="s">
        <v>231</v>
      </c>
      <c r="F123" s="965" t="s">
        <v>336</v>
      </c>
      <c r="G123" s="966" t="str">
        <f>+'Plan de Accion apoyo transversa'!X19</f>
        <v>SARLAFT implementado</v>
      </c>
      <c r="H123" s="1346"/>
      <c r="I123" s="177"/>
      <c r="J123" s="217" t="e">
        <f>+'Plan de Accion apoyo transversa'!AW19</f>
        <v>#DIV/0!</v>
      </c>
      <c r="K123" s="971" t="str">
        <f>+'Plan de Accion apoyo transversa'!CF19</f>
        <v>No Prog ni Ejec</v>
      </c>
      <c r="L123" s="971" t="s">
        <v>204</v>
      </c>
      <c r="M123" s="971">
        <f>+'Plan de Accion apoyo transversa'!AY19</f>
        <v>0</v>
      </c>
      <c r="N123" s="971">
        <f t="shared" ref="N123" si="67">IF(M123&gt;100%,100%,M123)</f>
        <v>0</v>
      </c>
      <c r="O123" s="971" t="s">
        <v>204</v>
      </c>
      <c r="P123" s="216"/>
      <c r="Q123" s="217" t="e">
        <f>+'Plan de Accion apoyo transversa'!BG19</f>
        <v>#DIV/0!</v>
      </c>
      <c r="R123" s="253" t="s">
        <v>180</v>
      </c>
      <c r="S123" s="215" t="s">
        <v>204</v>
      </c>
      <c r="T123" s="971">
        <f>+'Plan de Accion apoyo transversa'!BI19</f>
        <v>0</v>
      </c>
      <c r="U123" s="971">
        <f t="shared" ref="U123" si="68">IF(T123&gt;100%,100%,T123)</f>
        <v>0</v>
      </c>
      <c r="V123" s="214" t="s">
        <v>204</v>
      </c>
      <c r="W123" s="216"/>
      <c r="X123" s="217">
        <f>+'Plan de Accion apoyo transversa'!BQ19</f>
        <v>1</v>
      </c>
      <c r="Y123" s="253">
        <f>+'Plan de Accion apoyo transversa'!CJ19</f>
        <v>1</v>
      </c>
      <c r="Z123" s="215">
        <f t="shared" si="64"/>
        <v>1</v>
      </c>
      <c r="AA123" s="220">
        <f>+'Plan de Accion apoyo transversa'!BS19</f>
        <v>0.5</v>
      </c>
      <c r="AB123" s="220">
        <f t="shared" ref="AB123" si="69">IF(AA123&gt;100%,100%,AA123)</f>
        <v>0.5</v>
      </c>
      <c r="AC123" s="972">
        <f t="shared" ref="AC123" si="70">+AB123</f>
        <v>0.5</v>
      </c>
      <c r="AD123" s="216"/>
      <c r="AE123" s="217">
        <f>+'Plan de Accion apoyo transversa'!CA19</f>
        <v>0</v>
      </c>
      <c r="AF123" s="253">
        <f>+'Plan de Accion apoyo transversa'!CL19</f>
        <v>0</v>
      </c>
      <c r="AG123" s="215">
        <f t="shared" ref="AG123:AG125" si="71">IF(AF123&gt;100%,100%,AF123)</f>
        <v>0</v>
      </c>
      <c r="AH123" s="253">
        <f>+'Plan de Accion apoyo transversa'!CC19</f>
        <v>0.5</v>
      </c>
      <c r="AI123" s="214">
        <f t="shared" ref="AI123" si="72">IF(AH123&gt;100%,100%,AH123)</f>
        <v>0.5</v>
      </c>
      <c r="AJ123" s="252"/>
      <c r="AK123" s="237"/>
      <c r="AL123" s="251"/>
      <c r="AM123" s="250"/>
      <c r="AN123" s="236"/>
      <c r="AO123" s="251"/>
      <c r="AP123" s="250"/>
      <c r="AQ123" s="236"/>
      <c r="AR123" s="251"/>
      <c r="AS123" s="250"/>
      <c r="AT123" s="236"/>
      <c r="AU123" s="251"/>
      <c r="AV123" s="250"/>
      <c r="AW123" s="236"/>
      <c r="AX123" s="249"/>
      <c r="AY123" s="236"/>
      <c r="AZ123" s="251"/>
      <c r="BA123" s="250"/>
      <c r="BB123" s="236"/>
      <c r="BC123" s="251"/>
      <c r="BD123" s="250"/>
      <c r="BE123" s="236"/>
      <c r="BF123" s="251"/>
      <c r="BG123" s="250"/>
      <c r="BH123" s="236"/>
      <c r="BI123" s="251"/>
      <c r="BJ123" s="250"/>
      <c r="BK123" s="236"/>
      <c r="BL123" s="249"/>
      <c r="BN123" s="251"/>
      <c r="BO123" s="250"/>
      <c r="BP123" s="236"/>
      <c r="BQ123" s="251"/>
      <c r="BR123" s="250"/>
      <c r="BS123" s="236"/>
      <c r="BT123" s="251"/>
      <c r="BU123" s="250"/>
      <c r="BV123" s="236"/>
      <c r="BW123" s="251"/>
      <c r="BX123" s="250"/>
      <c r="BY123" s="236"/>
      <c r="BZ123" s="249"/>
      <c r="CB123" s="251"/>
      <c r="CC123" s="250"/>
      <c r="CD123" s="236"/>
      <c r="CE123" s="251"/>
      <c r="CF123" s="250"/>
      <c r="CG123" s="236"/>
      <c r="CH123" s="251"/>
      <c r="CI123" s="250"/>
      <c r="CJ123" s="236"/>
      <c r="CK123" s="251"/>
      <c r="CL123" s="250"/>
      <c r="CM123" s="236"/>
      <c r="CN123" s="249"/>
    </row>
    <row r="124" spans="2:92" s="176" customFormat="1" ht="57.75" customHeight="1" thickBot="1" x14ac:dyDescent="0.25">
      <c r="B124" s="1362"/>
      <c r="C124" s="1314"/>
      <c r="D124" s="1352"/>
      <c r="E124" s="1352"/>
      <c r="F124" s="1351" t="s">
        <v>330</v>
      </c>
      <c r="G124" s="973" t="str">
        <f>+'Plan de Accion apoyo transversa'!X20</f>
        <v>Plan de Continuidad del negocio implementado</v>
      </c>
      <c r="H124" s="1346"/>
      <c r="I124" s="177"/>
      <c r="J124" s="217" t="e">
        <f>+'Plan de Accion apoyo transversa'!AW20</f>
        <v>#DIV/0!</v>
      </c>
      <c r="K124" s="971" t="str">
        <f>+'Plan de Accion apoyo transversa'!CF20</f>
        <v>No Prog ni Ejec</v>
      </c>
      <c r="L124" s="971" t="s">
        <v>204</v>
      </c>
      <c r="M124" s="971">
        <f>+'Plan de Accion apoyo transversa'!AY20</f>
        <v>0</v>
      </c>
      <c r="N124" s="971">
        <f t="shared" ref="N124:N125" si="73">IF(M124&gt;100%,100%,M124)</f>
        <v>0</v>
      </c>
      <c r="O124" s="971" t="s">
        <v>204</v>
      </c>
      <c r="P124" s="216"/>
      <c r="Q124" s="217" t="e">
        <f>+'Plan de Accion apoyo transversa'!BG20</f>
        <v>#DIV/0!</v>
      </c>
      <c r="R124" s="253" t="s">
        <v>180</v>
      </c>
      <c r="S124" s="215" t="s">
        <v>204</v>
      </c>
      <c r="T124" s="971">
        <f>+'Plan de Accion apoyo transversa'!BI20</f>
        <v>0</v>
      </c>
      <c r="U124" s="971">
        <f t="shared" ref="U124:U125" si="74">IF(T124&gt;100%,100%,T124)</f>
        <v>0</v>
      </c>
      <c r="V124" s="214" t="s">
        <v>204</v>
      </c>
      <c r="W124" s="216"/>
      <c r="X124" s="217">
        <f>+'Plan de Accion apoyo transversa'!BQ20</f>
        <v>1</v>
      </c>
      <c r="Y124" s="253">
        <f>+'Plan de Accion apoyo transversa'!CJ20</f>
        <v>1</v>
      </c>
      <c r="Z124" s="215">
        <f t="shared" si="64"/>
        <v>1</v>
      </c>
      <c r="AA124" s="220">
        <f>+'Plan de Accion apoyo transversa'!BS20</f>
        <v>0.5</v>
      </c>
      <c r="AB124" s="220">
        <f t="shared" ref="AB124:AB125" si="75">IF(AA124&gt;100%,100%,AA124)</f>
        <v>0.5</v>
      </c>
      <c r="AC124" s="972">
        <f t="shared" ref="AC124:AC125" si="76">+AB124</f>
        <v>0.5</v>
      </c>
      <c r="AD124" s="216"/>
      <c r="AE124" s="217">
        <f>+'Plan de Accion apoyo transversa'!CA20</f>
        <v>0</v>
      </c>
      <c r="AF124" s="253">
        <f>+'Plan de Accion apoyo transversa'!CL20</f>
        <v>0</v>
      </c>
      <c r="AG124" s="215">
        <f t="shared" si="71"/>
        <v>0</v>
      </c>
      <c r="AH124" s="253">
        <f>+'Plan de Accion apoyo transversa'!CC20</f>
        <v>0.5</v>
      </c>
      <c r="AI124" s="214">
        <f t="shared" ref="AI124:AI125" si="77">IF(AH124&gt;100%,100%,AH124)</f>
        <v>0.5</v>
      </c>
      <c r="AJ124" s="252"/>
      <c r="AK124" s="237"/>
      <c r="AL124" s="251"/>
      <c r="AM124" s="250"/>
      <c r="AN124" s="236"/>
      <c r="AO124" s="251"/>
      <c r="AP124" s="250"/>
      <c r="AQ124" s="236"/>
      <c r="AR124" s="251"/>
      <c r="AS124" s="250"/>
      <c r="AT124" s="236"/>
      <c r="AU124" s="251"/>
      <c r="AV124" s="250"/>
      <c r="AW124" s="236"/>
      <c r="AX124" s="249"/>
      <c r="AY124" s="236"/>
      <c r="AZ124" s="251"/>
      <c r="BA124" s="250"/>
      <c r="BB124" s="236"/>
      <c r="BC124" s="251"/>
      <c r="BD124" s="250"/>
      <c r="BE124" s="236"/>
      <c r="BF124" s="251"/>
      <c r="BG124" s="250"/>
      <c r="BH124" s="236"/>
      <c r="BI124" s="251"/>
      <c r="BJ124" s="250"/>
      <c r="BK124" s="236"/>
      <c r="BL124" s="249"/>
      <c r="BN124" s="251"/>
      <c r="BO124" s="250"/>
      <c r="BP124" s="236"/>
      <c r="BQ124" s="251"/>
      <c r="BR124" s="250"/>
      <c r="BS124" s="236"/>
      <c r="BT124" s="251"/>
      <c r="BU124" s="250"/>
      <c r="BV124" s="236"/>
      <c r="BW124" s="251"/>
      <c r="BX124" s="250"/>
      <c r="BY124" s="236"/>
      <c r="BZ124" s="249"/>
      <c r="CB124" s="251"/>
      <c r="CC124" s="250"/>
      <c r="CD124" s="236"/>
      <c r="CE124" s="251"/>
      <c r="CF124" s="250"/>
      <c r="CG124" s="236"/>
      <c r="CH124" s="251"/>
      <c r="CI124" s="250"/>
      <c r="CJ124" s="236"/>
      <c r="CK124" s="251"/>
      <c r="CL124" s="250"/>
      <c r="CM124" s="236"/>
      <c r="CN124" s="249"/>
    </row>
    <row r="125" spans="2:92" s="176" customFormat="1" ht="57.75" customHeight="1" thickBot="1" x14ac:dyDescent="0.25">
      <c r="B125" s="1362"/>
      <c r="C125" s="1314"/>
      <c r="D125" s="1353"/>
      <c r="E125" s="1353"/>
      <c r="F125" s="1353"/>
      <c r="G125" s="973" t="str">
        <f>+'Plan de Accion apoyo transversa'!X21</f>
        <v>Plan estratégico cuatrienal aprobado</v>
      </c>
      <c r="H125" s="1346"/>
      <c r="I125" s="177"/>
      <c r="J125" s="217" t="e">
        <f>+'Plan de Accion apoyo transversa'!AW21</f>
        <v>#DIV/0!</v>
      </c>
      <c r="K125" s="971" t="str">
        <f>+'Plan de Accion apoyo transversa'!CF21</f>
        <v>No Prog ni Ejec</v>
      </c>
      <c r="L125" s="971" t="s">
        <v>204</v>
      </c>
      <c r="M125" s="971">
        <f>+'Plan de Accion apoyo transversa'!AY21</f>
        <v>0</v>
      </c>
      <c r="N125" s="971">
        <f t="shared" si="73"/>
        <v>0</v>
      </c>
      <c r="O125" s="971" t="s">
        <v>204</v>
      </c>
      <c r="P125" s="216"/>
      <c r="Q125" s="217" t="e">
        <f>+'Plan de Accion apoyo transversa'!BG21</f>
        <v>#DIV/0!</v>
      </c>
      <c r="R125" s="253" t="s">
        <v>180</v>
      </c>
      <c r="S125" s="215" t="s">
        <v>204</v>
      </c>
      <c r="T125" s="971">
        <f>+'Plan de Accion apoyo transversa'!BI21</f>
        <v>0</v>
      </c>
      <c r="U125" s="971">
        <f t="shared" si="74"/>
        <v>0</v>
      </c>
      <c r="V125" s="214" t="s">
        <v>204</v>
      </c>
      <c r="W125" s="216"/>
      <c r="X125" s="217">
        <f>+'Plan de Accion apoyo transversa'!BQ21</f>
        <v>0.62222223333333337</v>
      </c>
      <c r="Y125" s="253">
        <f>+'Plan de Accion apoyo transversa'!CJ21</f>
        <v>0.62222223333333337</v>
      </c>
      <c r="Z125" s="215">
        <f t="shared" si="64"/>
        <v>0.62222223333333337</v>
      </c>
      <c r="AA125" s="220">
        <f>+'Plan de Accion apoyo transversa'!BS21</f>
        <v>0.37333334000000001</v>
      </c>
      <c r="AB125" s="220">
        <f t="shared" si="75"/>
        <v>0.37333334000000001</v>
      </c>
      <c r="AC125" s="972">
        <f t="shared" si="76"/>
        <v>0.37333334000000001</v>
      </c>
      <c r="AD125" s="216"/>
      <c r="AE125" s="217">
        <f>+'Plan de Accion apoyo transversa'!CA21</f>
        <v>0</v>
      </c>
      <c r="AF125" s="253">
        <f>+'Plan de Accion apoyo transversa'!CL21</f>
        <v>0</v>
      </c>
      <c r="AG125" s="215">
        <f t="shared" si="71"/>
        <v>0</v>
      </c>
      <c r="AH125" s="253">
        <f>+'Plan de Accion apoyo transversa'!CC21</f>
        <v>0.37333334000000001</v>
      </c>
      <c r="AI125" s="214">
        <f t="shared" si="77"/>
        <v>0.37333334000000001</v>
      </c>
      <c r="AJ125" s="252"/>
      <c r="AK125" s="237"/>
      <c r="AL125" s="251"/>
      <c r="AM125" s="250"/>
      <c r="AN125" s="236"/>
      <c r="AO125" s="251"/>
      <c r="AP125" s="250"/>
      <c r="AQ125" s="236"/>
      <c r="AR125" s="251"/>
      <c r="AS125" s="250"/>
      <c r="AT125" s="236"/>
      <c r="AU125" s="251"/>
      <c r="AV125" s="250"/>
      <c r="AW125" s="236"/>
      <c r="AX125" s="249"/>
      <c r="AY125" s="236"/>
      <c r="AZ125" s="251"/>
      <c r="BA125" s="250"/>
      <c r="BB125" s="236"/>
      <c r="BC125" s="251"/>
      <c r="BD125" s="250"/>
      <c r="BE125" s="236"/>
      <c r="BF125" s="251"/>
      <c r="BG125" s="250"/>
      <c r="BH125" s="236"/>
      <c r="BI125" s="251"/>
      <c r="BJ125" s="250"/>
      <c r="BK125" s="236"/>
      <c r="BL125" s="249"/>
      <c r="BN125" s="251"/>
      <c r="BO125" s="250"/>
      <c r="BP125" s="236"/>
      <c r="BQ125" s="251"/>
      <c r="BR125" s="250"/>
      <c r="BS125" s="236"/>
      <c r="BT125" s="251"/>
      <c r="BU125" s="250"/>
      <c r="BV125" s="236"/>
      <c r="BW125" s="251"/>
      <c r="BX125" s="250"/>
      <c r="BY125" s="236"/>
      <c r="BZ125" s="249"/>
      <c r="CB125" s="251"/>
      <c r="CC125" s="250"/>
      <c r="CD125" s="236"/>
      <c r="CE125" s="251"/>
      <c r="CF125" s="250"/>
      <c r="CG125" s="236"/>
      <c r="CH125" s="251"/>
      <c r="CI125" s="250"/>
      <c r="CJ125" s="236"/>
      <c r="CK125" s="251"/>
      <c r="CL125" s="250"/>
      <c r="CM125" s="236"/>
      <c r="CN125" s="249"/>
    </row>
    <row r="126" spans="2:92" s="176" customFormat="1" ht="43.5" customHeight="1" thickBot="1" x14ac:dyDescent="0.25">
      <c r="B126" s="1362"/>
      <c r="C126" s="1314"/>
      <c r="D126" s="1351" t="s">
        <v>204</v>
      </c>
      <c r="E126" s="1351" t="s">
        <v>230</v>
      </c>
      <c r="F126" s="1351" t="s">
        <v>330</v>
      </c>
      <c r="G126" s="322" t="str">
        <f>+'Plan de Accion apoyo transversa'!X134</f>
        <v xml:space="preserve">Servicios de Mesa de Ayuda </v>
      </c>
      <c r="H126" s="1346"/>
      <c r="I126" s="177"/>
      <c r="J126" s="217">
        <f>+'Plan de Accion apoyo transversa'!AW134</f>
        <v>0.40023828566937225</v>
      </c>
      <c r="K126" s="483">
        <f>+'Plan de Accion apoyo transversa'!CF134</f>
        <v>0.40023828566937225</v>
      </c>
      <c r="L126" s="483">
        <f>IF(K126&gt;100%,100%,K126)</f>
        <v>0.40023828566937225</v>
      </c>
      <c r="M126" s="483">
        <f>+'Plan de Accion apoyo transversa'!AY134</f>
        <v>4.0023828566937231E-2</v>
      </c>
      <c r="N126" s="483">
        <f t="shared" si="49"/>
        <v>4.0023828566937231E-2</v>
      </c>
      <c r="O126" s="483">
        <f t="shared" si="63"/>
        <v>4.0023828566937231E-2</v>
      </c>
      <c r="P126" s="216"/>
      <c r="Q126" s="217">
        <f>+'Plan de Accion apoyo transversa'!BG134</f>
        <v>0</v>
      </c>
      <c r="R126" s="253" t="s">
        <v>180</v>
      </c>
      <c r="S126" s="215" t="s">
        <v>204</v>
      </c>
      <c r="T126" s="311">
        <f>+'Plan de Accion apoyo transversa'!BI134</f>
        <v>4.0023828566937231E-2</v>
      </c>
      <c r="U126" s="311">
        <f t="shared" ref="U126:U131" si="78">IF(T126&gt;100%,100%,T126)</f>
        <v>4.0023828566937231E-2</v>
      </c>
      <c r="V126" s="214">
        <f>+U126</f>
        <v>4.0023828566937231E-2</v>
      </c>
      <c r="W126" s="216"/>
      <c r="X126" s="217">
        <f>+'Plan de Accion apoyo transversa'!BQ134</f>
        <v>0</v>
      </c>
      <c r="Y126" s="253" t="s">
        <v>180</v>
      </c>
      <c r="Z126" s="215" t="s">
        <v>204</v>
      </c>
      <c r="AA126" s="220">
        <f>+'Plan de Accion apoyo transversa'!BS134</f>
        <v>4.0023828566937231E-2</v>
      </c>
      <c r="AB126" s="220">
        <f t="shared" ref="AB126:AB131" si="79">IF(AA126&gt;100%,100%,AA126)</f>
        <v>4.0023828566937231E-2</v>
      </c>
      <c r="AC126" s="309">
        <f t="shared" si="65"/>
        <v>4.0023828566937231E-2</v>
      </c>
      <c r="AD126" s="216"/>
      <c r="AE126" s="217">
        <f>+'Plan de Accion apoyo transversa'!CA134</f>
        <v>0</v>
      </c>
      <c r="AF126" s="253" t="s">
        <v>180</v>
      </c>
      <c r="AG126" s="215" t="s">
        <v>204</v>
      </c>
      <c r="AH126" s="253">
        <f>+'Plan de Accion apoyo transversa'!CC134</f>
        <v>4.0023828566937231E-2</v>
      </c>
      <c r="AI126" s="214">
        <f t="shared" ref="AI126:AI131" si="80">IF(AH126&gt;100%,100%,AH126)</f>
        <v>4.0023828566937231E-2</v>
      </c>
      <c r="AJ126" s="252"/>
      <c r="AK126" s="237"/>
      <c r="AL126" s="251"/>
      <c r="AM126" s="250"/>
      <c r="AN126" s="236"/>
      <c r="AO126" s="251"/>
      <c r="AP126" s="250"/>
      <c r="AQ126" s="236"/>
      <c r="AR126" s="251"/>
      <c r="AS126" s="250"/>
      <c r="AT126" s="236"/>
      <c r="AU126" s="251"/>
      <c r="AV126" s="250"/>
      <c r="AW126" s="236"/>
      <c r="AX126" s="249"/>
      <c r="AY126" s="236"/>
      <c r="AZ126" s="251"/>
      <c r="BA126" s="250"/>
      <c r="BB126" s="236"/>
      <c r="BC126" s="251"/>
      <c r="BD126" s="250"/>
      <c r="BE126" s="236"/>
      <c r="BF126" s="251"/>
      <c r="BG126" s="250"/>
      <c r="BH126" s="236"/>
      <c r="BI126" s="251"/>
      <c r="BJ126" s="250"/>
      <c r="BK126" s="236"/>
      <c r="BL126" s="249"/>
      <c r="BN126" s="251"/>
      <c r="BO126" s="250"/>
      <c r="BP126" s="236"/>
      <c r="BQ126" s="251"/>
      <c r="BR126" s="250"/>
      <c r="BS126" s="236"/>
      <c r="BT126" s="251"/>
      <c r="BU126" s="250"/>
      <c r="BV126" s="236"/>
      <c r="BW126" s="251"/>
      <c r="BX126" s="250"/>
      <c r="BY126" s="236"/>
      <c r="BZ126" s="249"/>
      <c r="CB126" s="251"/>
      <c r="CC126" s="250"/>
      <c r="CD126" s="236"/>
      <c r="CE126" s="251"/>
      <c r="CF126" s="250"/>
      <c r="CG126" s="236"/>
      <c r="CH126" s="251"/>
      <c r="CI126" s="250"/>
      <c r="CJ126" s="236"/>
      <c r="CK126" s="251"/>
      <c r="CL126" s="250"/>
      <c r="CM126" s="236"/>
      <c r="CN126" s="249"/>
    </row>
    <row r="127" spans="2:92" s="176" customFormat="1" ht="100.5" thickBot="1" x14ac:dyDescent="0.25">
      <c r="B127" s="1362"/>
      <c r="C127" s="1314"/>
      <c r="D127" s="1352"/>
      <c r="E127" s="1352"/>
      <c r="F127" s="1352"/>
      <c r="G127" s="322" t="str">
        <f>+'Plan de Accion apoyo transversa'!X138</f>
        <v>Flujos de correspondencia, que incluya impresión de stickers, firma digital de documentos, estampado cronológico, reconocimiento OCR e integración con los flujos de PQRSD y Tutelas</v>
      </c>
      <c r="H127" s="1346"/>
      <c r="I127" s="177"/>
      <c r="J127" s="217" t="e">
        <f>+'Plan de Accion apoyo transversa'!AW138</f>
        <v>#DIV/0!</v>
      </c>
      <c r="K127" s="483" t="str">
        <f>+'Plan de Accion apoyo transversa'!CF138</f>
        <v>No Prog ni Ejec</v>
      </c>
      <c r="L127" s="483" t="s">
        <v>204</v>
      </c>
      <c r="M127" s="483">
        <f>+'Plan de Accion apoyo transversa'!AY138</f>
        <v>0</v>
      </c>
      <c r="N127" s="483">
        <f t="shared" si="49"/>
        <v>0</v>
      </c>
      <c r="O127" s="483" t="s">
        <v>204</v>
      </c>
      <c r="P127" s="216"/>
      <c r="Q127" s="217" t="e">
        <f>+'Plan de Accion apoyo transversa'!BG138</f>
        <v>#DIV/0!</v>
      </c>
      <c r="R127" s="253" t="str">
        <f>+'Plan de Accion apoyo transversa'!CH138</f>
        <v>No Prog ni Ejec</v>
      </c>
      <c r="S127" s="215" t="s">
        <v>204</v>
      </c>
      <c r="T127" s="311">
        <f>+'Plan de Accion apoyo transversa'!BI138</f>
        <v>0</v>
      </c>
      <c r="U127" s="311">
        <f t="shared" si="78"/>
        <v>0</v>
      </c>
      <c r="V127" s="214" t="s">
        <v>204</v>
      </c>
      <c r="W127" s="216"/>
      <c r="X127" s="217">
        <f>+'Plan de Accion apoyo transversa'!BQ138</f>
        <v>0</v>
      </c>
      <c r="Y127" s="253">
        <f>+'Plan de Accion apoyo transversa'!CJ138</f>
        <v>0</v>
      </c>
      <c r="Z127" s="215">
        <f t="shared" si="64"/>
        <v>0</v>
      </c>
      <c r="AA127" s="220">
        <f>+'Plan de Accion apoyo transversa'!BS138</f>
        <v>0</v>
      </c>
      <c r="AB127" s="220">
        <f t="shared" si="79"/>
        <v>0</v>
      </c>
      <c r="AC127" s="309">
        <f t="shared" si="65"/>
        <v>0</v>
      </c>
      <c r="AD127" s="216"/>
      <c r="AE127" s="217">
        <f>+'Plan de Accion apoyo transversa'!CA138</f>
        <v>0</v>
      </c>
      <c r="AF127" s="253">
        <f>+'Plan de Accion apoyo transversa'!CL138</f>
        <v>0</v>
      </c>
      <c r="AG127" s="215">
        <f t="shared" si="66"/>
        <v>0</v>
      </c>
      <c r="AH127" s="253">
        <f>+'Plan de Accion apoyo transversa'!CC138</f>
        <v>0</v>
      </c>
      <c r="AI127" s="214">
        <f t="shared" si="80"/>
        <v>0</v>
      </c>
      <c r="AJ127" s="252"/>
      <c r="AK127" s="237"/>
      <c r="AL127" s="251"/>
      <c r="AM127" s="250"/>
      <c r="AN127" s="236"/>
      <c r="AO127" s="251"/>
      <c r="AP127" s="250"/>
      <c r="AQ127" s="236"/>
      <c r="AR127" s="251"/>
      <c r="AS127" s="250"/>
      <c r="AT127" s="236"/>
      <c r="AU127" s="251"/>
      <c r="AV127" s="250"/>
      <c r="AW127" s="236"/>
      <c r="AX127" s="249"/>
      <c r="AY127" s="236"/>
      <c r="AZ127" s="251"/>
      <c r="BA127" s="250"/>
      <c r="BB127" s="236"/>
      <c r="BC127" s="251"/>
      <c r="BD127" s="250"/>
      <c r="BE127" s="236"/>
      <c r="BF127" s="251"/>
      <c r="BG127" s="250"/>
      <c r="BH127" s="236"/>
      <c r="BI127" s="251"/>
      <c r="BJ127" s="250"/>
      <c r="BK127" s="236"/>
      <c r="BL127" s="249"/>
      <c r="BN127" s="251"/>
      <c r="BO127" s="250"/>
      <c r="BP127" s="236"/>
      <c r="BQ127" s="251"/>
      <c r="BR127" s="250"/>
      <c r="BS127" s="236"/>
      <c r="BT127" s="251"/>
      <c r="BU127" s="250"/>
      <c r="BV127" s="236"/>
      <c r="BW127" s="251"/>
      <c r="BX127" s="250"/>
      <c r="BY127" s="236"/>
      <c r="BZ127" s="249"/>
      <c r="CB127" s="251"/>
      <c r="CC127" s="250"/>
      <c r="CD127" s="236"/>
      <c r="CE127" s="251"/>
      <c r="CF127" s="250"/>
      <c r="CG127" s="236"/>
      <c r="CH127" s="251"/>
      <c r="CI127" s="250"/>
      <c r="CJ127" s="236"/>
      <c r="CK127" s="251"/>
      <c r="CL127" s="250"/>
      <c r="CM127" s="236"/>
      <c r="CN127" s="249"/>
    </row>
    <row r="128" spans="2:92" s="176" customFormat="1" ht="43.5" thickBot="1" x14ac:dyDescent="0.25">
      <c r="B128" s="1362"/>
      <c r="C128" s="1314"/>
      <c r="D128" s="1352"/>
      <c r="E128" s="1352"/>
      <c r="F128" s="1353"/>
      <c r="G128" s="322" t="str">
        <f>+'Plan de Accion apoyo transversa'!X140</f>
        <v>Servicio de documentación de los servicios TI y Sistemas de Información</v>
      </c>
      <c r="H128" s="1346"/>
      <c r="I128" s="177"/>
      <c r="J128" s="217" t="e">
        <f>+'Plan de Accion apoyo transversa'!AW140</f>
        <v>#DIV/0!</v>
      </c>
      <c r="K128" s="483" t="str">
        <f>+'Plan de Accion apoyo transversa'!CF140</f>
        <v>No Prog ni Ejec</v>
      </c>
      <c r="L128" s="483" t="s">
        <v>204</v>
      </c>
      <c r="M128" s="483">
        <f>+'Plan de Accion apoyo transversa'!AY140</f>
        <v>0</v>
      </c>
      <c r="N128" s="483">
        <f t="shared" si="49"/>
        <v>0</v>
      </c>
      <c r="O128" s="483" t="s">
        <v>204</v>
      </c>
      <c r="P128" s="216"/>
      <c r="Q128" s="217" t="e">
        <f>+'Plan de Accion apoyo transversa'!BG140</f>
        <v>#DIV/0!</v>
      </c>
      <c r="R128" s="253" t="str">
        <f>+'Plan de Accion apoyo transversa'!CH140</f>
        <v>No Prog ni Ejec</v>
      </c>
      <c r="S128" s="215" t="s">
        <v>204</v>
      </c>
      <c r="T128" s="311">
        <f>+'Plan de Accion apoyo transversa'!BI140</f>
        <v>0</v>
      </c>
      <c r="U128" s="311">
        <f t="shared" si="78"/>
        <v>0</v>
      </c>
      <c r="V128" s="214" t="s">
        <v>204</v>
      </c>
      <c r="W128" s="216"/>
      <c r="X128" s="217">
        <f>+'Plan de Accion apoyo transversa'!BQ140</f>
        <v>0</v>
      </c>
      <c r="Y128" s="253">
        <f>+'Plan de Accion apoyo transversa'!CJ140</f>
        <v>0</v>
      </c>
      <c r="Z128" s="215">
        <f t="shared" si="64"/>
        <v>0</v>
      </c>
      <c r="AA128" s="220">
        <f>+'Plan de Accion apoyo transversa'!BS140</f>
        <v>0</v>
      </c>
      <c r="AB128" s="220">
        <f t="shared" si="79"/>
        <v>0</v>
      </c>
      <c r="AC128" s="309">
        <f t="shared" si="65"/>
        <v>0</v>
      </c>
      <c r="AD128" s="216"/>
      <c r="AE128" s="217">
        <f>+'Plan de Accion apoyo transversa'!CA140</f>
        <v>0</v>
      </c>
      <c r="AF128" s="253">
        <f>+'Plan de Accion apoyo transversa'!CL140</f>
        <v>0</v>
      </c>
      <c r="AG128" s="215">
        <f t="shared" si="66"/>
        <v>0</v>
      </c>
      <c r="AH128" s="253">
        <f>+'Plan de Accion apoyo transversa'!CC140</f>
        <v>0</v>
      </c>
      <c r="AI128" s="214">
        <f t="shared" si="80"/>
        <v>0</v>
      </c>
      <c r="AJ128" s="252"/>
      <c r="AK128" s="237"/>
      <c r="AL128" s="251"/>
      <c r="AM128" s="250"/>
      <c r="AN128" s="236"/>
      <c r="AO128" s="251"/>
      <c r="AP128" s="250"/>
      <c r="AQ128" s="236"/>
      <c r="AR128" s="251"/>
      <c r="AS128" s="250"/>
      <c r="AT128" s="236"/>
      <c r="AU128" s="251"/>
      <c r="AV128" s="250"/>
      <c r="AW128" s="236"/>
      <c r="AX128" s="249"/>
      <c r="AY128" s="236"/>
      <c r="AZ128" s="251"/>
      <c r="BA128" s="250"/>
      <c r="BB128" s="236"/>
      <c r="BC128" s="251"/>
      <c r="BD128" s="250"/>
      <c r="BE128" s="236"/>
      <c r="BF128" s="251"/>
      <c r="BG128" s="250"/>
      <c r="BH128" s="236"/>
      <c r="BI128" s="251"/>
      <c r="BJ128" s="250"/>
      <c r="BK128" s="236"/>
      <c r="BL128" s="249"/>
      <c r="BN128" s="251"/>
      <c r="BO128" s="250"/>
      <c r="BP128" s="236"/>
      <c r="BQ128" s="251"/>
      <c r="BR128" s="250"/>
      <c r="BS128" s="236"/>
      <c r="BT128" s="251"/>
      <c r="BU128" s="250"/>
      <c r="BV128" s="236"/>
      <c r="BW128" s="251"/>
      <c r="BX128" s="250"/>
      <c r="BY128" s="236"/>
      <c r="BZ128" s="249"/>
      <c r="CB128" s="251"/>
      <c r="CC128" s="250"/>
      <c r="CD128" s="236"/>
      <c r="CE128" s="251"/>
      <c r="CF128" s="250"/>
      <c r="CG128" s="236"/>
      <c r="CH128" s="251"/>
      <c r="CI128" s="250"/>
      <c r="CJ128" s="236"/>
      <c r="CK128" s="251"/>
      <c r="CL128" s="250"/>
      <c r="CM128" s="236"/>
      <c r="CN128" s="249"/>
    </row>
    <row r="129" spans="2:92" s="176" customFormat="1" ht="72" thickBot="1" x14ac:dyDescent="0.25">
      <c r="B129" s="1362"/>
      <c r="C129" s="1314"/>
      <c r="D129" s="1352"/>
      <c r="E129" s="1352"/>
      <c r="F129" s="1351" t="s">
        <v>1183</v>
      </c>
      <c r="G129" s="322" t="str">
        <f>+'Plan de Accion apoyo transversa'!X135</f>
        <v>Servicios, infraestructura, Sistemas de información migrados (Transición) a IPV6 y compatibilidad con IPV4</v>
      </c>
      <c r="H129" s="1346"/>
      <c r="I129" s="177"/>
      <c r="J129" s="217" t="e">
        <f>+'Plan de Accion apoyo transversa'!AW135</f>
        <v>#DIV/0!</v>
      </c>
      <c r="K129" s="483" t="str">
        <f>+'Plan de Accion apoyo transversa'!CF135</f>
        <v>No Prog ni Ejec</v>
      </c>
      <c r="L129" s="483" t="s">
        <v>204</v>
      </c>
      <c r="M129" s="483">
        <f>+'Plan de Accion apoyo transversa'!AY135</f>
        <v>0</v>
      </c>
      <c r="N129" s="483">
        <f t="shared" si="49"/>
        <v>0</v>
      </c>
      <c r="O129" s="483" t="s">
        <v>204</v>
      </c>
      <c r="P129" s="216"/>
      <c r="Q129" s="217" t="e">
        <f>+'Plan de Accion apoyo transversa'!BG135</f>
        <v>#DIV/0!</v>
      </c>
      <c r="R129" s="253" t="str">
        <f>+'Plan de Accion apoyo transversa'!CH135</f>
        <v>No Prog ni Ejec</v>
      </c>
      <c r="S129" s="215" t="s">
        <v>204</v>
      </c>
      <c r="T129" s="311">
        <f>+'Plan de Accion apoyo transversa'!BI135</f>
        <v>0</v>
      </c>
      <c r="U129" s="311">
        <f t="shared" si="78"/>
        <v>0</v>
      </c>
      <c r="V129" s="214" t="s">
        <v>204</v>
      </c>
      <c r="W129" s="216"/>
      <c r="X129" s="217">
        <f>+'Plan de Accion apoyo transversa'!BQ135</f>
        <v>0.96364544060176194</v>
      </c>
      <c r="Y129" s="253">
        <f>+'Plan de Accion apoyo transversa'!CJ135</f>
        <v>0.96364544060176194</v>
      </c>
      <c r="Z129" s="215">
        <f t="shared" si="64"/>
        <v>0.96364544060176194</v>
      </c>
      <c r="AA129" s="220">
        <f>+'Plan de Accion apoyo transversa'!BS135</f>
        <v>9.6364544060176194E-2</v>
      </c>
      <c r="AB129" s="220">
        <f t="shared" si="79"/>
        <v>9.6364544060176194E-2</v>
      </c>
      <c r="AC129" s="309">
        <f t="shared" si="65"/>
        <v>9.6364544060176194E-2</v>
      </c>
      <c r="AD129" s="216"/>
      <c r="AE129" s="217">
        <f>+'Plan de Accion apoyo transversa'!CA135</f>
        <v>0</v>
      </c>
      <c r="AF129" s="253">
        <f>+'Plan de Accion apoyo transversa'!CL135</f>
        <v>0</v>
      </c>
      <c r="AG129" s="215">
        <f t="shared" si="66"/>
        <v>0</v>
      </c>
      <c r="AH129" s="253">
        <f>+'Plan de Accion apoyo transversa'!CC135</f>
        <v>9.6364544060176194E-2</v>
      </c>
      <c r="AI129" s="214">
        <f t="shared" si="80"/>
        <v>9.6364544060176194E-2</v>
      </c>
      <c r="AJ129" s="252"/>
      <c r="AK129" s="237"/>
      <c r="AL129" s="251"/>
      <c r="AM129" s="250"/>
      <c r="AN129" s="236"/>
      <c r="AO129" s="251"/>
      <c r="AP129" s="250"/>
      <c r="AQ129" s="236"/>
      <c r="AR129" s="251"/>
      <c r="AS129" s="250"/>
      <c r="AT129" s="236"/>
      <c r="AU129" s="251"/>
      <c r="AV129" s="250"/>
      <c r="AW129" s="236"/>
      <c r="AX129" s="249"/>
      <c r="AY129" s="236"/>
      <c r="AZ129" s="251"/>
      <c r="BA129" s="250"/>
      <c r="BB129" s="236"/>
      <c r="BC129" s="251"/>
      <c r="BD129" s="250"/>
      <c r="BE129" s="236"/>
      <c r="BF129" s="251"/>
      <c r="BG129" s="250"/>
      <c r="BH129" s="236"/>
      <c r="BI129" s="251"/>
      <c r="BJ129" s="250"/>
      <c r="BK129" s="236"/>
      <c r="BL129" s="249"/>
      <c r="BN129" s="251"/>
      <c r="BO129" s="250"/>
      <c r="BP129" s="236"/>
      <c r="BQ129" s="251"/>
      <c r="BR129" s="250"/>
      <c r="BS129" s="236"/>
      <c r="BT129" s="251"/>
      <c r="BU129" s="250"/>
      <c r="BV129" s="236"/>
      <c r="BW129" s="251"/>
      <c r="BX129" s="250"/>
      <c r="BY129" s="236"/>
      <c r="BZ129" s="249"/>
      <c r="CB129" s="251"/>
      <c r="CC129" s="250"/>
      <c r="CD129" s="236"/>
      <c r="CE129" s="251"/>
      <c r="CF129" s="250"/>
      <c r="CG129" s="236"/>
      <c r="CH129" s="251"/>
      <c r="CI129" s="250"/>
      <c r="CJ129" s="236"/>
      <c r="CK129" s="251"/>
      <c r="CL129" s="250"/>
      <c r="CM129" s="236"/>
      <c r="CN129" s="249"/>
    </row>
    <row r="130" spans="2:92" s="176" customFormat="1" ht="72" thickBot="1" x14ac:dyDescent="0.25">
      <c r="B130" s="1362"/>
      <c r="C130" s="1314"/>
      <c r="D130" s="1352"/>
      <c r="E130" s="1352"/>
      <c r="F130" s="1353"/>
      <c r="G130" s="322" t="str">
        <f>+'Plan de Accion apoyo transversa'!X136</f>
        <v>Informe sobre servicios técnicos para realizar análisis de vulnerabilidades, ethical Hacking y pruebas de Ingeniería Social adquiridos</v>
      </c>
      <c r="H130" s="1346"/>
      <c r="I130" s="177"/>
      <c r="J130" s="217" t="e">
        <f>+'Plan de Accion apoyo transversa'!AW136</f>
        <v>#DIV/0!</v>
      </c>
      <c r="K130" s="483" t="str">
        <f>+'Plan de Accion apoyo transversa'!CF136</f>
        <v>No Prog ni Ejec</v>
      </c>
      <c r="L130" s="483" t="s">
        <v>204</v>
      </c>
      <c r="M130" s="483">
        <f>+'Plan de Accion apoyo transversa'!AY136</f>
        <v>0</v>
      </c>
      <c r="N130" s="483">
        <f t="shared" si="49"/>
        <v>0</v>
      </c>
      <c r="O130" s="483" t="s">
        <v>204</v>
      </c>
      <c r="P130" s="216"/>
      <c r="Q130" s="217">
        <f>+'Plan de Accion apoyo transversa'!BG136</f>
        <v>0</v>
      </c>
      <c r="R130" s="253" t="s">
        <v>180</v>
      </c>
      <c r="S130" s="215" t="s">
        <v>204</v>
      </c>
      <c r="T130" s="311" t="s">
        <v>204</v>
      </c>
      <c r="U130" s="311" t="s">
        <v>204</v>
      </c>
      <c r="V130" s="214" t="s">
        <v>204</v>
      </c>
      <c r="W130" s="216"/>
      <c r="X130" s="217">
        <f>+'Plan de Accion apoyo transversa'!BQ136</f>
        <v>0</v>
      </c>
      <c r="Y130" s="253" t="s">
        <v>180</v>
      </c>
      <c r="Z130" s="215" t="s">
        <v>204</v>
      </c>
      <c r="AA130" s="220" t="s">
        <v>204</v>
      </c>
      <c r="AB130" s="220" t="s">
        <v>204</v>
      </c>
      <c r="AC130" s="309" t="s">
        <v>204</v>
      </c>
      <c r="AD130" s="216"/>
      <c r="AE130" s="217" t="e">
        <f>+'Plan de Accion apoyo transversa'!CA136</f>
        <v>#DIV/0!</v>
      </c>
      <c r="AF130" s="253" t="str">
        <f>+'Plan de Accion apoyo transversa'!CL136</f>
        <v>No Prog ni Ejec</v>
      </c>
      <c r="AG130" s="215" t="s">
        <v>204</v>
      </c>
      <c r="AH130" s="253" t="s">
        <v>204</v>
      </c>
      <c r="AI130" s="214" t="s">
        <v>204</v>
      </c>
      <c r="AJ130" s="252"/>
      <c r="AK130" s="237"/>
      <c r="AL130" s="251"/>
      <c r="AM130" s="250"/>
      <c r="AN130" s="236"/>
      <c r="AO130" s="251"/>
      <c r="AP130" s="250"/>
      <c r="AQ130" s="236"/>
      <c r="AR130" s="251"/>
      <c r="AS130" s="250"/>
      <c r="AT130" s="236"/>
      <c r="AU130" s="251"/>
      <c r="AV130" s="250"/>
      <c r="AW130" s="236"/>
      <c r="AX130" s="249"/>
      <c r="AY130" s="236"/>
      <c r="AZ130" s="251"/>
      <c r="BA130" s="250"/>
      <c r="BB130" s="236"/>
      <c r="BC130" s="251"/>
      <c r="BD130" s="250"/>
      <c r="BE130" s="236"/>
      <c r="BF130" s="251"/>
      <c r="BG130" s="250"/>
      <c r="BH130" s="236"/>
      <c r="BI130" s="251"/>
      <c r="BJ130" s="250"/>
      <c r="BK130" s="236"/>
      <c r="BL130" s="249"/>
      <c r="BN130" s="251"/>
      <c r="BO130" s="250"/>
      <c r="BP130" s="236"/>
      <c r="BQ130" s="251"/>
      <c r="BR130" s="250"/>
      <c r="BS130" s="236"/>
      <c r="BT130" s="251"/>
      <c r="BU130" s="250"/>
      <c r="BV130" s="236"/>
      <c r="BW130" s="251"/>
      <c r="BX130" s="250"/>
      <c r="BY130" s="236"/>
      <c r="BZ130" s="249"/>
      <c r="CB130" s="251"/>
      <c r="CC130" s="250"/>
      <c r="CD130" s="236"/>
      <c r="CE130" s="251"/>
      <c r="CF130" s="250"/>
      <c r="CG130" s="236"/>
      <c r="CH130" s="251"/>
      <c r="CI130" s="250"/>
      <c r="CJ130" s="236"/>
      <c r="CK130" s="251"/>
      <c r="CL130" s="250"/>
      <c r="CM130" s="236"/>
      <c r="CN130" s="249"/>
    </row>
    <row r="131" spans="2:92" s="176" customFormat="1" ht="57.75" thickBot="1" x14ac:dyDescent="0.25">
      <c r="B131" s="1363"/>
      <c r="C131" s="1315"/>
      <c r="D131" s="1453"/>
      <c r="E131" s="1453"/>
      <c r="F131" s="308" t="s">
        <v>1184</v>
      </c>
      <c r="G131" s="322" t="str">
        <f>+'Plan de Accion apoyo transversa'!X139</f>
        <v>Plan Estratégico de TI  estructurado, elaborado y aprobado</v>
      </c>
      <c r="H131" s="1347"/>
      <c r="I131" s="177"/>
      <c r="J131" s="217" t="e">
        <f>+'Plan de Accion apoyo transversa'!AW139</f>
        <v>#DIV/0!</v>
      </c>
      <c r="K131" s="253" t="str">
        <f>+'Plan de Accion apoyo transversa'!CF139</f>
        <v>No Prog ni Ejec</v>
      </c>
      <c r="L131" s="311" t="s">
        <v>204</v>
      </c>
      <c r="M131" s="483">
        <f>+'Plan de Accion apoyo transversa'!AY139</f>
        <v>0</v>
      </c>
      <c r="N131" s="483">
        <f t="shared" si="49"/>
        <v>0</v>
      </c>
      <c r="O131" s="483" t="s">
        <v>204</v>
      </c>
      <c r="P131" s="216"/>
      <c r="Q131" s="662" t="e">
        <f>+'Plan de Accion apoyo transversa'!BG139</f>
        <v>#DIV/0!</v>
      </c>
      <c r="R131" s="657" t="str">
        <f>+'Plan de Accion apoyo transversa'!CH139</f>
        <v>No Prog ni Ejec</v>
      </c>
      <c r="S131" s="447" t="s">
        <v>204</v>
      </c>
      <c r="T131" s="658">
        <f>+'Plan de Accion apoyo transversa'!BI139</f>
        <v>0</v>
      </c>
      <c r="U131" s="658">
        <f t="shared" si="78"/>
        <v>0</v>
      </c>
      <c r="V131" s="449" t="s">
        <v>204</v>
      </c>
      <c r="W131" s="216"/>
      <c r="X131" s="1014">
        <f>+'Plan de Accion apoyo transversa'!BQ139</f>
        <v>3.7339597795037878E-2</v>
      </c>
      <c r="Y131" s="1015">
        <f>+'Plan de Accion apoyo transversa'!CJ139</f>
        <v>3.7339597795037878E-2</v>
      </c>
      <c r="Z131" s="447">
        <f t="shared" si="64"/>
        <v>3.7339597795037878E-2</v>
      </c>
      <c r="AA131" s="448">
        <f>+'Plan de Accion apoyo transversa'!BS139</f>
        <v>2.5017530522675378E-2</v>
      </c>
      <c r="AB131" s="448">
        <f t="shared" si="79"/>
        <v>2.5017530522675378E-2</v>
      </c>
      <c r="AC131" s="1017">
        <f t="shared" si="65"/>
        <v>2.5017530522675378E-2</v>
      </c>
      <c r="AD131" s="216"/>
      <c r="AE131" s="217">
        <f>+'Plan de Accion apoyo transversa'!CA139</f>
        <v>0</v>
      </c>
      <c r="AF131" s="253">
        <f>+'Plan de Accion apoyo transversa'!CL139</f>
        <v>0</v>
      </c>
      <c r="AG131" s="215">
        <f t="shared" ref="AG131:AG138" si="81">IF(AF131&gt;100%,100%,AF131)</f>
        <v>0</v>
      </c>
      <c r="AH131" s="253">
        <f>+'Plan de Accion apoyo transversa'!CC139</f>
        <v>2.5017530522675378E-2</v>
      </c>
      <c r="AI131" s="214">
        <f t="shared" si="80"/>
        <v>2.5017530522675378E-2</v>
      </c>
      <c r="AJ131" s="252"/>
      <c r="AK131" s="237"/>
      <c r="AL131" s="251"/>
      <c r="AM131" s="250"/>
      <c r="AN131" s="236"/>
      <c r="AO131" s="251"/>
      <c r="AP131" s="250"/>
      <c r="AQ131" s="236"/>
      <c r="AR131" s="251"/>
      <c r="AS131" s="250"/>
      <c r="AT131" s="236"/>
      <c r="AU131" s="251"/>
      <c r="AV131" s="250"/>
      <c r="AW131" s="236"/>
      <c r="AX131" s="249"/>
      <c r="AY131" s="236"/>
      <c r="AZ131" s="251"/>
      <c r="BA131" s="250"/>
      <c r="BB131" s="236"/>
      <c r="BC131" s="251"/>
      <c r="BD131" s="250"/>
      <c r="BE131" s="236"/>
      <c r="BF131" s="251"/>
      <c r="BG131" s="250"/>
      <c r="BH131" s="236"/>
      <c r="BI131" s="251"/>
      <c r="BJ131" s="250"/>
      <c r="BK131" s="236"/>
      <c r="BL131" s="249"/>
      <c r="BN131" s="251"/>
      <c r="BO131" s="250"/>
      <c r="BP131" s="236"/>
      <c r="BQ131" s="251"/>
      <c r="BR131" s="250"/>
      <c r="BS131" s="236"/>
      <c r="BT131" s="251"/>
      <c r="BU131" s="250"/>
      <c r="BV131" s="236"/>
      <c r="BW131" s="251"/>
      <c r="BX131" s="250"/>
      <c r="BY131" s="236"/>
      <c r="BZ131" s="249"/>
      <c r="CB131" s="251"/>
      <c r="CC131" s="250"/>
      <c r="CD131" s="236"/>
      <c r="CE131" s="251"/>
      <c r="CF131" s="250"/>
      <c r="CG131" s="236"/>
      <c r="CH131" s="251"/>
      <c r="CI131" s="250"/>
      <c r="CJ131" s="236"/>
      <c r="CK131" s="251"/>
      <c r="CL131" s="250"/>
      <c r="CM131" s="236"/>
      <c r="CN131" s="249"/>
    </row>
    <row r="132" spans="2:92" ht="20.25" thickBot="1" x14ac:dyDescent="0.3">
      <c r="B132" s="1357" t="s">
        <v>208</v>
      </c>
      <c r="C132" s="1358"/>
      <c r="D132" s="1358"/>
      <c r="E132" s="1358"/>
      <c r="F132" s="1359"/>
      <c r="G132" s="1359"/>
      <c r="H132" s="1360"/>
      <c r="I132" s="241"/>
      <c r="J132" s="200" t="s">
        <v>204</v>
      </c>
      <c r="K132" s="199">
        <f>AVERAGE(K15:K131)</f>
        <v>0.55294976243678429</v>
      </c>
      <c r="L132" s="199">
        <f>IF(K132&gt;100%,100%,K132)</f>
        <v>0.55294976243678429</v>
      </c>
      <c r="M132" s="199">
        <f>AVERAGE(M15:M34,M36:M131)</f>
        <v>0.1140616426031112</v>
      </c>
      <c r="N132" s="199">
        <f>IF(M132&gt;25%,25%,M132)</f>
        <v>0.1140616426031112</v>
      </c>
      <c r="O132" s="202">
        <f>AVERAGE(O15:O131)</f>
        <v>0.16501417422261877</v>
      </c>
      <c r="P132" s="201"/>
      <c r="Q132" s="200" t="s">
        <v>204</v>
      </c>
      <c r="R132" s="203">
        <f>AVERAGE(R15:R131)</f>
        <v>0.81155373749858273</v>
      </c>
      <c r="S132" s="199">
        <f>IF(R132&gt;100%,100%,R132)</f>
        <v>0.81155373749858273</v>
      </c>
      <c r="T132" s="803">
        <f>AVERAGE(T15:T34,T36:T131)</f>
        <v>0.26563868926877948</v>
      </c>
      <c r="U132" s="803">
        <f>IF(T132&gt;50%,50%,T132)</f>
        <v>0.26563868926877948</v>
      </c>
      <c r="V132" s="804">
        <f>AVERAGE(V15:V131)</f>
        <v>0.32852594138497565</v>
      </c>
      <c r="W132" s="201"/>
      <c r="X132" s="200" t="s">
        <v>204</v>
      </c>
      <c r="Y132" s="203">
        <f>AVERAGE(Y15:Y131)</f>
        <v>0.76146533879278733</v>
      </c>
      <c r="Z132" s="199">
        <f t="shared" si="64"/>
        <v>0.76146533879278733</v>
      </c>
      <c r="AA132" s="1025">
        <f>AVERAGE(AA15:AA34,AA36:AA131)</f>
        <v>0.46354003173308572</v>
      </c>
      <c r="AB132" s="1025">
        <f>IF(AA132&gt;75%,75%,AA132)</f>
        <v>0.46354003173308572</v>
      </c>
      <c r="AC132" s="1026">
        <f>AVERAGE(AC15:AC131)</f>
        <v>0.46675141867501913</v>
      </c>
      <c r="AD132" s="201"/>
      <c r="AE132" s="200" t="s">
        <v>204</v>
      </c>
      <c r="AF132" s="203">
        <f>AVERAGE(AF15:AF131)</f>
        <v>0</v>
      </c>
      <c r="AG132" s="199">
        <f t="shared" si="81"/>
        <v>0</v>
      </c>
      <c r="AH132" s="203">
        <f>AVERAGE(AH15:AH131)</f>
        <v>0.45835562676427866</v>
      </c>
      <c r="AI132" s="202">
        <f>AVERAGE(AI15:AI131)</f>
        <v>0.45235205673333068</v>
      </c>
      <c r="AJ132" s="248"/>
      <c r="AK132" s="240"/>
      <c r="AL132" s="246"/>
      <c r="AM132" s="245"/>
      <c r="AN132" s="247"/>
      <c r="AO132" s="246"/>
      <c r="AP132" s="245"/>
      <c r="AQ132" s="247"/>
      <c r="AR132" s="246"/>
      <c r="AS132" s="245"/>
      <c r="AT132" s="247"/>
      <c r="AU132" s="246"/>
      <c r="AV132" s="245"/>
      <c r="AW132" s="239"/>
      <c r="AX132" s="244"/>
      <c r="AY132" s="239"/>
      <c r="AZ132" s="246"/>
      <c r="BA132" s="245"/>
      <c r="BB132" s="247"/>
      <c r="BC132" s="246"/>
      <c r="BD132" s="245"/>
      <c r="BE132" s="247"/>
      <c r="BF132" s="246"/>
      <c r="BG132" s="245"/>
      <c r="BH132" s="247"/>
      <c r="BI132" s="246"/>
      <c r="BJ132" s="245"/>
      <c r="BK132" s="239"/>
      <c r="BL132" s="244"/>
      <c r="BN132" s="246"/>
      <c r="BO132" s="245"/>
      <c r="BP132" s="247"/>
      <c r="BQ132" s="246"/>
      <c r="BR132" s="245"/>
      <c r="BS132" s="247"/>
      <c r="BT132" s="246"/>
      <c r="BU132" s="245"/>
      <c r="BV132" s="247"/>
      <c r="BW132" s="246"/>
      <c r="BX132" s="245"/>
      <c r="BY132" s="239"/>
      <c r="BZ132" s="244"/>
      <c r="CB132" s="246"/>
      <c r="CC132" s="245"/>
      <c r="CD132" s="247"/>
      <c r="CE132" s="246"/>
      <c r="CF132" s="245"/>
      <c r="CG132" s="247"/>
      <c r="CH132" s="246"/>
      <c r="CI132" s="245"/>
      <c r="CJ132" s="247"/>
      <c r="CK132" s="246"/>
      <c r="CL132" s="245"/>
      <c r="CM132" s="239"/>
      <c r="CN132" s="244"/>
    </row>
    <row r="133" spans="2:92" ht="96.75" customHeight="1" x14ac:dyDescent="0.25">
      <c r="B133" s="1371" t="s">
        <v>1159</v>
      </c>
      <c r="C133" s="1314" t="s">
        <v>345</v>
      </c>
      <c r="D133" s="1311" t="s">
        <v>1152</v>
      </c>
      <c r="E133" s="1312" t="s">
        <v>13</v>
      </c>
      <c r="F133" s="1353" t="s">
        <v>330</v>
      </c>
      <c r="G133" s="1310" t="str">
        <f>+'Plan de Accion Proyectos estrat'!K9</f>
        <v>Paquetes de recobros y reclamaciones del rezago entregados para pago certificados por la Firma Interventora / Grupo supervisor de la ADRES o quien haga sus veces</v>
      </c>
      <c r="H133" s="313" t="str">
        <f>+'Plan de Accion Proyectos estrat'!X9</f>
        <v>#Paquetes de recobros y reclamaciones de rezago entregados para pago con interventoría certificada / # Paquetes de recobros y reclamaciones rezagados</v>
      </c>
      <c r="I133" s="241"/>
      <c r="J133" s="796">
        <f>+'Plan de Accion Proyectos estrat'!AG9</f>
        <v>3.4280662133819627E-6</v>
      </c>
      <c r="K133" s="539">
        <f>+'Plan de Accion Proyectos estrat'!AI9</f>
        <v>1.3712264853527851E-5</v>
      </c>
      <c r="L133" s="800">
        <f>IF(K133&gt;100%,100%,K133)</f>
        <v>1.3712264853527851E-5</v>
      </c>
      <c r="M133" s="800">
        <f>+'Plan de Accion Proyectos estrat'!AK9</f>
        <v>3.4280662133819627E-6</v>
      </c>
      <c r="N133" s="800">
        <f t="shared" si="49"/>
        <v>3.4280662133819627E-6</v>
      </c>
      <c r="O133" s="801">
        <f t="shared" ref="O133:O144" si="82">+N133</f>
        <v>3.4280662133819627E-6</v>
      </c>
      <c r="P133" s="216"/>
      <c r="Q133" s="310">
        <f>+'Plan de Accion Proyectos estrat'!AQ9</f>
        <v>0</v>
      </c>
      <c r="R133" s="311" t="s">
        <v>180</v>
      </c>
      <c r="S133" s="215" t="s">
        <v>204</v>
      </c>
      <c r="T133" s="800">
        <f>+'Plan de Accion Proyectos estrat'!AU9</f>
        <v>3.4280662133819627E-6</v>
      </c>
      <c r="U133" s="800">
        <f>IF(T133&gt;100%,100%,T133)</f>
        <v>3.4280662133819627E-6</v>
      </c>
      <c r="V133" s="802">
        <f>+U133</f>
        <v>3.4280662133819627E-6</v>
      </c>
      <c r="W133" s="216"/>
      <c r="X133" s="310">
        <f>+'Plan de Accion Proyectos estrat'!BA9</f>
        <v>0</v>
      </c>
      <c r="Y133" s="311" t="s">
        <v>180</v>
      </c>
      <c r="Z133" s="215" t="s">
        <v>204</v>
      </c>
      <c r="AA133" s="1023">
        <f>+'Plan de Accion Proyectos estrat'!BE9</f>
        <v>3.4280662133819627E-6</v>
      </c>
      <c r="AB133" s="1023">
        <f>IF(AA133&gt;100%,100%,AA133)</f>
        <v>3.4280662133819627E-6</v>
      </c>
      <c r="AC133" s="1024">
        <f>+AB133</f>
        <v>3.4280662133819627E-6</v>
      </c>
      <c r="AD133" s="216"/>
      <c r="AE133" s="310">
        <f>+'Plan de Accion Proyectos estrat'!BK9</f>
        <v>0</v>
      </c>
      <c r="AF133" s="311" t="s">
        <v>180</v>
      </c>
      <c r="AG133" s="215" t="s">
        <v>204</v>
      </c>
      <c r="AH133" s="800">
        <f>+'Plan de Accion Proyectos estrat'!BO9</f>
        <v>3.4280662133819627E-6</v>
      </c>
      <c r="AI133" s="802">
        <f>IF(AH133&gt;100%,100%,AH133)</f>
        <v>3.4280662133819627E-6</v>
      </c>
      <c r="AJ133" s="1432"/>
      <c r="AK133" s="240"/>
      <c r="AL133" s="1435"/>
      <c r="AM133" s="1409"/>
      <c r="AN133" s="207"/>
      <c r="AO133" s="1435"/>
      <c r="AP133" s="1409"/>
      <c r="AQ133" s="207"/>
      <c r="AR133" s="1435"/>
      <c r="AS133" s="1409"/>
      <c r="AT133" s="207"/>
      <c r="AU133" s="1435"/>
      <c r="AV133" s="1409"/>
      <c r="AW133" s="205"/>
      <c r="AX133" s="1415"/>
      <c r="AY133" s="239"/>
      <c r="AZ133" s="1435"/>
      <c r="BA133" s="1409"/>
      <c r="BB133" s="207"/>
      <c r="BC133" s="1435"/>
      <c r="BD133" s="1409"/>
      <c r="BE133" s="207"/>
      <c r="BF133" s="1435"/>
      <c r="BG133" s="1409"/>
      <c r="BH133" s="207"/>
      <c r="BI133" s="1435"/>
      <c r="BJ133" s="1409"/>
      <c r="BK133" s="205"/>
      <c r="BL133" s="1415"/>
      <c r="BN133" s="1435"/>
      <c r="BO133" s="1409"/>
      <c r="BP133" s="207"/>
      <c r="BQ133" s="1435"/>
      <c r="BR133" s="1409"/>
      <c r="BS133" s="207"/>
      <c r="BT133" s="1435"/>
      <c r="BU133" s="1409"/>
      <c r="BV133" s="207"/>
      <c r="BW133" s="1435"/>
      <c r="BX133" s="1409"/>
      <c r="BY133" s="205"/>
      <c r="BZ133" s="1415"/>
      <c r="CB133" s="1435"/>
      <c r="CC133" s="1409"/>
      <c r="CD133" s="207"/>
      <c r="CE133" s="1435"/>
      <c r="CF133" s="1409"/>
      <c r="CG133" s="207"/>
      <c r="CH133" s="1435"/>
      <c r="CI133" s="1409"/>
      <c r="CJ133" s="207"/>
      <c r="CK133" s="1435"/>
      <c r="CL133" s="1409"/>
      <c r="CM133" s="205"/>
      <c r="CN133" s="1415"/>
    </row>
    <row r="134" spans="2:92" ht="96.75" customHeight="1" x14ac:dyDescent="0.25">
      <c r="B134" s="1372"/>
      <c r="C134" s="1314"/>
      <c r="D134" s="1311"/>
      <c r="E134" s="1312"/>
      <c r="F134" s="1353"/>
      <c r="G134" s="1311"/>
      <c r="H134" s="671" t="str">
        <f>+'Plan de Accion Proyectos estrat'!X10</f>
        <v>#Paquetes de recobros y reclamaciones 2019 entregados para pago con interventoría certificada / # Paquetes de recobros y reclamaciones 2019  con trámite de auditoría por realizar</v>
      </c>
      <c r="I134" s="241"/>
      <c r="J134" s="797">
        <f>+'Plan de Accion Proyectos estrat'!AG10</f>
        <v>0</v>
      </c>
      <c r="K134" s="539" t="e">
        <f>+'Plan de Accion Proyectos estrat'!AI10</f>
        <v>#VALUE!</v>
      </c>
      <c r="L134" s="800" t="e">
        <f>IF(K134&gt;100%,100%,K134)</f>
        <v>#VALUE!</v>
      </c>
      <c r="M134" s="800" t="e">
        <f>+'Plan de Accion Proyectos estrat'!AK10</f>
        <v>#VALUE!</v>
      </c>
      <c r="N134" s="800" t="e">
        <f t="shared" ref="N134" si="83">IF(M134&gt;100%,100%,M134)</f>
        <v>#VALUE!</v>
      </c>
      <c r="O134" s="801" t="e">
        <f t="shared" ref="O134" si="84">+N134</f>
        <v>#VALUE!</v>
      </c>
      <c r="P134" s="216"/>
      <c r="Q134" s="663">
        <f>+'Plan de Accion Proyectos estrat'!AQ10</f>
        <v>0</v>
      </c>
      <c r="R134" s="253" t="s">
        <v>180</v>
      </c>
      <c r="S134" s="215" t="s">
        <v>204</v>
      </c>
      <c r="T134" s="659" t="s">
        <v>204</v>
      </c>
      <c r="U134" s="659" t="s">
        <v>204</v>
      </c>
      <c r="V134" s="214" t="s">
        <v>204</v>
      </c>
      <c r="W134" s="216"/>
      <c r="X134" s="663">
        <f>+'Plan de Accion Proyectos estrat'!BA10</f>
        <v>0</v>
      </c>
      <c r="Y134" s="253" t="s">
        <v>180</v>
      </c>
      <c r="Z134" s="215" t="s">
        <v>204</v>
      </c>
      <c r="AA134" s="220" t="s">
        <v>204</v>
      </c>
      <c r="AB134" s="220" t="s">
        <v>204</v>
      </c>
      <c r="AC134" s="219" t="s">
        <v>204</v>
      </c>
      <c r="AD134" s="216"/>
      <c r="AE134" s="663">
        <f>+'Plan de Accion Proyectos estrat'!BK10</f>
        <v>0</v>
      </c>
      <c r="AF134" s="253" t="s">
        <v>180</v>
      </c>
      <c r="AG134" s="215" t="s">
        <v>204</v>
      </c>
      <c r="AH134" s="659" t="s">
        <v>204</v>
      </c>
      <c r="AI134" s="214" t="s">
        <v>204</v>
      </c>
      <c r="AJ134" s="1433"/>
      <c r="AK134" s="240"/>
      <c r="AL134" s="1436"/>
      <c r="AM134" s="1410"/>
      <c r="AN134" s="207"/>
      <c r="AO134" s="1436"/>
      <c r="AP134" s="1410"/>
      <c r="AQ134" s="207"/>
      <c r="AR134" s="1436"/>
      <c r="AS134" s="1410"/>
      <c r="AT134" s="207"/>
      <c r="AU134" s="1436"/>
      <c r="AV134" s="1410"/>
      <c r="AW134" s="205"/>
      <c r="AX134" s="1416"/>
      <c r="AY134" s="239"/>
      <c r="AZ134" s="1436"/>
      <c r="BA134" s="1410"/>
      <c r="BB134" s="207"/>
      <c r="BC134" s="1436"/>
      <c r="BD134" s="1410"/>
      <c r="BE134" s="207"/>
      <c r="BF134" s="1436"/>
      <c r="BG134" s="1410"/>
      <c r="BH134" s="207"/>
      <c r="BI134" s="1436"/>
      <c r="BJ134" s="1410"/>
      <c r="BK134" s="205"/>
      <c r="BL134" s="1416"/>
      <c r="BN134" s="1436"/>
      <c r="BO134" s="1410"/>
      <c r="BP134" s="207"/>
      <c r="BQ134" s="1436"/>
      <c r="BR134" s="1410"/>
      <c r="BS134" s="207"/>
      <c r="BT134" s="1436"/>
      <c r="BU134" s="1410"/>
      <c r="BV134" s="207"/>
      <c r="BW134" s="1436"/>
      <c r="BX134" s="1410"/>
      <c r="BY134" s="205"/>
      <c r="BZ134" s="1416"/>
      <c r="CB134" s="1436"/>
      <c r="CC134" s="1410"/>
      <c r="CD134" s="207"/>
      <c r="CE134" s="1436"/>
      <c r="CF134" s="1410"/>
      <c r="CG134" s="207"/>
      <c r="CH134" s="1436"/>
      <c r="CI134" s="1410"/>
      <c r="CJ134" s="207"/>
      <c r="CK134" s="1436"/>
      <c r="CL134" s="1410"/>
      <c r="CM134" s="205"/>
      <c r="CN134" s="1416"/>
    </row>
    <row r="135" spans="2:92" ht="96.75" customHeight="1" x14ac:dyDescent="0.25">
      <c r="B135" s="1372"/>
      <c r="C135" s="1314"/>
      <c r="D135" s="1311"/>
      <c r="E135" s="1312"/>
      <c r="F135" s="1353"/>
      <c r="G135" s="1311"/>
      <c r="H135" s="671" t="str">
        <f>+'Plan de Accion Proyectos estrat'!X11</f>
        <v># de precierres validados de paquetes de recobros /# de precierres de paquetes de recobros entregados por la firma auditora</v>
      </c>
      <c r="I135" s="241"/>
      <c r="J135" s="663" t="str">
        <f>+'Plan de Accion Proyectos estrat'!AG11</f>
        <v>N.A</v>
      </c>
      <c r="K135" s="253" t="s">
        <v>180</v>
      </c>
      <c r="L135" s="659" t="s">
        <v>204</v>
      </c>
      <c r="M135" s="659" t="s">
        <v>204</v>
      </c>
      <c r="N135" s="659" t="s">
        <v>204</v>
      </c>
      <c r="O135" s="660" t="s">
        <v>204</v>
      </c>
      <c r="P135" s="216"/>
      <c r="Q135" s="663">
        <f>+'Plan de Accion Proyectos estrat'!AQ11</f>
        <v>0.25</v>
      </c>
      <c r="R135" s="659">
        <f>+'Plan de Accion Proyectos estrat'!AS11</f>
        <v>1</v>
      </c>
      <c r="S135" s="215">
        <f t="shared" ref="S135" si="85">IF(R135&gt;100%,100%,R135)</f>
        <v>1</v>
      </c>
      <c r="T135" s="659">
        <f>+'Plan de Accion Proyectos estrat'!AU11</f>
        <v>0.33333333333333331</v>
      </c>
      <c r="U135" s="659">
        <f t="shared" ref="U135" si="86">IF(T135&gt;100%,100%,T135)</f>
        <v>0.33333333333333331</v>
      </c>
      <c r="V135" s="214">
        <f t="shared" ref="V135" si="87">+U135</f>
        <v>0.33333333333333331</v>
      </c>
      <c r="W135" s="216"/>
      <c r="X135" s="663">
        <f>+'Plan de Accion Proyectos estrat'!BA11</f>
        <v>0.25</v>
      </c>
      <c r="Y135" s="659">
        <f>+'Plan de Accion Proyectos estrat'!BC11</f>
        <v>1</v>
      </c>
      <c r="Z135" s="215">
        <f t="shared" ref="Z135" si="88">IF(Y135&gt;100%,100%,Y135)</f>
        <v>1</v>
      </c>
      <c r="AA135" s="220">
        <f>+'Plan de Accion Proyectos estrat'!BE11</f>
        <v>0.66666666666666663</v>
      </c>
      <c r="AB135" s="220">
        <f t="shared" ref="AB135" si="89">IF(AA135&gt;100%,100%,AA135)</f>
        <v>0.66666666666666663</v>
      </c>
      <c r="AC135" s="219">
        <f t="shared" ref="AC135" si="90">+AB135</f>
        <v>0.66666666666666663</v>
      </c>
      <c r="AD135" s="216"/>
      <c r="AE135" s="663">
        <f>+'Plan de Accion Proyectos estrat'!BK11</f>
        <v>0</v>
      </c>
      <c r="AF135" s="659">
        <f>+'Plan de Accion Proyectos estrat'!BM11</f>
        <v>0</v>
      </c>
      <c r="AG135" s="215">
        <f t="shared" ref="AG135" si="91">IF(AF135&gt;100%,100%,AF135)</f>
        <v>0</v>
      </c>
      <c r="AH135" s="659">
        <f>+'Plan de Accion Proyectos estrat'!BO11</f>
        <v>0.66666666666666663</v>
      </c>
      <c r="AI135" s="214">
        <f t="shared" ref="AI135" si="92">IF(AH135&gt;100%,100%,AH135)</f>
        <v>0.66666666666666663</v>
      </c>
      <c r="AJ135" s="1433"/>
      <c r="AK135" s="240"/>
      <c r="AL135" s="1436"/>
      <c r="AM135" s="1410"/>
      <c r="AN135" s="207"/>
      <c r="AO135" s="1436"/>
      <c r="AP135" s="1410"/>
      <c r="AQ135" s="207"/>
      <c r="AR135" s="1436"/>
      <c r="AS135" s="1410"/>
      <c r="AT135" s="207"/>
      <c r="AU135" s="1436"/>
      <c r="AV135" s="1410"/>
      <c r="AW135" s="205"/>
      <c r="AX135" s="1416"/>
      <c r="AY135" s="239"/>
      <c r="AZ135" s="1436"/>
      <c r="BA135" s="1410"/>
      <c r="BB135" s="207"/>
      <c r="BC135" s="1436"/>
      <c r="BD135" s="1410"/>
      <c r="BE135" s="207"/>
      <c r="BF135" s="1436"/>
      <c r="BG135" s="1410"/>
      <c r="BH135" s="207"/>
      <c r="BI135" s="1436"/>
      <c r="BJ135" s="1410"/>
      <c r="BK135" s="205"/>
      <c r="BL135" s="1416"/>
      <c r="BN135" s="1436"/>
      <c r="BO135" s="1410"/>
      <c r="BP135" s="207"/>
      <c r="BQ135" s="1436"/>
      <c r="BR135" s="1410"/>
      <c r="BS135" s="207"/>
      <c r="BT135" s="1436"/>
      <c r="BU135" s="1410"/>
      <c r="BV135" s="207"/>
      <c r="BW135" s="1436"/>
      <c r="BX135" s="1410"/>
      <c r="BY135" s="205"/>
      <c r="BZ135" s="1416"/>
      <c r="CB135" s="1436"/>
      <c r="CC135" s="1410"/>
      <c r="CD135" s="207"/>
      <c r="CE135" s="1436"/>
      <c r="CF135" s="1410"/>
      <c r="CG135" s="207"/>
      <c r="CH135" s="1436"/>
      <c r="CI135" s="1410"/>
      <c r="CJ135" s="207"/>
      <c r="CK135" s="1436"/>
      <c r="CL135" s="1410"/>
      <c r="CM135" s="205"/>
      <c r="CN135" s="1416"/>
    </row>
    <row r="136" spans="2:92" ht="96" customHeight="1" x14ac:dyDescent="0.25">
      <c r="B136" s="1372"/>
      <c r="C136" s="1314"/>
      <c r="D136" s="1311"/>
      <c r="E136" s="1322"/>
      <c r="F136" s="1365"/>
      <c r="G136" s="1311"/>
      <c r="H136" s="227" t="str">
        <f>+'Plan de Accion Proyectos estrat'!X12</f>
        <v xml:space="preserve"># de precierres validados de paquetes de reclamaciones /# de precierres de paquetes de reclamaciones entregados por la firma auditora  </v>
      </c>
      <c r="I136" s="241"/>
      <c r="J136" s="310" t="str">
        <f>+'Plan de Accion Proyectos estrat'!AG12</f>
        <v>N.A</v>
      </c>
      <c r="K136" s="253" t="s">
        <v>180</v>
      </c>
      <c r="L136" s="483" t="s">
        <v>204</v>
      </c>
      <c r="M136" s="659" t="s">
        <v>204</v>
      </c>
      <c r="N136" s="659" t="s">
        <v>204</v>
      </c>
      <c r="O136" s="485" t="s">
        <v>204</v>
      </c>
      <c r="P136" s="216"/>
      <c r="Q136" s="310">
        <f>+'Plan de Accion Proyectos estrat'!AQ12</f>
        <v>0.25</v>
      </c>
      <c r="R136" s="311">
        <f>+'Plan de Accion Proyectos estrat'!BT12</f>
        <v>1</v>
      </c>
      <c r="S136" s="215">
        <f>IF(R136&gt;100%,100%,R136)</f>
        <v>1</v>
      </c>
      <c r="T136" s="311">
        <f>+'Plan de Accion Proyectos estrat'!AU12</f>
        <v>0.33333333333333331</v>
      </c>
      <c r="U136" s="311">
        <f>IF(T136&gt;100%,100%,T136)</f>
        <v>0.33333333333333331</v>
      </c>
      <c r="V136" s="214">
        <f>+U136</f>
        <v>0.33333333333333331</v>
      </c>
      <c r="W136" s="216"/>
      <c r="X136" s="310">
        <f>+'Plan de Accion Proyectos estrat'!BA12</f>
        <v>0.22972972972972974</v>
      </c>
      <c r="Y136" s="311">
        <f>+'Plan de Accion Proyectos estrat'!BC12</f>
        <v>0.91891891891891897</v>
      </c>
      <c r="Z136" s="215">
        <f t="shared" si="64"/>
        <v>0.91891891891891897</v>
      </c>
      <c r="AA136" s="220">
        <f>+'Plan de Accion Proyectos estrat'!BE12</f>
        <v>0.63963963963963966</v>
      </c>
      <c r="AB136" s="220">
        <f>IF(AA136&gt;100%,100%,AA136)</f>
        <v>0.63963963963963966</v>
      </c>
      <c r="AC136" s="219">
        <f>+AB136</f>
        <v>0.63963963963963966</v>
      </c>
      <c r="AD136" s="216"/>
      <c r="AE136" s="310">
        <f>+'Plan de Accion Proyectos estrat'!BK12</f>
        <v>0</v>
      </c>
      <c r="AF136" s="311">
        <f>+'Plan de Accion Proyectos estrat'!BM12</f>
        <v>0</v>
      </c>
      <c r="AG136" s="215">
        <f t="shared" si="81"/>
        <v>0</v>
      </c>
      <c r="AH136" s="311">
        <f>+'Plan de Accion Proyectos estrat'!BO12</f>
        <v>0.63963963963963966</v>
      </c>
      <c r="AI136" s="214">
        <f>IF(AH136&gt;100%,100%,AH136)</f>
        <v>0.63963963963963966</v>
      </c>
      <c r="AJ136" s="1433"/>
      <c r="AK136" s="240"/>
      <c r="AL136" s="1436"/>
      <c r="AM136" s="1410"/>
      <c r="AN136" s="207"/>
      <c r="AO136" s="1436"/>
      <c r="AP136" s="1410"/>
      <c r="AQ136" s="207"/>
      <c r="AR136" s="1436"/>
      <c r="AS136" s="1410"/>
      <c r="AT136" s="207"/>
      <c r="AU136" s="1436"/>
      <c r="AV136" s="1410"/>
      <c r="AW136" s="205"/>
      <c r="AX136" s="1416"/>
      <c r="AY136" s="239"/>
      <c r="AZ136" s="1436"/>
      <c r="BA136" s="1410"/>
      <c r="BB136" s="207"/>
      <c r="BC136" s="1436"/>
      <c r="BD136" s="1410"/>
      <c r="BE136" s="207"/>
      <c r="BF136" s="1436"/>
      <c r="BG136" s="1410"/>
      <c r="BH136" s="207"/>
      <c r="BI136" s="1436"/>
      <c r="BJ136" s="1410"/>
      <c r="BK136" s="205"/>
      <c r="BL136" s="1416"/>
      <c r="BN136" s="1436"/>
      <c r="BO136" s="1410"/>
      <c r="BP136" s="207"/>
      <c r="BQ136" s="1436"/>
      <c r="BR136" s="1410"/>
      <c r="BS136" s="207"/>
      <c r="BT136" s="1436"/>
      <c r="BU136" s="1410"/>
      <c r="BV136" s="207"/>
      <c r="BW136" s="1436"/>
      <c r="BX136" s="1410"/>
      <c r="BY136" s="205"/>
      <c r="BZ136" s="1416"/>
      <c r="CB136" s="1436"/>
      <c r="CC136" s="1410"/>
      <c r="CD136" s="207"/>
      <c r="CE136" s="1436"/>
      <c r="CF136" s="1410"/>
      <c r="CG136" s="207"/>
      <c r="CH136" s="1436"/>
      <c r="CI136" s="1410"/>
      <c r="CJ136" s="207"/>
      <c r="CK136" s="1436"/>
      <c r="CL136" s="1410"/>
      <c r="CM136" s="205"/>
      <c r="CN136" s="1416"/>
    </row>
    <row r="137" spans="2:92" ht="96" customHeight="1" x14ac:dyDescent="0.25">
      <c r="B137" s="1372"/>
      <c r="C137" s="1314"/>
      <c r="D137" s="1311"/>
      <c r="E137" s="1322"/>
      <c r="F137" s="1365"/>
      <c r="G137" s="1312"/>
      <c r="H137" s="227" t="str">
        <f>+'Plan de Accion Proyectos estrat'!X13</f>
        <v># de bitácoras generadas sobre el seguimiento a los paquetes de recobros y reclamaciones</v>
      </c>
      <c r="I137" s="241"/>
      <c r="J137" s="553" t="str">
        <f>+'Plan de Accion Proyectos estrat'!AG13</f>
        <v>N.A</v>
      </c>
      <c r="K137" s="253" t="s">
        <v>180</v>
      </c>
      <c r="L137" s="552" t="s">
        <v>204</v>
      </c>
      <c r="M137" s="659" t="s">
        <v>204</v>
      </c>
      <c r="N137" s="659" t="s">
        <v>204</v>
      </c>
      <c r="O137" s="554" t="s">
        <v>204</v>
      </c>
      <c r="P137" s="216"/>
      <c r="Q137" s="553">
        <f>+'Plan de Accion Proyectos estrat'!AQ13</f>
        <v>2</v>
      </c>
      <c r="R137" s="552">
        <f>+'Plan de Accion Proyectos estrat'!BT13</f>
        <v>1</v>
      </c>
      <c r="S137" s="215">
        <f>IF(R137&gt;100%,100%,R137)</f>
        <v>1</v>
      </c>
      <c r="T137" s="552">
        <f>+'Plan de Accion Proyectos estrat'!AU13</f>
        <v>0.33333333333333331</v>
      </c>
      <c r="U137" s="552">
        <f>IF(T137&gt;100%,100%,T137)</f>
        <v>0.33333333333333331</v>
      </c>
      <c r="V137" s="214">
        <f>+U137</f>
        <v>0.33333333333333331</v>
      </c>
      <c r="W137" s="216"/>
      <c r="X137" s="553">
        <f>+'Plan de Accion Proyectos estrat'!BA13</f>
        <v>2</v>
      </c>
      <c r="Y137" s="552">
        <f>+'Plan de Accion Proyectos estrat'!BC13</f>
        <v>1</v>
      </c>
      <c r="Z137" s="215">
        <f t="shared" ref="Z137" si="93">IF(Y137&gt;100%,100%,Y137)</f>
        <v>1</v>
      </c>
      <c r="AA137" s="220">
        <f>+'Plan de Accion Proyectos estrat'!BE13</f>
        <v>0.66666666666666663</v>
      </c>
      <c r="AB137" s="220">
        <f>IF(AA137&gt;100%,100%,AA137)</f>
        <v>0.66666666666666663</v>
      </c>
      <c r="AC137" s="219">
        <f>+AB137</f>
        <v>0.66666666666666663</v>
      </c>
      <c r="AD137" s="216"/>
      <c r="AE137" s="553">
        <f>+'Plan de Accion Proyectos estrat'!BK13</f>
        <v>0</v>
      </c>
      <c r="AF137" s="552">
        <f>+'Plan de Accion Proyectos estrat'!BM13</f>
        <v>0</v>
      </c>
      <c r="AG137" s="215">
        <f t="shared" si="81"/>
        <v>0</v>
      </c>
      <c r="AH137" s="552">
        <f>+'Plan de Accion Proyectos estrat'!BO13</f>
        <v>0.66666666666666663</v>
      </c>
      <c r="AI137" s="214">
        <f>IF(AH137&gt;100%,100%,AH137)</f>
        <v>0.66666666666666663</v>
      </c>
      <c r="AJ137" s="1433"/>
      <c r="AK137" s="240"/>
      <c r="AL137" s="1436"/>
      <c r="AM137" s="1410"/>
      <c r="AN137" s="207"/>
      <c r="AO137" s="1436"/>
      <c r="AP137" s="1410"/>
      <c r="AQ137" s="207"/>
      <c r="AR137" s="1436"/>
      <c r="AS137" s="1410"/>
      <c r="AT137" s="207"/>
      <c r="AU137" s="1436"/>
      <c r="AV137" s="1410"/>
      <c r="AW137" s="205"/>
      <c r="AX137" s="1416"/>
      <c r="AY137" s="239"/>
      <c r="AZ137" s="1436"/>
      <c r="BA137" s="1410"/>
      <c r="BB137" s="207"/>
      <c r="BC137" s="1436"/>
      <c r="BD137" s="1410"/>
      <c r="BE137" s="207"/>
      <c r="BF137" s="1436"/>
      <c r="BG137" s="1410"/>
      <c r="BH137" s="207"/>
      <c r="BI137" s="1436"/>
      <c r="BJ137" s="1410"/>
      <c r="BK137" s="205"/>
      <c r="BL137" s="1416"/>
      <c r="BN137" s="1436"/>
      <c r="BO137" s="1410"/>
      <c r="BP137" s="207"/>
      <c r="BQ137" s="1436"/>
      <c r="BR137" s="1410"/>
      <c r="BS137" s="207"/>
      <c r="BT137" s="1436"/>
      <c r="BU137" s="1410"/>
      <c r="BV137" s="207"/>
      <c r="BW137" s="1436"/>
      <c r="BX137" s="1410"/>
      <c r="BY137" s="205"/>
      <c r="BZ137" s="1416"/>
      <c r="CB137" s="1436"/>
      <c r="CC137" s="1410"/>
      <c r="CD137" s="207"/>
      <c r="CE137" s="1436"/>
      <c r="CF137" s="1410"/>
      <c r="CG137" s="207"/>
      <c r="CH137" s="1436"/>
      <c r="CI137" s="1410"/>
      <c r="CJ137" s="207"/>
      <c r="CK137" s="1436"/>
      <c r="CL137" s="1410"/>
      <c r="CM137" s="205"/>
      <c r="CN137" s="1416"/>
    </row>
    <row r="138" spans="2:92" ht="57.75" thickBot="1" x14ac:dyDescent="0.3">
      <c r="B138" s="1372"/>
      <c r="C138" s="1314"/>
      <c r="D138" s="1311"/>
      <c r="E138" s="1322"/>
      <c r="F138" s="1365"/>
      <c r="G138" s="315" t="str">
        <f>+'Plan de Accion Proyectos estrat'!K16</f>
        <v>Comunicaciones de ordenación del gasto resultantes del proceso de giro previo</v>
      </c>
      <c r="H138" s="227" t="str">
        <f>+'Plan de Accion Proyectos estrat'!X16</f>
        <v xml:space="preserve"># Comunicaciones de ordenación de gasto del giro previo </v>
      </c>
      <c r="I138" s="241"/>
      <c r="J138" s="221">
        <f>+'Plan de Accion Proyectos estrat'!AG16</f>
        <v>3</v>
      </c>
      <c r="K138" s="483">
        <f>+'Plan de Accion Proyectos estrat'!AI16</f>
        <v>1</v>
      </c>
      <c r="L138" s="483">
        <f>IF(K138&gt;100%,100%,K138)</f>
        <v>1</v>
      </c>
      <c r="M138" s="483">
        <f>+'Plan de Accion Proyectos estrat'!AK16</f>
        <v>0.25</v>
      </c>
      <c r="N138" s="483">
        <f t="shared" si="49"/>
        <v>0.25</v>
      </c>
      <c r="O138" s="485">
        <f t="shared" si="82"/>
        <v>0.25</v>
      </c>
      <c r="P138" s="216"/>
      <c r="Q138" s="221">
        <f>+'Plan de Accion Proyectos estrat'!AQ16</f>
        <v>6</v>
      </c>
      <c r="R138" s="311">
        <f>+'Plan de Accion Proyectos estrat'!AS16</f>
        <v>2</v>
      </c>
      <c r="S138" s="215">
        <f>IF(R138&gt;100%,100%,R138)</f>
        <v>1</v>
      </c>
      <c r="T138" s="311">
        <f>+'Plan de Accion Proyectos estrat'!AU16</f>
        <v>0.75</v>
      </c>
      <c r="U138" s="311">
        <f>IF(T138&gt;100%,100%,T138)</f>
        <v>0.75</v>
      </c>
      <c r="V138" s="214">
        <f>+U138</f>
        <v>0.75</v>
      </c>
      <c r="W138" s="216">
        <v>1</v>
      </c>
      <c r="X138" s="221">
        <f>+'Plan de Accion Proyectos estrat'!BA16</f>
        <v>8</v>
      </c>
      <c r="Y138" s="311">
        <f>+'Plan de Accion Proyectos estrat'!BC16</f>
        <v>2.6666666666666665</v>
      </c>
      <c r="Z138" s="215">
        <f t="shared" si="64"/>
        <v>1</v>
      </c>
      <c r="AA138" s="220">
        <f>+'Plan de Accion Proyectos estrat'!BE16</f>
        <v>1.4166666666666667</v>
      </c>
      <c r="AB138" s="220">
        <f>IF(AA138&gt;100%,100%,AA138)</f>
        <v>1</v>
      </c>
      <c r="AC138" s="219">
        <f>+AB138</f>
        <v>1</v>
      </c>
      <c r="AD138" s="216">
        <v>1</v>
      </c>
      <c r="AE138" s="222">
        <f>+'Plan de Accion Proyectos estrat'!BK16</f>
        <v>0</v>
      </c>
      <c r="AF138" s="311">
        <f>+'Plan de Accion Proyectos estrat'!BM16</f>
        <v>0</v>
      </c>
      <c r="AG138" s="215">
        <f t="shared" si="81"/>
        <v>0</v>
      </c>
      <c r="AH138" s="311">
        <f>+'Plan de Accion Proyectos estrat'!BO16</f>
        <v>1.4166666666666667</v>
      </c>
      <c r="AI138" s="214">
        <f>IF(AH138&gt;100%,100%,AH138)</f>
        <v>1</v>
      </c>
      <c r="AJ138" s="1434"/>
      <c r="AK138" s="240"/>
      <c r="AL138" s="1437"/>
      <c r="AM138" s="1411"/>
      <c r="AN138" s="207"/>
      <c r="AO138" s="1437"/>
      <c r="AP138" s="1411"/>
      <c r="AQ138" s="207"/>
      <c r="AR138" s="1437"/>
      <c r="AS138" s="1411"/>
      <c r="AT138" s="207"/>
      <c r="AU138" s="1437"/>
      <c r="AV138" s="1411"/>
      <c r="AW138" s="205"/>
      <c r="AX138" s="1417"/>
      <c r="AY138" s="239"/>
      <c r="AZ138" s="1437"/>
      <c r="BA138" s="1411"/>
      <c r="BB138" s="207"/>
      <c r="BC138" s="1437"/>
      <c r="BD138" s="1411"/>
      <c r="BE138" s="207"/>
      <c r="BF138" s="1437"/>
      <c r="BG138" s="1411"/>
      <c r="BH138" s="207"/>
      <c r="BI138" s="1437"/>
      <c r="BJ138" s="1411"/>
      <c r="BK138" s="205"/>
      <c r="BL138" s="1417"/>
      <c r="BN138" s="1437"/>
      <c r="BO138" s="1411"/>
      <c r="BP138" s="207"/>
      <c r="BQ138" s="1437"/>
      <c r="BR138" s="1411"/>
      <c r="BS138" s="207"/>
      <c r="BT138" s="1437"/>
      <c r="BU138" s="1411"/>
      <c r="BV138" s="207"/>
      <c r="BW138" s="1437"/>
      <c r="BX138" s="1411"/>
      <c r="BY138" s="205"/>
      <c r="BZ138" s="1417"/>
      <c r="CB138" s="1437"/>
      <c r="CC138" s="1411"/>
      <c r="CD138" s="207"/>
      <c r="CE138" s="1437"/>
      <c r="CF138" s="1411"/>
      <c r="CG138" s="207"/>
      <c r="CH138" s="1437"/>
      <c r="CI138" s="1411"/>
      <c r="CJ138" s="207"/>
      <c r="CK138" s="1437"/>
      <c r="CL138" s="1411"/>
      <c r="CM138" s="205"/>
      <c r="CN138" s="1417"/>
    </row>
    <row r="139" spans="2:92" ht="183" customHeight="1" x14ac:dyDescent="0.25">
      <c r="B139" s="1372"/>
      <c r="C139" s="1314"/>
      <c r="D139" s="1311"/>
      <c r="E139" s="1322"/>
      <c r="F139" s="1365"/>
      <c r="G139" s="681" t="str">
        <f>+'Plan de Accion Proyectos estrat'!K17</f>
        <v>Comunicaciones de ordenación del gasto resultantes del proceso de pagos de los paquetes de recobros cuyo trámite de auditoria haya culminado</v>
      </c>
      <c r="H139" s="227" t="str">
        <f>+'Plan de Accion Proyectos estrat'!X17</f>
        <v># Ordenaciones realizadas de paquetes de recobros cuyo trámite de auditoría se encuentre certificado o haya sido allegado el auto de desistimiento para el caso de recobros inmersos en procesos judiciales  / # paquetes cuyo tramite de auditoria se encuentre certificado o haya sido allegado el auto de desistimiento para el caso de recobros inmersos en procesos judiciales</v>
      </c>
      <c r="I139" s="241"/>
      <c r="J139" s="310">
        <f>+'Plan de Accion Proyectos estrat'!AG17</f>
        <v>0</v>
      </c>
      <c r="K139" s="677">
        <f>AVERAGE('Plan de Accion Proyectos estrat'!AI17:AI17)</f>
        <v>0</v>
      </c>
      <c r="L139" s="677">
        <f t="shared" ref="L139:L146" si="94">IF(K139&gt;100%,100%,K139)</f>
        <v>0</v>
      </c>
      <c r="M139" s="677">
        <f>AVERAGE('Plan de Accion Proyectos estrat'!AK17:AK17)</f>
        <v>0</v>
      </c>
      <c r="N139" s="677">
        <f t="shared" si="49"/>
        <v>0</v>
      </c>
      <c r="O139" s="676">
        <f t="shared" si="82"/>
        <v>0</v>
      </c>
      <c r="P139" s="216"/>
      <c r="Q139" s="310">
        <f>+'Plan de Accion Proyectos estrat'!AQ17</f>
        <v>0.25</v>
      </c>
      <c r="R139" s="677">
        <f>AVERAGE('Plan de Accion Proyectos estrat'!AS17:AS17)</f>
        <v>1</v>
      </c>
      <c r="S139" s="677">
        <f t="shared" ref="S139:S146" si="95">IF(R139&gt;100%,100%,R139)</f>
        <v>1</v>
      </c>
      <c r="T139" s="677">
        <f>AVERAGE('Plan de Accion Proyectos estrat'!AU17:AU17)</f>
        <v>0.25</v>
      </c>
      <c r="U139" s="677">
        <f t="shared" ref="U139:U146" si="96">IF(T139&gt;100%,100%,T139)</f>
        <v>0.25</v>
      </c>
      <c r="V139" s="676">
        <f t="shared" ref="V139:V157" si="97">+U139</f>
        <v>0.25</v>
      </c>
      <c r="W139" s="216"/>
      <c r="X139" s="310">
        <f>+'Plan de Accion Proyectos estrat'!BA17</f>
        <v>0.25</v>
      </c>
      <c r="Y139" s="1038">
        <f>AVERAGE('Plan de Accion Proyectos estrat'!BC17:BC17)</f>
        <v>1</v>
      </c>
      <c r="Z139" s="1038">
        <f t="shared" ref="Z139:Z157" si="98">IF(Y139&gt;100%,100%,Y139)</f>
        <v>1</v>
      </c>
      <c r="AA139" s="678">
        <f>AVERAGE('Plan de Accion Proyectos estrat'!BE17:BE17)</f>
        <v>0.5</v>
      </c>
      <c r="AB139" s="678">
        <f t="shared" ref="AB139:AB157" si="99">IF(AA139&gt;100%,100%,AA139)</f>
        <v>0.5</v>
      </c>
      <c r="AC139" s="679">
        <f t="shared" ref="AC139:AC157" si="100">+AB139</f>
        <v>0.5</v>
      </c>
      <c r="AD139" s="216"/>
      <c r="AE139" s="310">
        <f>+'Plan de Accion Proyectos estrat'!BK17</f>
        <v>0</v>
      </c>
      <c r="AF139" s="677">
        <f>AVERAGE('Plan de Accion Proyectos estrat'!BM17:BM17)</f>
        <v>0</v>
      </c>
      <c r="AG139" s="677">
        <f t="shared" ref="AG139:AG157" si="101">IF(AF139&gt;100%,100%,AF139)</f>
        <v>0</v>
      </c>
      <c r="AH139" s="677">
        <f>AVERAGE('Plan de Accion Proyectos estrat'!BO17:BO17)</f>
        <v>0.5</v>
      </c>
      <c r="AI139" s="676">
        <f t="shared" ref="AI139:AI158" si="102">IF(AH139&gt;100%,100%,AH139)</f>
        <v>0.5</v>
      </c>
      <c r="AJ139" s="1432"/>
      <c r="AK139" s="240"/>
      <c r="AL139" s="1441"/>
      <c r="AM139" s="1409"/>
      <c r="AN139" s="207"/>
      <c r="AO139" s="1441"/>
      <c r="AP139" s="1409"/>
      <c r="AQ139" s="207"/>
      <c r="AR139" s="1441"/>
      <c r="AS139" s="1409"/>
      <c r="AT139" s="207"/>
      <c r="AU139" s="1441"/>
      <c r="AV139" s="1409"/>
      <c r="AW139" s="205"/>
      <c r="AX139" s="1415"/>
      <c r="AY139" s="239"/>
      <c r="AZ139" s="1441"/>
      <c r="BA139" s="1409"/>
      <c r="BB139" s="207"/>
      <c r="BC139" s="1441"/>
      <c r="BD139" s="1409"/>
      <c r="BE139" s="207"/>
      <c r="BF139" s="1441"/>
      <c r="BG139" s="1409"/>
      <c r="BH139" s="207"/>
      <c r="BI139" s="1441"/>
      <c r="BJ139" s="1409"/>
      <c r="BK139" s="205"/>
      <c r="BL139" s="1415"/>
      <c r="BN139" s="1441"/>
      <c r="BO139" s="1409"/>
      <c r="BP139" s="207"/>
      <c r="BQ139" s="1441"/>
      <c r="BR139" s="1409"/>
      <c r="BS139" s="207"/>
      <c r="BT139" s="1441"/>
      <c r="BU139" s="1409"/>
      <c r="BV139" s="207"/>
      <c r="BW139" s="1441"/>
      <c r="BX139" s="1409"/>
      <c r="BY139" s="205"/>
      <c r="BZ139" s="1415"/>
      <c r="CB139" s="1441"/>
      <c r="CC139" s="1409"/>
      <c r="CD139" s="207"/>
      <c r="CE139" s="1441"/>
      <c r="CF139" s="1409"/>
      <c r="CG139" s="207"/>
      <c r="CH139" s="1441"/>
      <c r="CI139" s="1409"/>
      <c r="CJ139" s="207"/>
      <c r="CK139" s="1441"/>
      <c r="CL139" s="1409"/>
      <c r="CM139" s="205"/>
      <c r="CN139" s="1415"/>
    </row>
    <row r="140" spans="2:92" ht="66.75" customHeight="1" x14ac:dyDescent="0.25">
      <c r="B140" s="1372"/>
      <c r="C140" s="1314"/>
      <c r="D140" s="1311"/>
      <c r="E140" s="1322"/>
      <c r="F140" s="1365"/>
      <c r="G140" s="315" t="str">
        <f>+'Plan de Accion Proyectos estrat'!K18</f>
        <v>Correos electrónicos de solicitud de publicación del giro por recobros</v>
      </c>
      <c r="H140" s="227" t="str">
        <f>+'Plan de Accion Proyectos estrat'!X18</f>
        <v># Solicitudes de publicación de giros por recobros / # ordenaciones de giros por recobros</v>
      </c>
      <c r="I140" s="241"/>
      <c r="J140" s="310">
        <f>+'Plan de Accion Proyectos estrat'!AG18</f>
        <v>0.25</v>
      </c>
      <c r="K140" s="483">
        <f>+'Plan de Accion Proyectos estrat'!AI18</f>
        <v>1</v>
      </c>
      <c r="L140" s="483">
        <f t="shared" si="94"/>
        <v>1</v>
      </c>
      <c r="M140" s="483">
        <f>+'Plan de Accion Proyectos estrat'!AK18</f>
        <v>0.25</v>
      </c>
      <c r="N140" s="483">
        <f t="shared" si="49"/>
        <v>0.25</v>
      </c>
      <c r="O140" s="485">
        <f t="shared" si="82"/>
        <v>0.25</v>
      </c>
      <c r="P140" s="216"/>
      <c r="Q140" s="310">
        <f>+'Plan de Accion Proyectos estrat'!AQ18</f>
        <v>0.25</v>
      </c>
      <c r="R140" s="311">
        <f>+'Plan de Accion Proyectos estrat'!AS18</f>
        <v>1</v>
      </c>
      <c r="S140" s="215">
        <f t="shared" si="95"/>
        <v>1</v>
      </c>
      <c r="T140" s="311">
        <f>+'Plan de Accion Proyectos estrat'!AU18</f>
        <v>0.5</v>
      </c>
      <c r="U140" s="311">
        <f t="shared" si="96"/>
        <v>0.5</v>
      </c>
      <c r="V140" s="214">
        <f t="shared" si="97"/>
        <v>0.5</v>
      </c>
      <c r="W140" s="216"/>
      <c r="X140" s="310">
        <f>+'Plan de Accion Proyectos estrat'!BA18</f>
        <v>0.25</v>
      </c>
      <c r="Y140" s="311">
        <f>+'Plan de Accion Proyectos estrat'!BC18</f>
        <v>1</v>
      </c>
      <c r="Z140" s="215">
        <f t="shared" si="98"/>
        <v>1</v>
      </c>
      <c r="AA140" s="220">
        <f>+'Plan de Accion Proyectos estrat'!BE18</f>
        <v>0.75</v>
      </c>
      <c r="AB140" s="220">
        <f t="shared" si="99"/>
        <v>0.75</v>
      </c>
      <c r="AC140" s="219">
        <f t="shared" si="100"/>
        <v>0.75</v>
      </c>
      <c r="AD140" s="216"/>
      <c r="AE140" s="310">
        <f>+'Plan de Accion Proyectos estrat'!BK18</f>
        <v>0</v>
      </c>
      <c r="AF140" s="311">
        <f>+'Plan de Accion Proyectos estrat'!BM18</f>
        <v>0</v>
      </c>
      <c r="AG140" s="215">
        <f t="shared" si="101"/>
        <v>0</v>
      </c>
      <c r="AH140" s="311">
        <f>+'Plan de Accion Proyectos estrat'!BO18</f>
        <v>0.75</v>
      </c>
      <c r="AI140" s="214">
        <f t="shared" si="102"/>
        <v>0.75</v>
      </c>
      <c r="AJ140" s="1433"/>
      <c r="AK140" s="240"/>
      <c r="AL140" s="1442"/>
      <c r="AM140" s="1410"/>
      <c r="AN140" s="207"/>
      <c r="AO140" s="1442"/>
      <c r="AP140" s="1410"/>
      <c r="AQ140" s="207"/>
      <c r="AR140" s="1442"/>
      <c r="AS140" s="1410"/>
      <c r="AT140" s="207"/>
      <c r="AU140" s="1442"/>
      <c r="AV140" s="1410"/>
      <c r="AW140" s="205"/>
      <c r="AX140" s="1416"/>
      <c r="AY140" s="239"/>
      <c r="AZ140" s="1442"/>
      <c r="BA140" s="1410"/>
      <c r="BB140" s="207"/>
      <c r="BC140" s="1442"/>
      <c r="BD140" s="1410"/>
      <c r="BE140" s="207"/>
      <c r="BF140" s="1442"/>
      <c r="BG140" s="1410"/>
      <c r="BH140" s="207"/>
      <c r="BI140" s="1442"/>
      <c r="BJ140" s="1410"/>
      <c r="BK140" s="205"/>
      <c r="BL140" s="1416"/>
      <c r="BN140" s="1442"/>
      <c r="BO140" s="1410"/>
      <c r="BP140" s="207"/>
      <c r="BQ140" s="1442"/>
      <c r="BR140" s="1410"/>
      <c r="BS140" s="207"/>
      <c r="BT140" s="1442"/>
      <c r="BU140" s="1410"/>
      <c r="BV140" s="207"/>
      <c r="BW140" s="1442"/>
      <c r="BX140" s="1410"/>
      <c r="BY140" s="205"/>
      <c r="BZ140" s="1416"/>
      <c r="CB140" s="1442"/>
      <c r="CC140" s="1410"/>
      <c r="CD140" s="207"/>
      <c r="CE140" s="1442"/>
      <c r="CF140" s="1410"/>
      <c r="CG140" s="207"/>
      <c r="CH140" s="1442"/>
      <c r="CI140" s="1410"/>
      <c r="CJ140" s="207"/>
      <c r="CK140" s="1442"/>
      <c r="CL140" s="1410"/>
      <c r="CM140" s="205"/>
      <c r="CN140" s="1416"/>
    </row>
    <row r="141" spans="2:92" ht="132.75" customHeight="1" x14ac:dyDescent="0.25">
      <c r="B141" s="1372"/>
      <c r="C141" s="1314"/>
      <c r="D141" s="1311"/>
      <c r="E141" s="1322"/>
      <c r="F141" s="1365"/>
      <c r="G141" s="315" t="str">
        <f>+'Plan de Accion Proyectos estrat'!K19</f>
        <v>Comunicaciones de ordenación del gasto resultantes del proceso de pagos de los paquetes de reclamaciones cuyo trámite de auditoria haya culminado</v>
      </c>
      <c r="H141" s="227" t="str">
        <f>+'Plan de Accion Proyectos estrat'!X19</f>
        <v># Ordenaciones de paquetes de reclamaciones con resultado de auditoría se encuentre certificado o haya sido allegado el auto de desistimiento / # paquetes cuyo tramite de auditoría se encuentre certificado o haya sido allegado el auto de desistimiento</v>
      </c>
      <c r="I141" s="241"/>
      <c r="J141" s="310">
        <f>+'Plan de Accion Proyectos estrat'!AG19</f>
        <v>0.25</v>
      </c>
      <c r="K141" s="483">
        <f>+'Plan de Accion Proyectos estrat'!AI19</f>
        <v>1</v>
      </c>
      <c r="L141" s="483">
        <f t="shared" si="94"/>
        <v>1</v>
      </c>
      <c r="M141" s="483">
        <f>+'Plan de Accion Proyectos estrat'!AK19</f>
        <v>0.25</v>
      </c>
      <c r="N141" s="483">
        <f t="shared" si="49"/>
        <v>0.25</v>
      </c>
      <c r="O141" s="485">
        <f t="shared" si="82"/>
        <v>0.25</v>
      </c>
      <c r="P141" s="216"/>
      <c r="Q141" s="310">
        <f>+'Plan de Accion Proyectos estrat'!AQ19</f>
        <v>0.25</v>
      </c>
      <c r="R141" s="311">
        <f>+'Plan de Accion Proyectos estrat'!AS19</f>
        <v>1</v>
      </c>
      <c r="S141" s="215">
        <f t="shared" si="95"/>
        <v>1</v>
      </c>
      <c r="T141" s="311">
        <f>+'Plan de Accion Proyectos estrat'!AU19</f>
        <v>0.5</v>
      </c>
      <c r="U141" s="311">
        <f t="shared" si="96"/>
        <v>0.5</v>
      </c>
      <c r="V141" s="214">
        <f t="shared" si="97"/>
        <v>0.5</v>
      </c>
      <c r="W141" s="216"/>
      <c r="X141" s="310">
        <f>+'Plan de Accion Proyectos estrat'!BA19</f>
        <v>0.25</v>
      </c>
      <c r="Y141" s="311">
        <f>+'Plan de Accion Proyectos estrat'!BC19</f>
        <v>1</v>
      </c>
      <c r="Z141" s="215">
        <f t="shared" si="98"/>
        <v>1</v>
      </c>
      <c r="AA141" s="220">
        <f>+'Plan de Accion Proyectos estrat'!BE19</f>
        <v>0.75</v>
      </c>
      <c r="AB141" s="220">
        <f t="shared" si="99"/>
        <v>0.75</v>
      </c>
      <c r="AC141" s="219">
        <f t="shared" si="100"/>
        <v>0.75</v>
      </c>
      <c r="AD141" s="216"/>
      <c r="AE141" s="310">
        <f>+'Plan de Accion Proyectos estrat'!BK19</f>
        <v>0</v>
      </c>
      <c r="AF141" s="311">
        <f>+'Plan de Accion Proyectos estrat'!BM19</f>
        <v>0</v>
      </c>
      <c r="AG141" s="215">
        <f t="shared" si="101"/>
        <v>0</v>
      </c>
      <c r="AH141" s="311">
        <f>+'Plan de Accion Proyectos estrat'!BO19</f>
        <v>0.75</v>
      </c>
      <c r="AI141" s="214">
        <f t="shared" si="102"/>
        <v>0.75</v>
      </c>
      <c r="AJ141" s="1433"/>
      <c r="AK141" s="240"/>
      <c r="AL141" s="1442"/>
      <c r="AM141" s="1410"/>
      <c r="AN141" s="207"/>
      <c r="AO141" s="1442"/>
      <c r="AP141" s="1410"/>
      <c r="AQ141" s="207"/>
      <c r="AR141" s="1442"/>
      <c r="AS141" s="1410"/>
      <c r="AT141" s="207"/>
      <c r="AU141" s="1442"/>
      <c r="AV141" s="1410"/>
      <c r="AW141" s="205"/>
      <c r="AX141" s="1416"/>
      <c r="AY141" s="239"/>
      <c r="AZ141" s="1442"/>
      <c r="BA141" s="1410"/>
      <c r="BB141" s="207"/>
      <c r="BC141" s="1442"/>
      <c r="BD141" s="1410"/>
      <c r="BE141" s="207"/>
      <c r="BF141" s="1442"/>
      <c r="BG141" s="1410"/>
      <c r="BH141" s="207"/>
      <c r="BI141" s="1442"/>
      <c r="BJ141" s="1410"/>
      <c r="BK141" s="205"/>
      <c r="BL141" s="1416"/>
      <c r="BN141" s="1442"/>
      <c r="BO141" s="1410"/>
      <c r="BP141" s="207"/>
      <c r="BQ141" s="1442"/>
      <c r="BR141" s="1410"/>
      <c r="BS141" s="207"/>
      <c r="BT141" s="1442"/>
      <c r="BU141" s="1410"/>
      <c r="BV141" s="207"/>
      <c r="BW141" s="1442"/>
      <c r="BX141" s="1410"/>
      <c r="BY141" s="205"/>
      <c r="BZ141" s="1416"/>
      <c r="CB141" s="1442"/>
      <c r="CC141" s="1410"/>
      <c r="CD141" s="207"/>
      <c r="CE141" s="1442"/>
      <c r="CF141" s="1410"/>
      <c r="CG141" s="207"/>
      <c r="CH141" s="1442"/>
      <c r="CI141" s="1410"/>
      <c r="CJ141" s="207"/>
      <c r="CK141" s="1442"/>
      <c r="CL141" s="1410"/>
      <c r="CM141" s="205"/>
      <c r="CN141" s="1416"/>
    </row>
    <row r="142" spans="2:92" ht="57" customHeight="1" x14ac:dyDescent="0.25">
      <c r="B142" s="1372"/>
      <c r="C142" s="1329"/>
      <c r="D142" s="1312"/>
      <c r="E142" s="1322"/>
      <c r="F142" s="1365"/>
      <c r="G142" s="315" t="str">
        <f>+'Plan de Accion Proyectos estrat'!K20</f>
        <v>Correos electrónicos de solicitud de publicación del giro por reclamaciones</v>
      </c>
      <c r="H142" s="227" t="str">
        <f>+'Plan de Accion Proyectos estrat'!X20</f>
        <v># Solicitudes de publicación de giros por ordenación de paquetes de reclamaciones / # ordenaciones de giros de paquetes por reclamaciones</v>
      </c>
      <c r="I142" s="241"/>
      <c r="J142" s="310">
        <f>+'Plan de Accion Proyectos estrat'!AG20</f>
        <v>0.25</v>
      </c>
      <c r="K142" s="483">
        <f>+'Plan de Accion Proyectos estrat'!AI20</f>
        <v>1</v>
      </c>
      <c r="L142" s="483">
        <f t="shared" si="94"/>
        <v>1</v>
      </c>
      <c r="M142" s="483">
        <f>+'Plan de Accion Proyectos estrat'!AK20</f>
        <v>0.25</v>
      </c>
      <c r="N142" s="483">
        <f t="shared" si="49"/>
        <v>0.25</v>
      </c>
      <c r="O142" s="485">
        <f t="shared" si="82"/>
        <v>0.25</v>
      </c>
      <c r="P142" s="216"/>
      <c r="Q142" s="310">
        <f>+'Plan de Accion Proyectos estrat'!AQ20</f>
        <v>0.25</v>
      </c>
      <c r="R142" s="311">
        <f>+'Plan de Accion Proyectos estrat'!AS20</f>
        <v>1</v>
      </c>
      <c r="S142" s="215">
        <f t="shared" si="95"/>
        <v>1</v>
      </c>
      <c r="T142" s="311">
        <f>+'Plan de Accion Proyectos estrat'!AU20</f>
        <v>0.5</v>
      </c>
      <c r="U142" s="311">
        <f t="shared" si="96"/>
        <v>0.5</v>
      </c>
      <c r="V142" s="214">
        <f t="shared" si="97"/>
        <v>0.5</v>
      </c>
      <c r="W142" s="216"/>
      <c r="X142" s="310">
        <f>+'Plan de Accion Proyectos estrat'!BA20</f>
        <v>0.25</v>
      </c>
      <c r="Y142" s="311">
        <f>+'Plan de Accion Proyectos estrat'!BC20</f>
        <v>1</v>
      </c>
      <c r="Z142" s="215">
        <f t="shared" si="98"/>
        <v>1</v>
      </c>
      <c r="AA142" s="220">
        <f>+'Plan de Accion Proyectos estrat'!BE20</f>
        <v>0.75</v>
      </c>
      <c r="AB142" s="220">
        <f t="shared" si="99"/>
        <v>0.75</v>
      </c>
      <c r="AC142" s="219">
        <f t="shared" si="100"/>
        <v>0.75</v>
      </c>
      <c r="AD142" s="216"/>
      <c r="AE142" s="310">
        <f>+'Plan de Accion Proyectos estrat'!BK20</f>
        <v>0</v>
      </c>
      <c r="AF142" s="311">
        <f>+'Plan de Accion Proyectos estrat'!BM20</f>
        <v>0</v>
      </c>
      <c r="AG142" s="215">
        <f t="shared" si="101"/>
        <v>0</v>
      </c>
      <c r="AH142" s="311">
        <f>+'Plan de Accion Proyectos estrat'!BO20</f>
        <v>0.75</v>
      </c>
      <c r="AI142" s="214">
        <f t="shared" si="102"/>
        <v>0.75</v>
      </c>
      <c r="AJ142" s="1433"/>
      <c r="AK142" s="240"/>
      <c r="AL142" s="1442"/>
      <c r="AM142" s="1410"/>
      <c r="AN142" s="207"/>
      <c r="AO142" s="1442"/>
      <c r="AP142" s="1410"/>
      <c r="AQ142" s="207"/>
      <c r="AR142" s="1442"/>
      <c r="AS142" s="1410"/>
      <c r="AT142" s="207"/>
      <c r="AU142" s="1442"/>
      <c r="AV142" s="1410"/>
      <c r="AW142" s="205"/>
      <c r="AX142" s="1416"/>
      <c r="AY142" s="239"/>
      <c r="AZ142" s="1442"/>
      <c r="BA142" s="1410"/>
      <c r="BB142" s="207"/>
      <c r="BC142" s="1442"/>
      <c r="BD142" s="1410"/>
      <c r="BE142" s="207"/>
      <c r="BF142" s="1442"/>
      <c r="BG142" s="1410"/>
      <c r="BH142" s="207"/>
      <c r="BI142" s="1442"/>
      <c r="BJ142" s="1410"/>
      <c r="BK142" s="205"/>
      <c r="BL142" s="1416"/>
      <c r="BN142" s="1442"/>
      <c r="BO142" s="1410"/>
      <c r="BP142" s="207"/>
      <c r="BQ142" s="1442"/>
      <c r="BR142" s="1410"/>
      <c r="BS142" s="207"/>
      <c r="BT142" s="1442"/>
      <c r="BU142" s="1410"/>
      <c r="BV142" s="207"/>
      <c r="BW142" s="1442"/>
      <c r="BX142" s="1410"/>
      <c r="BY142" s="205"/>
      <c r="BZ142" s="1416"/>
      <c r="CB142" s="1442"/>
      <c r="CC142" s="1410"/>
      <c r="CD142" s="207"/>
      <c r="CE142" s="1442"/>
      <c r="CF142" s="1410"/>
      <c r="CG142" s="207"/>
      <c r="CH142" s="1442"/>
      <c r="CI142" s="1410"/>
      <c r="CJ142" s="207"/>
      <c r="CK142" s="1442"/>
      <c r="CL142" s="1410"/>
      <c r="CM142" s="205"/>
      <c r="CN142" s="1416"/>
    </row>
    <row r="143" spans="2:92" ht="71.25" customHeight="1" x14ac:dyDescent="0.25">
      <c r="B143" s="1372"/>
      <c r="C143" s="1354" t="s">
        <v>1171</v>
      </c>
      <c r="D143" s="1354" t="s">
        <v>1173</v>
      </c>
      <c r="E143" s="1319" t="s">
        <v>1172</v>
      </c>
      <c r="F143" s="1355" t="s">
        <v>330</v>
      </c>
      <c r="G143" s="315" t="str">
        <f>+'Plan de Accion Proyectos estrat'!K21</f>
        <v xml:space="preserve">Estadísticas de registros de las auditorias preventivas por entidad con errores </v>
      </c>
      <c r="H143" s="227" t="str">
        <f>+'Plan de Accion Proyectos estrat'!X21</f>
        <v xml:space="preserve"># Registros corregidos en la BDUA / # Registros notificados en auditorias preventivas </v>
      </c>
      <c r="I143" s="241"/>
      <c r="J143" s="536">
        <f>+'Plan de Accion Proyectos estrat'!AG21</f>
        <v>2.5000705854830534E-2</v>
      </c>
      <c r="K143" s="537">
        <f>+'Plan de Accion Proyectos estrat'!AI21</f>
        <v>1.0000282341932214</v>
      </c>
      <c r="L143" s="483">
        <f t="shared" si="94"/>
        <v>1</v>
      </c>
      <c r="M143" s="483">
        <f>+'Plan de Accion Proyectos estrat'!AK21</f>
        <v>0.25000705854830535</v>
      </c>
      <c r="N143" s="483">
        <f t="shared" si="49"/>
        <v>0.25000705854830535</v>
      </c>
      <c r="O143" s="485">
        <f t="shared" si="82"/>
        <v>0.25000705854830535</v>
      </c>
      <c r="P143" s="216"/>
      <c r="Q143" s="310">
        <f>+'Plan de Accion Proyectos estrat'!AQ21</f>
        <v>2.5000536590900031E-2</v>
      </c>
      <c r="R143" s="311">
        <f>+'Plan de Accion Proyectos estrat'!AS21</f>
        <v>1.0000214636360012</v>
      </c>
      <c r="S143" s="215">
        <f t="shared" si="95"/>
        <v>1</v>
      </c>
      <c r="T143" s="311">
        <f>+'Plan de Accion Proyectos estrat'!AU21</f>
        <v>0.50001242445730565</v>
      </c>
      <c r="U143" s="311">
        <f t="shared" si="96"/>
        <v>0.50001242445730565</v>
      </c>
      <c r="V143" s="214">
        <f t="shared" si="97"/>
        <v>0.50001242445730565</v>
      </c>
      <c r="W143" s="216"/>
      <c r="X143" s="310">
        <f>+'Plan de Accion Proyectos estrat'!BA21</f>
        <v>2.5000000000000001E-2</v>
      </c>
      <c r="Y143" s="311">
        <f>+'Plan de Accion Proyectos estrat'!BC21</f>
        <v>1</v>
      </c>
      <c r="Z143" s="215">
        <f t="shared" si="98"/>
        <v>1</v>
      </c>
      <c r="AA143" s="220">
        <f>+'Plan de Accion Proyectos estrat'!BE21</f>
        <v>0.75001242445730554</v>
      </c>
      <c r="AB143" s="220">
        <f t="shared" si="99"/>
        <v>0.75001242445730554</v>
      </c>
      <c r="AC143" s="219">
        <f t="shared" si="100"/>
        <v>0.75001242445730554</v>
      </c>
      <c r="AD143" s="216"/>
      <c r="AE143" s="310">
        <f>+'Plan de Accion Proyectos estrat'!BK21</f>
        <v>0</v>
      </c>
      <c r="AF143" s="311">
        <f>+'Plan de Accion Proyectos estrat'!BM21</f>
        <v>0</v>
      </c>
      <c r="AG143" s="215">
        <f t="shared" si="101"/>
        <v>0</v>
      </c>
      <c r="AH143" s="311">
        <f>+'Plan de Accion Proyectos estrat'!BO21</f>
        <v>0.75001242445730554</v>
      </c>
      <c r="AI143" s="214">
        <f t="shared" si="102"/>
        <v>0.75001242445730554</v>
      </c>
      <c r="AJ143" s="1433"/>
      <c r="AK143" s="240"/>
      <c r="AL143" s="1442"/>
      <c r="AM143" s="1410"/>
      <c r="AN143" s="207"/>
      <c r="AO143" s="1442"/>
      <c r="AP143" s="1410"/>
      <c r="AQ143" s="207"/>
      <c r="AR143" s="1442"/>
      <c r="AS143" s="1410"/>
      <c r="AT143" s="207"/>
      <c r="AU143" s="1442"/>
      <c r="AV143" s="1410"/>
      <c r="AW143" s="205"/>
      <c r="AX143" s="1416"/>
      <c r="AY143" s="239"/>
      <c r="AZ143" s="1442"/>
      <c r="BA143" s="1410"/>
      <c r="BB143" s="207"/>
      <c r="BC143" s="1442"/>
      <c r="BD143" s="1410"/>
      <c r="BE143" s="207"/>
      <c r="BF143" s="1442"/>
      <c r="BG143" s="1410"/>
      <c r="BH143" s="207"/>
      <c r="BI143" s="1442"/>
      <c r="BJ143" s="1410"/>
      <c r="BK143" s="205"/>
      <c r="BL143" s="1416"/>
      <c r="BN143" s="1442"/>
      <c r="BO143" s="1410"/>
      <c r="BP143" s="207"/>
      <c r="BQ143" s="1442"/>
      <c r="BR143" s="1410"/>
      <c r="BS143" s="207"/>
      <c r="BT143" s="1442"/>
      <c r="BU143" s="1410"/>
      <c r="BV143" s="207"/>
      <c r="BW143" s="1442"/>
      <c r="BX143" s="1410"/>
      <c r="BY143" s="205"/>
      <c r="BZ143" s="1416"/>
      <c r="CB143" s="1442"/>
      <c r="CC143" s="1410"/>
      <c r="CD143" s="207"/>
      <c r="CE143" s="1442"/>
      <c r="CF143" s="1410"/>
      <c r="CG143" s="207"/>
      <c r="CH143" s="1442"/>
      <c r="CI143" s="1410"/>
      <c r="CJ143" s="207"/>
      <c r="CK143" s="1442"/>
      <c r="CL143" s="1410"/>
      <c r="CM143" s="205"/>
      <c r="CN143" s="1416"/>
    </row>
    <row r="144" spans="2:92" ht="42.75" customHeight="1" x14ac:dyDescent="0.25">
      <c r="B144" s="1372"/>
      <c r="C144" s="1311"/>
      <c r="D144" s="1311"/>
      <c r="E144" s="1320"/>
      <c r="F144" s="1355"/>
      <c r="G144" s="315" t="str">
        <f>+'Plan de Accion Proyectos estrat'!K22</f>
        <v>Informes de auditorias correctivas según resolución 2199 de 2013 y 4894 de 2015</v>
      </c>
      <c r="H144" s="1421" t="str">
        <f>+'Plan de Accion Proyectos estrat'!X22</f>
        <v># de registro depurados por ADRES + # Registros correctos / # Número total de registros notificados en auditorias correctivas</v>
      </c>
      <c r="I144" s="241"/>
      <c r="J144" s="1302">
        <f>+'Plan de Accion Proyectos estrat'!AG22</f>
        <v>0.25</v>
      </c>
      <c r="K144" s="1290">
        <f>+'Plan de Accion Proyectos estrat'!AI22</f>
        <v>1</v>
      </c>
      <c r="L144" s="1290">
        <f t="shared" si="94"/>
        <v>1</v>
      </c>
      <c r="M144" s="1290">
        <f>+'Plan de Accion Proyectos estrat'!AK22</f>
        <v>0.25</v>
      </c>
      <c r="N144" s="1290">
        <f>IF(M144&gt;100%,100%,M144)</f>
        <v>0.25</v>
      </c>
      <c r="O144" s="1293">
        <f t="shared" si="82"/>
        <v>0.25</v>
      </c>
      <c r="P144" s="216"/>
      <c r="Q144" s="1302">
        <f>+'Plan de Accion Proyectos estrat'!AQ22</f>
        <v>0.25</v>
      </c>
      <c r="R144" s="1336">
        <f>+'Plan de Accion Proyectos estrat'!AS22</f>
        <v>1</v>
      </c>
      <c r="S144" s="1336">
        <f t="shared" si="95"/>
        <v>1</v>
      </c>
      <c r="T144" s="1336">
        <f>+'Plan de Accion Proyectos estrat'!AU22</f>
        <v>0.5</v>
      </c>
      <c r="U144" s="1336">
        <f t="shared" si="96"/>
        <v>0.5</v>
      </c>
      <c r="V144" s="1338">
        <f t="shared" si="97"/>
        <v>0.5</v>
      </c>
      <c r="W144" s="216"/>
      <c r="X144" s="1302">
        <f>+'Plan de Accion Proyectos estrat'!BA22</f>
        <v>0.25</v>
      </c>
      <c r="Y144" s="1336">
        <f>+'Plan de Accion Proyectos estrat'!BC22</f>
        <v>1</v>
      </c>
      <c r="Z144" s="1336">
        <f t="shared" si="98"/>
        <v>1</v>
      </c>
      <c r="AA144" s="1366">
        <f>+'Plan de Accion Proyectos estrat'!BE22</f>
        <v>0.75</v>
      </c>
      <c r="AB144" s="1366">
        <f t="shared" si="99"/>
        <v>0.75</v>
      </c>
      <c r="AC144" s="1340">
        <f t="shared" si="100"/>
        <v>0.75</v>
      </c>
      <c r="AD144" s="216"/>
      <c r="AE144" s="1302">
        <f>+'Plan de Accion Proyectos estrat'!BK22</f>
        <v>0</v>
      </c>
      <c r="AF144" s="1336">
        <f>+'Plan de Accion Proyectos estrat'!BM22</f>
        <v>0</v>
      </c>
      <c r="AG144" s="1336">
        <f t="shared" si="101"/>
        <v>0</v>
      </c>
      <c r="AH144" s="1336">
        <f>+'Plan de Accion Proyectos estrat'!BO22</f>
        <v>7.5</v>
      </c>
      <c r="AI144" s="1338">
        <f t="shared" si="102"/>
        <v>1</v>
      </c>
      <c r="AJ144" s="1433"/>
      <c r="AK144" s="240"/>
      <c r="AL144" s="1442"/>
      <c r="AM144" s="1410"/>
      <c r="AN144" s="207"/>
      <c r="AO144" s="1442"/>
      <c r="AP144" s="1410"/>
      <c r="AQ144" s="207"/>
      <c r="AR144" s="1442"/>
      <c r="AS144" s="1410"/>
      <c r="AT144" s="207"/>
      <c r="AU144" s="1442"/>
      <c r="AV144" s="1410"/>
      <c r="AW144" s="205"/>
      <c r="AX144" s="1416"/>
      <c r="AY144" s="239"/>
      <c r="AZ144" s="1442"/>
      <c r="BA144" s="1410"/>
      <c r="BB144" s="207"/>
      <c r="BC144" s="1442"/>
      <c r="BD144" s="1410"/>
      <c r="BE144" s="207"/>
      <c r="BF144" s="1442"/>
      <c r="BG144" s="1410"/>
      <c r="BH144" s="207"/>
      <c r="BI144" s="1442"/>
      <c r="BJ144" s="1410"/>
      <c r="BK144" s="205"/>
      <c r="BL144" s="1416"/>
      <c r="BN144" s="1442"/>
      <c r="BO144" s="1410"/>
      <c r="BP144" s="207"/>
      <c r="BQ144" s="1442"/>
      <c r="BR144" s="1410"/>
      <c r="BS144" s="207"/>
      <c r="BT144" s="1442"/>
      <c r="BU144" s="1410"/>
      <c r="BV144" s="207"/>
      <c r="BW144" s="1442"/>
      <c r="BX144" s="1410"/>
      <c r="BY144" s="205"/>
      <c r="BZ144" s="1416"/>
      <c r="CB144" s="1442"/>
      <c r="CC144" s="1410"/>
      <c r="CD144" s="207"/>
      <c r="CE144" s="1442"/>
      <c r="CF144" s="1410"/>
      <c r="CG144" s="207"/>
      <c r="CH144" s="1442"/>
      <c r="CI144" s="1410"/>
      <c r="CJ144" s="207"/>
      <c r="CK144" s="1442"/>
      <c r="CL144" s="1410"/>
      <c r="CM144" s="205"/>
      <c r="CN144" s="1416"/>
    </row>
    <row r="145" spans="2:94" ht="87.75" customHeight="1" x14ac:dyDescent="0.25">
      <c r="B145" s="1372"/>
      <c r="C145" s="1311"/>
      <c r="D145" s="1311"/>
      <c r="E145" s="1320"/>
      <c r="F145" s="1355"/>
      <c r="G145" s="315" t="str">
        <f>+'Plan de Accion Proyectos estrat'!K23</f>
        <v>Depuración de registros de BDUA de acuerdo con solicitudes del MSPS, según resolución 2199 de 2013 y 4894 de 2015</v>
      </c>
      <c r="H145" s="1422"/>
      <c r="I145" s="241"/>
      <c r="J145" s="1303"/>
      <c r="K145" s="1292"/>
      <c r="L145" s="1292"/>
      <c r="M145" s="1292"/>
      <c r="N145" s="1292"/>
      <c r="O145" s="1295"/>
      <c r="P145" s="216"/>
      <c r="Q145" s="1303"/>
      <c r="R145" s="1337"/>
      <c r="S145" s="1337"/>
      <c r="T145" s="1337"/>
      <c r="U145" s="1337"/>
      <c r="V145" s="1339"/>
      <c r="W145" s="216"/>
      <c r="X145" s="1303"/>
      <c r="Y145" s="1337"/>
      <c r="Z145" s="1337"/>
      <c r="AA145" s="1368"/>
      <c r="AB145" s="1368"/>
      <c r="AC145" s="1342"/>
      <c r="AD145" s="216"/>
      <c r="AE145" s="1303"/>
      <c r="AF145" s="1337"/>
      <c r="AG145" s="1337"/>
      <c r="AH145" s="1337"/>
      <c r="AI145" s="1339"/>
      <c r="AJ145" s="1433"/>
      <c r="AK145" s="240"/>
      <c r="AL145" s="1442"/>
      <c r="AM145" s="1410"/>
      <c r="AN145" s="207"/>
      <c r="AO145" s="1442"/>
      <c r="AP145" s="1410"/>
      <c r="AQ145" s="207"/>
      <c r="AR145" s="1442"/>
      <c r="AS145" s="1410"/>
      <c r="AT145" s="207"/>
      <c r="AU145" s="1442"/>
      <c r="AV145" s="1410"/>
      <c r="AW145" s="205"/>
      <c r="AX145" s="1416"/>
      <c r="AY145" s="239"/>
      <c r="AZ145" s="1442"/>
      <c r="BA145" s="1410"/>
      <c r="BB145" s="207"/>
      <c r="BC145" s="1442"/>
      <c r="BD145" s="1410"/>
      <c r="BE145" s="207"/>
      <c r="BF145" s="1442"/>
      <c r="BG145" s="1410"/>
      <c r="BH145" s="207"/>
      <c r="BI145" s="1442"/>
      <c r="BJ145" s="1410"/>
      <c r="BK145" s="205"/>
      <c r="BL145" s="1416"/>
      <c r="BN145" s="1442"/>
      <c r="BO145" s="1410"/>
      <c r="BP145" s="207"/>
      <c r="BQ145" s="1442"/>
      <c r="BR145" s="1410"/>
      <c r="BS145" s="207"/>
      <c r="BT145" s="1442"/>
      <c r="BU145" s="1410"/>
      <c r="BV145" s="207"/>
      <c r="BW145" s="1442"/>
      <c r="BX145" s="1410"/>
      <c r="BY145" s="205"/>
      <c r="BZ145" s="1416"/>
      <c r="CB145" s="1442"/>
      <c r="CC145" s="1410"/>
      <c r="CD145" s="207"/>
      <c r="CE145" s="1442"/>
      <c r="CF145" s="1410"/>
      <c r="CG145" s="207"/>
      <c r="CH145" s="1442"/>
      <c r="CI145" s="1410"/>
      <c r="CJ145" s="207"/>
      <c r="CK145" s="1442"/>
      <c r="CL145" s="1410"/>
      <c r="CM145" s="205"/>
      <c r="CN145" s="1416"/>
    </row>
    <row r="146" spans="2:94" ht="114" customHeight="1" x14ac:dyDescent="0.25">
      <c r="B146" s="1372"/>
      <c r="C146" s="1311"/>
      <c r="D146" s="1311"/>
      <c r="E146" s="1320"/>
      <c r="F146" s="1355"/>
      <c r="G146" s="315" t="str">
        <f>+'Plan de Accion Proyectos estrat'!K24</f>
        <v>Apoyo técnico para respuestas a PQRSD relacionadas con BDUA</v>
      </c>
      <c r="H146" s="227" t="str">
        <f>+'Plan de Accion Proyectos estrat'!X24</f>
        <v># PQRSD BDUA atendidas en términos de ley en el trimestre  / #PQRSD BDUA recibidas con fecha máxima de respuesta en el trimestre</v>
      </c>
      <c r="I146" s="241"/>
      <c r="J146" s="310">
        <f>+'Plan de Accion Proyectos estrat'!AG24</f>
        <v>0.24805295950155765</v>
      </c>
      <c r="K146" s="483">
        <f>+'Plan de Accion Proyectos estrat'!AI24</f>
        <v>0.99221183800623058</v>
      </c>
      <c r="L146" s="483">
        <f t="shared" si="94"/>
        <v>0.99221183800623058</v>
      </c>
      <c r="M146" s="483">
        <f>+'Plan de Accion Proyectos estrat'!AK24</f>
        <v>0.24805295950155765</v>
      </c>
      <c r="N146" s="483">
        <f t="shared" ref="N146:N239" si="103">IF(M146&gt;100%,100%,M146)</f>
        <v>0.24805295950155765</v>
      </c>
      <c r="O146" s="485">
        <f t="shared" ref="O146:O160" si="104">+N146</f>
        <v>0.24805295950155765</v>
      </c>
      <c r="P146" s="216"/>
      <c r="Q146" s="310">
        <f>+'Plan de Accion Proyectos estrat'!AQ24</f>
        <v>0.24990664675130694</v>
      </c>
      <c r="R146" s="311">
        <f>+'Plan de Accion Proyectos estrat'!AS24</f>
        <v>0.99962658700522777</v>
      </c>
      <c r="S146" s="215">
        <f t="shared" si="95"/>
        <v>0.99962658700522777</v>
      </c>
      <c r="T146" s="311">
        <f>+'Plan de Accion Proyectos estrat'!AU24</f>
        <v>0.49795960625286462</v>
      </c>
      <c r="U146" s="311">
        <f t="shared" si="96"/>
        <v>0.49795960625286462</v>
      </c>
      <c r="V146" s="214">
        <f t="shared" si="97"/>
        <v>0.49795960625286462</v>
      </c>
      <c r="W146" s="216"/>
      <c r="X146" s="310">
        <f>+'Plan de Accion Proyectos estrat'!BA24</f>
        <v>0.23512879192837099</v>
      </c>
      <c r="Y146" s="311">
        <f>+'Plan de Accion Proyectos estrat'!BC24</f>
        <v>0.94051516771348398</v>
      </c>
      <c r="Z146" s="215">
        <f t="shared" si="98"/>
        <v>0.94051516771348398</v>
      </c>
      <c r="AA146" s="220">
        <f>+'Plan de Accion Proyectos estrat'!BE24</f>
        <v>0.73308839818123561</v>
      </c>
      <c r="AB146" s="220">
        <f t="shared" si="99"/>
        <v>0.73308839818123561</v>
      </c>
      <c r="AC146" s="219">
        <f t="shared" si="100"/>
        <v>0.73308839818123561</v>
      </c>
      <c r="AD146" s="216"/>
      <c r="AE146" s="310">
        <f>+'Plan de Accion Proyectos estrat'!BK24</f>
        <v>0</v>
      </c>
      <c r="AF146" s="311">
        <f>+'Plan de Accion Proyectos estrat'!BM24</f>
        <v>0</v>
      </c>
      <c r="AG146" s="215">
        <f t="shared" si="101"/>
        <v>0</v>
      </c>
      <c r="AH146" s="311">
        <f>+'Plan de Accion Proyectos estrat'!BO24</f>
        <v>7.3308839818123559</v>
      </c>
      <c r="AI146" s="214">
        <f t="shared" si="102"/>
        <v>1</v>
      </c>
      <c r="AJ146" s="1433"/>
      <c r="AK146" s="240"/>
      <c r="AL146" s="1442"/>
      <c r="AM146" s="1410"/>
      <c r="AN146" s="207"/>
      <c r="AO146" s="1442"/>
      <c r="AP146" s="1410"/>
      <c r="AQ146" s="207"/>
      <c r="AR146" s="1442"/>
      <c r="AS146" s="1410"/>
      <c r="AT146" s="207"/>
      <c r="AU146" s="1442"/>
      <c r="AV146" s="1410"/>
      <c r="AW146" s="205"/>
      <c r="AX146" s="1416"/>
      <c r="AY146" s="239"/>
      <c r="AZ146" s="1442"/>
      <c r="BA146" s="1410"/>
      <c r="BB146" s="207"/>
      <c r="BC146" s="1442"/>
      <c r="BD146" s="1410"/>
      <c r="BE146" s="207"/>
      <c r="BF146" s="1442"/>
      <c r="BG146" s="1410"/>
      <c r="BH146" s="207"/>
      <c r="BI146" s="1442"/>
      <c r="BJ146" s="1410"/>
      <c r="BK146" s="205"/>
      <c r="BL146" s="1416"/>
      <c r="BN146" s="1442"/>
      <c r="BO146" s="1410"/>
      <c r="BP146" s="207"/>
      <c r="BQ146" s="1442"/>
      <c r="BR146" s="1410"/>
      <c r="BS146" s="207"/>
      <c r="BT146" s="1442"/>
      <c r="BU146" s="1410"/>
      <c r="BV146" s="207"/>
      <c r="BW146" s="1442"/>
      <c r="BX146" s="1410"/>
      <c r="BY146" s="205"/>
      <c r="BZ146" s="1416"/>
      <c r="CB146" s="1442"/>
      <c r="CC146" s="1410"/>
      <c r="CD146" s="207"/>
      <c r="CE146" s="1442"/>
      <c r="CF146" s="1410"/>
      <c r="CG146" s="207"/>
      <c r="CH146" s="1442"/>
      <c r="CI146" s="1410"/>
      <c r="CJ146" s="207"/>
      <c r="CK146" s="1442"/>
      <c r="CL146" s="1410"/>
      <c r="CM146" s="205"/>
      <c r="CN146" s="1416"/>
      <c r="CP146" s="222"/>
    </row>
    <row r="147" spans="2:94" ht="71.25" customHeight="1" x14ac:dyDescent="0.25">
      <c r="B147" s="1372"/>
      <c r="C147" s="1356" t="s">
        <v>344</v>
      </c>
      <c r="D147" s="1354" t="s">
        <v>340</v>
      </c>
      <c r="E147" s="1319" t="s">
        <v>12</v>
      </c>
      <c r="F147" s="1316" t="s">
        <v>330</v>
      </c>
      <c r="G147" s="315" t="str">
        <f>+'Plan de Accion Proyectos estrat'!K26</f>
        <v>Proceso de saneamiento de aportes ejecutado</v>
      </c>
      <c r="H147" s="227" t="str">
        <f>+'Plan de Accion Proyectos estrat'!X26</f>
        <v># Procesos de saneamiento de aportes ejecutados / # procesos de saneamiento de aportes programados en el cronograma</v>
      </c>
      <c r="I147" s="241"/>
      <c r="J147" s="310">
        <f>+'Plan de Accion Proyectos estrat'!AG26</f>
        <v>0.25</v>
      </c>
      <c r="K147" s="483">
        <f>+'Plan de Accion Proyectos estrat'!AI26</f>
        <v>1</v>
      </c>
      <c r="L147" s="483">
        <f t="shared" ref="L147:L160" si="105">IF(K147&gt;100%,100%,K147)</f>
        <v>1</v>
      </c>
      <c r="M147" s="483">
        <f>+'Plan de Accion Proyectos estrat'!AK26</f>
        <v>0.25</v>
      </c>
      <c r="N147" s="483">
        <f t="shared" si="103"/>
        <v>0.25</v>
      </c>
      <c r="O147" s="485">
        <f t="shared" si="104"/>
        <v>0.25</v>
      </c>
      <c r="P147" s="216"/>
      <c r="Q147" s="310">
        <f>+'Plan de Accion Proyectos estrat'!AQ26</f>
        <v>0.25</v>
      </c>
      <c r="R147" s="311">
        <f>+'Plan de Accion Proyectos estrat'!AS26</f>
        <v>1</v>
      </c>
      <c r="S147" s="215">
        <f t="shared" ref="S147:S157" si="106">IF(R147&gt;100%,100%,R147)</f>
        <v>1</v>
      </c>
      <c r="T147" s="311">
        <f>+'Plan de Accion Proyectos estrat'!AU26</f>
        <v>0.5</v>
      </c>
      <c r="U147" s="311">
        <f t="shared" ref="U147:U157" si="107">IF(T147&gt;100%,100%,T147)</f>
        <v>0.5</v>
      </c>
      <c r="V147" s="214">
        <f t="shared" si="97"/>
        <v>0.5</v>
      </c>
      <c r="W147" s="216"/>
      <c r="X147" s="310">
        <f>+'Plan de Accion Proyectos estrat'!BA26</f>
        <v>0.25</v>
      </c>
      <c r="Y147" s="311">
        <f>+'Plan de Accion Proyectos estrat'!BC26</f>
        <v>1</v>
      </c>
      <c r="Z147" s="215">
        <f t="shared" si="98"/>
        <v>1</v>
      </c>
      <c r="AA147" s="220">
        <f>+'Plan de Accion Proyectos estrat'!BE26</f>
        <v>0.75</v>
      </c>
      <c r="AB147" s="220">
        <f t="shared" si="99"/>
        <v>0.75</v>
      </c>
      <c r="AC147" s="219">
        <f t="shared" si="100"/>
        <v>0.75</v>
      </c>
      <c r="AD147" s="216"/>
      <c r="AE147" s="310">
        <f>+'Plan de Accion Proyectos estrat'!BK26</f>
        <v>0</v>
      </c>
      <c r="AF147" s="311">
        <f>+'Plan de Accion Proyectos estrat'!BM26</f>
        <v>0</v>
      </c>
      <c r="AG147" s="215">
        <f t="shared" si="101"/>
        <v>0</v>
      </c>
      <c r="AH147" s="311">
        <f>+'Plan de Accion Proyectos estrat'!BO26</f>
        <v>0.75</v>
      </c>
      <c r="AI147" s="214">
        <f t="shared" si="102"/>
        <v>0.75</v>
      </c>
      <c r="AJ147" s="1433"/>
      <c r="AK147" s="240"/>
      <c r="AL147" s="1442"/>
      <c r="AM147" s="1410"/>
      <c r="AN147" s="207"/>
      <c r="AO147" s="1442"/>
      <c r="AP147" s="1410"/>
      <c r="AQ147" s="207"/>
      <c r="AR147" s="1442"/>
      <c r="AS147" s="1410"/>
      <c r="AT147" s="207"/>
      <c r="AU147" s="1442"/>
      <c r="AV147" s="1410"/>
      <c r="AW147" s="205"/>
      <c r="AX147" s="1416"/>
      <c r="AY147" s="239"/>
      <c r="AZ147" s="1442"/>
      <c r="BA147" s="1410"/>
      <c r="BB147" s="207"/>
      <c r="BC147" s="1442"/>
      <c r="BD147" s="1410"/>
      <c r="BE147" s="207"/>
      <c r="BF147" s="1442"/>
      <c r="BG147" s="1410"/>
      <c r="BH147" s="207"/>
      <c r="BI147" s="1442"/>
      <c r="BJ147" s="1410"/>
      <c r="BK147" s="205"/>
      <c r="BL147" s="1416"/>
      <c r="BN147" s="1442"/>
      <c r="BO147" s="1410"/>
      <c r="BP147" s="207"/>
      <c r="BQ147" s="1442"/>
      <c r="BR147" s="1410"/>
      <c r="BS147" s="207"/>
      <c r="BT147" s="1442"/>
      <c r="BU147" s="1410"/>
      <c r="BV147" s="207"/>
      <c r="BW147" s="1442"/>
      <c r="BX147" s="1410"/>
      <c r="BY147" s="205"/>
      <c r="BZ147" s="1416"/>
      <c r="CB147" s="1442"/>
      <c r="CC147" s="1410"/>
      <c r="CD147" s="207"/>
      <c r="CE147" s="1442"/>
      <c r="CF147" s="1410"/>
      <c r="CG147" s="207"/>
      <c r="CH147" s="1442"/>
      <c r="CI147" s="1410"/>
      <c r="CJ147" s="207"/>
      <c r="CK147" s="1442"/>
      <c r="CL147" s="1410"/>
      <c r="CM147" s="205"/>
      <c r="CN147" s="1416"/>
    </row>
    <row r="148" spans="2:94" ht="71.25" customHeight="1" x14ac:dyDescent="0.25">
      <c r="B148" s="1372"/>
      <c r="C148" s="1356"/>
      <c r="D148" s="1311"/>
      <c r="E148" s="1320"/>
      <c r="F148" s="1317"/>
      <c r="G148" s="315" t="str">
        <f>+'Plan de Accion Proyectos estrat'!K29</f>
        <v>Proceso de Compensación ejecutado</v>
      </c>
      <c r="H148" s="227" t="str">
        <f>+'Plan de Accion Proyectos estrat'!X29</f>
        <v># Procesos de compensación ejecutados / # procesos de compensación programados en el cronograma</v>
      </c>
      <c r="I148" s="241"/>
      <c r="J148" s="310">
        <f>+'Plan de Accion Proyectos estrat'!AG29</f>
        <v>0.25</v>
      </c>
      <c r="K148" s="483">
        <f>+'Plan de Accion Proyectos estrat'!AI29</f>
        <v>1</v>
      </c>
      <c r="L148" s="483">
        <f t="shared" si="105"/>
        <v>1</v>
      </c>
      <c r="M148" s="483">
        <f>+'Plan de Accion Proyectos estrat'!AK29</f>
        <v>0.25</v>
      </c>
      <c r="N148" s="483">
        <f t="shared" si="103"/>
        <v>0.25</v>
      </c>
      <c r="O148" s="485">
        <f t="shared" si="104"/>
        <v>0.25</v>
      </c>
      <c r="P148" s="216"/>
      <c r="Q148" s="310">
        <f>+'Plan de Accion Proyectos estrat'!AQ29</f>
        <v>0.25</v>
      </c>
      <c r="R148" s="311">
        <f>+'Plan de Accion Proyectos estrat'!AS29</f>
        <v>1</v>
      </c>
      <c r="S148" s="215">
        <f t="shared" si="106"/>
        <v>1</v>
      </c>
      <c r="T148" s="311">
        <f>+'Plan de Accion Proyectos estrat'!AU29</f>
        <v>0.5</v>
      </c>
      <c r="U148" s="311">
        <f t="shared" si="107"/>
        <v>0.5</v>
      </c>
      <c r="V148" s="214">
        <f t="shared" si="97"/>
        <v>0.5</v>
      </c>
      <c r="W148" s="216"/>
      <c r="X148" s="310">
        <f>+'Plan de Accion Proyectos estrat'!BA29</f>
        <v>0.25</v>
      </c>
      <c r="Y148" s="311">
        <f>+'Plan de Accion Proyectos estrat'!BC29</f>
        <v>1</v>
      </c>
      <c r="Z148" s="215">
        <f t="shared" si="98"/>
        <v>1</v>
      </c>
      <c r="AA148" s="220">
        <f>+'Plan de Accion Proyectos estrat'!BE29</f>
        <v>0.75</v>
      </c>
      <c r="AB148" s="220">
        <f t="shared" si="99"/>
        <v>0.75</v>
      </c>
      <c r="AC148" s="219">
        <f t="shared" si="100"/>
        <v>0.75</v>
      </c>
      <c r="AD148" s="216"/>
      <c r="AE148" s="310">
        <f>+'Plan de Accion Proyectos estrat'!BK29</f>
        <v>0</v>
      </c>
      <c r="AF148" s="311">
        <f>+'Plan de Accion Proyectos estrat'!BM29</f>
        <v>0</v>
      </c>
      <c r="AG148" s="215">
        <f t="shared" si="101"/>
        <v>0</v>
      </c>
      <c r="AH148" s="311">
        <f>+'Plan de Accion Proyectos estrat'!BO29</f>
        <v>0.75</v>
      </c>
      <c r="AI148" s="214">
        <f t="shared" si="102"/>
        <v>0.75</v>
      </c>
      <c r="AJ148" s="1433"/>
      <c r="AK148" s="240"/>
      <c r="AL148" s="1442"/>
      <c r="AM148" s="1410"/>
      <c r="AN148" s="207"/>
      <c r="AO148" s="1442"/>
      <c r="AP148" s="1410"/>
      <c r="AQ148" s="207"/>
      <c r="AR148" s="1442"/>
      <c r="AS148" s="1410"/>
      <c r="AT148" s="207"/>
      <c r="AU148" s="1442"/>
      <c r="AV148" s="1410"/>
      <c r="AW148" s="205"/>
      <c r="AX148" s="1416"/>
      <c r="AY148" s="239"/>
      <c r="AZ148" s="1442"/>
      <c r="BA148" s="1410"/>
      <c r="BB148" s="207"/>
      <c r="BC148" s="1442"/>
      <c r="BD148" s="1410"/>
      <c r="BE148" s="207"/>
      <c r="BF148" s="1442"/>
      <c r="BG148" s="1410"/>
      <c r="BH148" s="207"/>
      <c r="BI148" s="1442"/>
      <c r="BJ148" s="1410"/>
      <c r="BK148" s="205"/>
      <c r="BL148" s="1416"/>
      <c r="BN148" s="1442"/>
      <c r="BO148" s="1410"/>
      <c r="BP148" s="207"/>
      <c r="BQ148" s="1442"/>
      <c r="BR148" s="1410"/>
      <c r="BS148" s="207"/>
      <c r="BT148" s="1442"/>
      <c r="BU148" s="1410"/>
      <c r="BV148" s="207"/>
      <c r="BW148" s="1442"/>
      <c r="BX148" s="1410"/>
      <c r="BY148" s="205"/>
      <c r="BZ148" s="1416"/>
      <c r="CB148" s="1442"/>
      <c r="CC148" s="1410"/>
      <c r="CD148" s="207"/>
      <c r="CE148" s="1442"/>
      <c r="CF148" s="1410"/>
      <c r="CG148" s="207"/>
      <c r="CH148" s="1442"/>
      <c r="CI148" s="1410"/>
      <c r="CJ148" s="207"/>
      <c r="CK148" s="1442"/>
      <c r="CL148" s="1410"/>
      <c r="CM148" s="205"/>
      <c r="CN148" s="1416"/>
    </row>
    <row r="149" spans="2:94" ht="42.75" customHeight="1" x14ac:dyDescent="0.25">
      <c r="B149" s="1372"/>
      <c r="C149" s="1356"/>
      <c r="D149" s="1311"/>
      <c r="E149" s="1320"/>
      <c r="F149" s="1317"/>
      <c r="G149" s="315" t="str">
        <f>+'Plan de Accion Proyectos estrat'!K30</f>
        <v>Prestaciones económicas REX</v>
      </c>
      <c r="H149" s="227" t="str">
        <f>+'Plan de Accion Proyectos estrat'!X30</f>
        <v># Solicitudes de prestaciones económicas tramitadas / # solicitudes de prestaciones económicas radicadas</v>
      </c>
      <c r="I149" s="241"/>
      <c r="J149" s="310">
        <f>+'Plan de Accion Proyectos estrat'!AG30</f>
        <v>0.24896265560165975</v>
      </c>
      <c r="K149" s="483">
        <f>+'Plan de Accion Proyectos estrat'!AI30</f>
        <v>0.99585062240663902</v>
      </c>
      <c r="L149" s="483">
        <f t="shared" si="105"/>
        <v>0.99585062240663902</v>
      </c>
      <c r="M149" s="483">
        <f>+'Plan de Accion Proyectos estrat'!AK30</f>
        <v>0.24896265560165975</v>
      </c>
      <c r="N149" s="483">
        <f t="shared" si="103"/>
        <v>0.24896265560165975</v>
      </c>
      <c r="O149" s="485">
        <f t="shared" si="104"/>
        <v>0.24896265560165975</v>
      </c>
      <c r="P149" s="216"/>
      <c r="Q149" s="310">
        <f>+'Plan de Accion Proyectos estrat'!AQ30</f>
        <v>0.24793632075471697</v>
      </c>
      <c r="R149" s="311">
        <f>+'Plan de Accion Proyectos estrat'!AS30</f>
        <v>0.99174528301886788</v>
      </c>
      <c r="S149" s="215">
        <f t="shared" si="106"/>
        <v>0.99174528301886788</v>
      </c>
      <c r="T149" s="311">
        <f>+'Plan de Accion Proyectos estrat'!AU30</f>
        <v>0.4968989763563767</v>
      </c>
      <c r="U149" s="311">
        <f t="shared" si="107"/>
        <v>0.4968989763563767</v>
      </c>
      <c r="V149" s="214">
        <f t="shared" si="97"/>
        <v>0.4968989763563767</v>
      </c>
      <c r="W149" s="216"/>
      <c r="X149" s="310">
        <f>+'Plan de Accion Proyectos estrat'!BA30</f>
        <v>0.24941314553990609</v>
      </c>
      <c r="Y149" s="311">
        <f>+'Plan de Accion Proyectos estrat'!BC30</f>
        <v>0.99765258215962438</v>
      </c>
      <c r="Z149" s="215">
        <f t="shared" si="98"/>
        <v>0.99765258215962438</v>
      </c>
      <c r="AA149" s="220">
        <f>+'Plan de Accion Proyectos estrat'!BE30</f>
        <v>0.74631212189628282</v>
      </c>
      <c r="AB149" s="220">
        <f t="shared" si="99"/>
        <v>0.74631212189628282</v>
      </c>
      <c r="AC149" s="219">
        <f t="shared" si="100"/>
        <v>0.74631212189628282</v>
      </c>
      <c r="AD149" s="216"/>
      <c r="AE149" s="310">
        <f>+'Plan de Accion Proyectos estrat'!BK30</f>
        <v>0</v>
      </c>
      <c r="AF149" s="311">
        <f>+'Plan de Accion Proyectos estrat'!BM30</f>
        <v>0</v>
      </c>
      <c r="AG149" s="215">
        <f t="shared" si="101"/>
        <v>0</v>
      </c>
      <c r="AH149" s="311">
        <f>+'Plan de Accion Proyectos estrat'!BO30</f>
        <v>0.74631212189628282</v>
      </c>
      <c r="AI149" s="214">
        <f t="shared" si="102"/>
        <v>0.74631212189628282</v>
      </c>
      <c r="AJ149" s="1433"/>
      <c r="AK149" s="240"/>
      <c r="AL149" s="1442"/>
      <c r="AM149" s="1410"/>
      <c r="AN149" s="207"/>
      <c r="AO149" s="1442"/>
      <c r="AP149" s="1410"/>
      <c r="AQ149" s="207"/>
      <c r="AR149" s="1442"/>
      <c r="AS149" s="1410"/>
      <c r="AT149" s="207"/>
      <c r="AU149" s="1442"/>
      <c r="AV149" s="1410"/>
      <c r="AW149" s="205"/>
      <c r="AX149" s="1416"/>
      <c r="AY149" s="239"/>
      <c r="AZ149" s="1442"/>
      <c r="BA149" s="1410"/>
      <c r="BB149" s="207"/>
      <c r="BC149" s="1442"/>
      <c r="BD149" s="1410"/>
      <c r="BE149" s="207"/>
      <c r="BF149" s="1442"/>
      <c r="BG149" s="1410"/>
      <c r="BH149" s="207"/>
      <c r="BI149" s="1442"/>
      <c r="BJ149" s="1410"/>
      <c r="BK149" s="205"/>
      <c r="BL149" s="1416"/>
      <c r="BN149" s="1442"/>
      <c r="BO149" s="1410"/>
      <c r="BP149" s="207"/>
      <c r="BQ149" s="1442"/>
      <c r="BR149" s="1410"/>
      <c r="BS149" s="207"/>
      <c r="BT149" s="1442"/>
      <c r="BU149" s="1410"/>
      <c r="BV149" s="207"/>
      <c r="BW149" s="1442"/>
      <c r="BX149" s="1410"/>
      <c r="BY149" s="205"/>
      <c r="BZ149" s="1416"/>
      <c r="CB149" s="1442"/>
      <c r="CC149" s="1410"/>
      <c r="CD149" s="207"/>
      <c r="CE149" s="1442"/>
      <c r="CF149" s="1410"/>
      <c r="CG149" s="207"/>
      <c r="CH149" s="1442"/>
      <c r="CI149" s="1410"/>
      <c r="CJ149" s="207"/>
      <c r="CK149" s="1442"/>
      <c r="CL149" s="1410"/>
      <c r="CM149" s="205"/>
      <c r="CN149" s="1416"/>
    </row>
    <row r="150" spans="2:94" ht="57" x14ac:dyDescent="0.25">
      <c r="B150" s="1372"/>
      <c r="C150" s="1356"/>
      <c r="D150" s="1311"/>
      <c r="E150" s="1320"/>
      <c r="F150" s="1317"/>
      <c r="G150" s="315" t="str">
        <f>+'Plan de Accion Proyectos estrat'!K31</f>
        <v>Devoluciones económicas REX</v>
      </c>
      <c r="H150" s="227" t="str">
        <f>+'Plan de Accion Proyectos estrat'!X31</f>
        <v># Solicitudes de devolución de aportes tramitadas / # Solicitudes de devolución de aportes radicadas</v>
      </c>
      <c r="I150" s="241"/>
      <c r="J150" s="310">
        <f>+'Plan de Accion Proyectos estrat'!AG31</f>
        <v>0.24726775956284153</v>
      </c>
      <c r="K150" s="483">
        <f>+'Plan de Accion Proyectos estrat'!AI31</f>
        <v>0.98907103825136611</v>
      </c>
      <c r="L150" s="483">
        <f t="shared" si="105"/>
        <v>0.98907103825136611</v>
      </c>
      <c r="M150" s="483">
        <f>+'Plan de Accion Proyectos estrat'!AK31</f>
        <v>0.24726775956284153</v>
      </c>
      <c r="N150" s="483">
        <f t="shared" si="103"/>
        <v>0.24726775956284153</v>
      </c>
      <c r="O150" s="485">
        <f t="shared" si="104"/>
        <v>0.24726775956284153</v>
      </c>
      <c r="P150" s="216"/>
      <c r="Q150" s="310">
        <f>+'Plan de Accion Proyectos estrat'!AQ31</f>
        <v>0.25</v>
      </c>
      <c r="R150" s="311">
        <f>+'Plan de Accion Proyectos estrat'!AS31</f>
        <v>1</v>
      </c>
      <c r="S150" s="215">
        <f t="shared" si="106"/>
        <v>1</v>
      </c>
      <c r="T150" s="311">
        <f>+'Plan de Accion Proyectos estrat'!AU31</f>
        <v>0.49726775956284153</v>
      </c>
      <c r="U150" s="311">
        <f t="shared" si="107"/>
        <v>0.49726775956284153</v>
      </c>
      <c r="V150" s="214">
        <f t="shared" si="97"/>
        <v>0.49726775956284153</v>
      </c>
      <c r="W150" s="216"/>
      <c r="X150" s="310">
        <f>+'Plan de Accion Proyectos estrat'!BA31</f>
        <v>0.25</v>
      </c>
      <c r="Y150" s="311">
        <f>+'Plan de Accion Proyectos estrat'!BC31</f>
        <v>1</v>
      </c>
      <c r="Z150" s="215">
        <f t="shared" si="98"/>
        <v>1</v>
      </c>
      <c r="AA150" s="220">
        <f>+'Plan de Accion Proyectos estrat'!BE31</f>
        <v>0.74726775956284153</v>
      </c>
      <c r="AB150" s="220">
        <f t="shared" si="99"/>
        <v>0.74726775956284153</v>
      </c>
      <c r="AC150" s="219">
        <f t="shared" si="100"/>
        <v>0.74726775956284153</v>
      </c>
      <c r="AD150" s="216"/>
      <c r="AE150" s="310">
        <f>+'Plan de Accion Proyectos estrat'!BK31</f>
        <v>0</v>
      </c>
      <c r="AF150" s="311">
        <f>+'Plan de Accion Proyectos estrat'!BM31</f>
        <v>0</v>
      </c>
      <c r="AG150" s="215">
        <f t="shared" si="101"/>
        <v>0</v>
      </c>
      <c r="AH150" s="311">
        <f>+'Plan de Accion Proyectos estrat'!BO31</f>
        <v>0.74726775956284153</v>
      </c>
      <c r="AI150" s="214">
        <f t="shared" si="102"/>
        <v>0.74726775956284153</v>
      </c>
      <c r="AJ150" s="1433"/>
      <c r="AK150" s="240"/>
      <c r="AL150" s="1442"/>
      <c r="AM150" s="1410"/>
      <c r="AN150" s="207"/>
      <c r="AO150" s="1442"/>
      <c r="AP150" s="1410"/>
      <c r="AQ150" s="207"/>
      <c r="AR150" s="1442"/>
      <c r="AS150" s="1410"/>
      <c r="AT150" s="207"/>
      <c r="AU150" s="1442"/>
      <c r="AV150" s="1410"/>
      <c r="AW150" s="205"/>
      <c r="AX150" s="1416"/>
      <c r="AY150" s="239"/>
      <c r="AZ150" s="1442"/>
      <c r="BA150" s="1410"/>
      <c r="BB150" s="207"/>
      <c r="BC150" s="1442"/>
      <c r="BD150" s="1410"/>
      <c r="BE150" s="207"/>
      <c r="BF150" s="1442"/>
      <c r="BG150" s="1410"/>
      <c r="BH150" s="207"/>
      <c r="BI150" s="1442"/>
      <c r="BJ150" s="1410"/>
      <c r="BK150" s="205"/>
      <c r="BL150" s="1416"/>
      <c r="BN150" s="1442"/>
      <c r="BO150" s="1410"/>
      <c r="BP150" s="207"/>
      <c r="BQ150" s="1442"/>
      <c r="BR150" s="1410"/>
      <c r="BS150" s="207"/>
      <c r="BT150" s="1442"/>
      <c r="BU150" s="1410"/>
      <c r="BV150" s="207"/>
      <c r="BW150" s="1442"/>
      <c r="BX150" s="1410"/>
      <c r="BY150" s="205"/>
      <c r="BZ150" s="1416"/>
      <c r="CB150" s="1442"/>
      <c r="CC150" s="1410"/>
      <c r="CD150" s="207"/>
      <c r="CE150" s="1442"/>
      <c r="CF150" s="1410"/>
      <c r="CG150" s="207"/>
      <c r="CH150" s="1442"/>
      <c r="CI150" s="1410"/>
      <c r="CJ150" s="207"/>
      <c r="CK150" s="1442"/>
      <c r="CL150" s="1410"/>
      <c r="CM150" s="205"/>
      <c r="CN150" s="1416"/>
    </row>
    <row r="151" spans="2:94" ht="57" x14ac:dyDescent="0.25">
      <c r="B151" s="1372"/>
      <c r="C151" s="1356"/>
      <c r="D151" s="1311"/>
      <c r="E151" s="1320"/>
      <c r="F151" s="1317"/>
      <c r="G151" s="315" t="str">
        <f>+'Plan de Accion Proyectos estrat'!K32</f>
        <v>Liquidación y reconocimiento de la UPC de los Afiliados del Régimen Subsidiado</v>
      </c>
      <c r="H151" s="227" t="str">
        <f>+'Plan de Accion Proyectos estrat'!X32</f>
        <v xml:space="preserve"># Procesos de LMA ejecutados </v>
      </c>
      <c r="I151" s="241"/>
      <c r="J151" s="221">
        <f>+'Plan de Accion Proyectos estrat'!AG32</f>
        <v>3</v>
      </c>
      <c r="K151" s="483">
        <f>+'Plan de Accion Proyectos estrat'!AI32</f>
        <v>1</v>
      </c>
      <c r="L151" s="483">
        <f t="shared" si="105"/>
        <v>1</v>
      </c>
      <c r="M151" s="483">
        <f>+'Plan de Accion Proyectos estrat'!AK32</f>
        <v>0.25</v>
      </c>
      <c r="N151" s="483">
        <f t="shared" si="103"/>
        <v>0.25</v>
      </c>
      <c r="O151" s="485">
        <f t="shared" si="104"/>
        <v>0.25</v>
      </c>
      <c r="P151" s="216"/>
      <c r="Q151" s="221">
        <f>+'Plan de Accion Proyectos estrat'!AQ32</f>
        <v>3</v>
      </c>
      <c r="R151" s="311">
        <f>+'Plan de Accion Proyectos estrat'!AS32</f>
        <v>1</v>
      </c>
      <c r="S151" s="215">
        <f t="shared" si="106"/>
        <v>1</v>
      </c>
      <c r="T151" s="311">
        <f>+'Plan de Accion Proyectos estrat'!AU32</f>
        <v>0.5</v>
      </c>
      <c r="U151" s="311">
        <f t="shared" si="107"/>
        <v>0.5</v>
      </c>
      <c r="V151" s="214">
        <f t="shared" si="97"/>
        <v>0.5</v>
      </c>
      <c r="W151" s="216"/>
      <c r="X151" s="221">
        <f>+'Plan de Accion Proyectos estrat'!BA32</f>
        <v>3</v>
      </c>
      <c r="Y151" s="311">
        <f>+'Plan de Accion Proyectos estrat'!BC32</f>
        <v>1</v>
      </c>
      <c r="Z151" s="215">
        <f t="shared" si="98"/>
        <v>1</v>
      </c>
      <c r="AA151" s="220">
        <f>+'Plan de Accion Proyectos estrat'!BE32</f>
        <v>0.75</v>
      </c>
      <c r="AB151" s="220">
        <f t="shared" si="99"/>
        <v>0.75</v>
      </c>
      <c r="AC151" s="219">
        <f t="shared" si="100"/>
        <v>0.75</v>
      </c>
      <c r="AD151" s="216"/>
      <c r="AE151" s="222">
        <f>+'Plan de Accion Proyectos estrat'!BK32</f>
        <v>0</v>
      </c>
      <c r="AF151" s="311">
        <f>+'Plan de Accion Proyectos estrat'!BM32</f>
        <v>0</v>
      </c>
      <c r="AG151" s="215">
        <f t="shared" si="101"/>
        <v>0</v>
      </c>
      <c r="AH151" s="311">
        <f>+'Plan de Accion Proyectos estrat'!BO32</f>
        <v>0.75</v>
      </c>
      <c r="AI151" s="214">
        <f t="shared" si="102"/>
        <v>0.75</v>
      </c>
      <c r="AJ151" s="1433"/>
      <c r="AK151" s="240"/>
      <c r="AL151" s="1442"/>
      <c r="AM151" s="1410"/>
      <c r="AN151" s="207"/>
      <c r="AO151" s="1442"/>
      <c r="AP151" s="1410"/>
      <c r="AQ151" s="207"/>
      <c r="AR151" s="1442"/>
      <c r="AS151" s="1410"/>
      <c r="AT151" s="207"/>
      <c r="AU151" s="1442"/>
      <c r="AV151" s="1410"/>
      <c r="AW151" s="205"/>
      <c r="AX151" s="1416"/>
      <c r="AY151" s="239"/>
      <c r="AZ151" s="1442"/>
      <c r="BA151" s="1410"/>
      <c r="BB151" s="207"/>
      <c r="BC151" s="1442"/>
      <c r="BD151" s="1410"/>
      <c r="BE151" s="207"/>
      <c r="BF151" s="1442"/>
      <c r="BG151" s="1410"/>
      <c r="BH151" s="207"/>
      <c r="BI151" s="1442"/>
      <c r="BJ151" s="1410"/>
      <c r="BK151" s="205"/>
      <c r="BL151" s="1416"/>
      <c r="BN151" s="1442"/>
      <c r="BO151" s="1410"/>
      <c r="BP151" s="207"/>
      <c r="BQ151" s="1442"/>
      <c r="BR151" s="1410"/>
      <c r="BS151" s="207"/>
      <c r="BT151" s="1442"/>
      <c r="BU151" s="1410"/>
      <c r="BV151" s="207"/>
      <c r="BW151" s="1442"/>
      <c r="BX151" s="1410"/>
      <c r="BY151" s="205"/>
      <c r="BZ151" s="1416"/>
      <c r="CB151" s="1442"/>
      <c r="CC151" s="1410"/>
      <c r="CD151" s="207"/>
      <c r="CE151" s="1442"/>
      <c r="CF151" s="1410"/>
      <c r="CG151" s="207"/>
      <c r="CH151" s="1442"/>
      <c r="CI151" s="1410"/>
      <c r="CJ151" s="207"/>
      <c r="CK151" s="1442"/>
      <c r="CL151" s="1410"/>
      <c r="CM151" s="205"/>
      <c r="CN151" s="1416"/>
    </row>
    <row r="152" spans="2:94" ht="57" customHeight="1" x14ac:dyDescent="0.25">
      <c r="B152" s="1372"/>
      <c r="C152" s="1356"/>
      <c r="D152" s="1312"/>
      <c r="E152" s="1320"/>
      <c r="F152" s="1317"/>
      <c r="G152" s="315" t="str">
        <f>+'Plan de Accion Proyectos estrat'!K33</f>
        <v xml:space="preserve">Liquidación y reconocimiento de licencias de maternidad y paternidad </v>
      </c>
      <c r="H152" s="227" t="str">
        <f>+'Plan de Accion Proyectos estrat'!X33</f>
        <v xml:space="preserve"># Procesos de liquidación y reconocimiento de licencias de maternidad y paternidad ejecutados </v>
      </c>
      <c r="I152" s="241"/>
      <c r="J152" s="221">
        <f>+'Plan de Accion Proyectos estrat'!AG33</f>
        <v>3</v>
      </c>
      <c r="K152" s="483">
        <f>+'Plan de Accion Proyectos estrat'!AI33</f>
        <v>1</v>
      </c>
      <c r="L152" s="483">
        <f t="shared" si="105"/>
        <v>1</v>
      </c>
      <c r="M152" s="483">
        <f>+'Plan de Accion Proyectos estrat'!AK33</f>
        <v>0.25</v>
      </c>
      <c r="N152" s="483">
        <f t="shared" si="103"/>
        <v>0.25</v>
      </c>
      <c r="O152" s="485">
        <f t="shared" si="104"/>
        <v>0.25</v>
      </c>
      <c r="P152" s="216"/>
      <c r="Q152" s="221">
        <f>+'Plan de Accion Proyectos estrat'!AQ33</f>
        <v>3</v>
      </c>
      <c r="R152" s="311">
        <f>+'Plan de Accion Proyectos estrat'!AS33</f>
        <v>1</v>
      </c>
      <c r="S152" s="215">
        <f t="shared" si="106"/>
        <v>1</v>
      </c>
      <c r="T152" s="311">
        <f>+'Plan de Accion Proyectos estrat'!AU33</f>
        <v>0.5</v>
      </c>
      <c r="U152" s="311">
        <f t="shared" si="107"/>
        <v>0.5</v>
      </c>
      <c r="V152" s="214">
        <f t="shared" si="97"/>
        <v>0.5</v>
      </c>
      <c r="W152" s="216"/>
      <c r="X152" s="221">
        <f>+'Plan de Accion Proyectos estrat'!BA33</f>
        <v>3</v>
      </c>
      <c r="Y152" s="311">
        <f>+'Plan de Accion Proyectos estrat'!BC33</f>
        <v>1</v>
      </c>
      <c r="Z152" s="215">
        <f t="shared" si="98"/>
        <v>1</v>
      </c>
      <c r="AA152" s="220">
        <f>+'Plan de Accion Proyectos estrat'!BE33</f>
        <v>0.75</v>
      </c>
      <c r="AB152" s="220">
        <f t="shared" si="99"/>
        <v>0.75</v>
      </c>
      <c r="AC152" s="219">
        <f t="shared" si="100"/>
        <v>0.75</v>
      </c>
      <c r="AD152" s="216"/>
      <c r="AE152" s="222">
        <f>+'Plan de Accion Proyectos estrat'!BK33</f>
        <v>0</v>
      </c>
      <c r="AF152" s="311">
        <f>+'Plan de Accion Proyectos estrat'!BM33</f>
        <v>0</v>
      </c>
      <c r="AG152" s="215">
        <f t="shared" si="101"/>
        <v>0</v>
      </c>
      <c r="AH152" s="311">
        <f>+'Plan de Accion Proyectos estrat'!BO33</f>
        <v>0.75</v>
      </c>
      <c r="AI152" s="214">
        <f t="shared" si="102"/>
        <v>0.75</v>
      </c>
      <c r="AJ152" s="1433"/>
      <c r="AK152" s="240"/>
      <c r="AL152" s="1442"/>
      <c r="AM152" s="1410"/>
      <c r="AN152" s="207"/>
      <c r="AO152" s="1442"/>
      <c r="AP152" s="1410"/>
      <c r="AQ152" s="207"/>
      <c r="AR152" s="1442"/>
      <c r="AS152" s="1410"/>
      <c r="AT152" s="207"/>
      <c r="AU152" s="1442"/>
      <c r="AV152" s="1410"/>
      <c r="AW152" s="205"/>
      <c r="AX152" s="1416"/>
      <c r="AY152" s="239"/>
      <c r="AZ152" s="1442"/>
      <c r="BA152" s="1410"/>
      <c r="BB152" s="207"/>
      <c r="BC152" s="1442"/>
      <c r="BD152" s="1410"/>
      <c r="BE152" s="207"/>
      <c r="BF152" s="1442"/>
      <c r="BG152" s="1410"/>
      <c r="BH152" s="207"/>
      <c r="BI152" s="1442"/>
      <c r="BJ152" s="1410"/>
      <c r="BK152" s="205"/>
      <c r="BL152" s="1416"/>
      <c r="BN152" s="1442"/>
      <c r="BO152" s="1410"/>
      <c r="BP152" s="207"/>
      <c r="BQ152" s="1442"/>
      <c r="BR152" s="1410"/>
      <c r="BS152" s="207"/>
      <c r="BT152" s="1442"/>
      <c r="BU152" s="1410"/>
      <c r="BV152" s="207"/>
      <c r="BW152" s="1442"/>
      <c r="BX152" s="1410"/>
      <c r="BY152" s="205"/>
      <c r="BZ152" s="1416"/>
      <c r="CB152" s="1442"/>
      <c r="CC152" s="1410"/>
      <c r="CD152" s="207"/>
      <c r="CE152" s="1442"/>
      <c r="CF152" s="1410"/>
      <c r="CG152" s="207"/>
      <c r="CH152" s="1442"/>
      <c r="CI152" s="1410"/>
      <c r="CJ152" s="207"/>
      <c r="CK152" s="1442"/>
      <c r="CL152" s="1410"/>
      <c r="CM152" s="205"/>
      <c r="CN152" s="1416"/>
    </row>
    <row r="153" spans="2:94" ht="57" customHeight="1" x14ac:dyDescent="0.25">
      <c r="B153" s="1372"/>
      <c r="C153" s="1313" t="s">
        <v>345</v>
      </c>
      <c r="D153" s="1326" t="s">
        <v>204</v>
      </c>
      <c r="E153" s="1320"/>
      <c r="F153" s="1317"/>
      <c r="G153" s="921" t="str">
        <f>+'Plan de Accion Misional'!K22</f>
        <v xml:space="preserve">Modelo operativo del saneamiento definitivo </v>
      </c>
      <c r="H153" s="227" t="str">
        <f>+'Plan de Accion Misional'!X22</f>
        <v># Documento que contengan el Modelo operativo del saneamiento definitivo elaborados</v>
      </c>
      <c r="I153" s="241"/>
      <c r="J153" s="222">
        <f>+'Plan de Accion Misional'!AG22</f>
        <v>0</v>
      </c>
      <c r="K153" s="919" t="str">
        <f>+'Plan de Accion Misional'!BR22</f>
        <v>No Prog ni Ejec</v>
      </c>
      <c r="L153" s="919" t="s">
        <v>204</v>
      </c>
      <c r="M153" s="919" t="s">
        <v>204</v>
      </c>
      <c r="N153" s="919" t="s">
        <v>204</v>
      </c>
      <c r="O153" s="920" t="s">
        <v>204</v>
      </c>
      <c r="P153" s="216"/>
      <c r="Q153" s="222">
        <f>+'Plan de Accion Misional'!AQ22</f>
        <v>0</v>
      </c>
      <c r="R153" s="253" t="str">
        <f>+'Plan de Accion Misional'!BT22</f>
        <v>No Prog ni Ejec</v>
      </c>
      <c r="S153" s="215" t="s">
        <v>204</v>
      </c>
      <c r="T153" s="919" t="s">
        <v>204</v>
      </c>
      <c r="U153" s="919" t="s">
        <v>204</v>
      </c>
      <c r="V153" s="214" t="str">
        <f>+U153</f>
        <v>N.A</v>
      </c>
      <c r="W153" s="216"/>
      <c r="X153" s="222">
        <f>+'Plan de Accion Misional'!BA22</f>
        <v>0</v>
      </c>
      <c r="Y153" s="253" t="str">
        <f>+'Plan de Accion Misional'!BV22</f>
        <v>No Prog ni Ejec</v>
      </c>
      <c r="Z153" s="215" t="s">
        <v>204</v>
      </c>
      <c r="AA153" s="220" t="s">
        <v>204</v>
      </c>
      <c r="AB153" s="220" t="s">
        <v>204</v>
      </c>
      <c r="AC153" s="219" t="s">
        <v>204</v>
      </c>
      <c r="AD153" s="216"/>
      <c r="AE153" s="222">
        <f>+'Plan de Accion Misional'!BK22</f>
        <v>0</v>
      </c>
      <c r="AF153" s="253">
        <f>+'Plan de Accion Misional'!BX22</f>
        <v>0</v>
      </c>
      <c r="AG153" s="215">
        <f t="shared" si="101"/>
        <v>0</v>
      </c>
      <c r="AH153" s="253">
        <f>+'Plan de Accion Misional'!BO22</f>
        <v>0</v>
      </c>
      <c r="AI153" s="214">
        <f>IF(AH153&gt;100%,100%,AH153)</f>
        <v>0</v>
      </c>
      <c r="AJ153" s="1433"/>
      <c r="AK153" s="240"/>
      <c r="AL153" s="1442"/>
      <c r="AM153" s="1410"/>
      <c r="AN153" s="207"/>
      <c r="AO153" s="1442"/>
      <c r="AP153" s="1410"/>
      <c r="AQ153" s="207"/>
      <c r="AR153" s="1442"/>
      <c r="AS153" s="1410"/>
      <c r="AT153" s="207"/>
      <c r="AU153" s="1442"/>
      <c r="AV153" s="1410"/>
      <c r="AW153" s="205"/>
      <c r="AX153" s="1416"/>
      <c r="AY153" s="239"/>
      <c r="AZ153" s="1442"/>
      <c r="BA153" s="1410"/>
      <c r="BB153" s="207"/>
      <c r="BC153" s="1442"/>
      <c r="BD153" s="1410"/>
      <c r="BE153" s="207"/>
      <c r="BF153" s="1442"/>
      <c r="BG153" s="1410"/>
      <c r="BH153" s="207"/>
      <c r="BI153" s="1442"/>
      <c r="BJ153" s="1410"/>
      <c r="BK153" s="205"/>
      <c r="BL153" s="1416"/>
      <c r="BN153" s="1442"/>
      <c r="BO153" s="1410"/>
      <c r="BP153" s="207"/>
      <c r="BQ153" s="1442"/>
      <c r="BR153" s="1410"/>
      <c r="BS153" s="207"/>
      <c r="BT153" s="1442"/>
      <c r="BU153" s="1410"/>
      <c r="BV153" s="207"/>
      <c r="BW153" s="1442"/>
      <c r="BX153" s="1410"/>
      <c r="BY153" s="205"/>
      <c r="BZ153" s="1416"/>
      <c r="CB153" s="1442"/>
      <c r="CC153" s="1410"/>
      <c r="CD153" s="207"/>
      <c r="CE153" s="1442"/>
      <c r="CF153" s="1410"/>
      <c r="CG153" s="207"/>
      <c r="CH153" s="1442"/>
      <c r="CI153" s="1410"/>
      <c r="CJ153" s="207"/>
      <c r="CK153" s="1442"/>
      <c r="CL153" s="1410"/>
      <c r="CM153" s="205"/>
      <c r="CN153" s="1416"/>
    </row>
    <row r="154" spans="2:94" ht="57" customHeight="1" x14ac:dyDescent="0.25">
      <c r="B154" s="1372"/>
      <c r="C154" s="1314"/>
      <c r="D154" s="1327"/>
      <c r="E154" s="1320"/>
      <c r="F154" s="1317"/>
      <c r="G154" s="921" t="str">
        <f>+'Plan de Accion Misional'!K23</f>
        <v>Proyectos de decreto y resolución del MSPS para la reglamentación del saneamiento definitivo con observaciones y/o aportes por parte de ADRES</v>
      </c>
      <c r="H154" s="227" t="str">
        <f>+'Plan de Accion Misional'!X23</f>
        <v># Documentos (Proyectos de decreto y resolución del MSPS) con observaciones y/o aportes por parte de ADRES elaborados</v>
      </c>
      <c r="I154" s="241"/>
      <c r="J154" s="222">
        <f>+'Plan de Accion Misional'!AG23</f>
        <v>0</v>
      </c>
      <c r="K154" s="919" t="str">
        <f>+'Plan de Accion Misional'!BR23</f>
        <v>No Prog ni Ejec</v>
      </c>
      <c r="L154" s="919" t="s">
        <v>204</v>
      </c>
      <c r="M154" s="919" t="s">
        <v>204</v>
      </c>
      <c r="N154" s="919" t="s">
        <v>204</v>
      </c>
      <c r="O154" s="920" t="s">
        <v>204</v>
      </c>
      <c r="P154" s="216"/>
      <c r="Q154" s="222">
        <f>+'Plan de Accion Misional'!AQ23</f>
        <v>0</v>
      </c>
      <c r="R154" s="253" t="str">
        <f>+'Plan de Accion Misional'!BT23</f>
        <v>No Prog ni Ejec</v>
      </c>
      <c r="S154" s="215" t="s">
        <v>204</v>
      </c>
      <c r="T154" s="919" t="s">
        <v>204</v>
      </c>
      <c r="U154" s="919" t="s">
        <v>204</v>
      </c>
      <c r="V154" s="214" t="str">
        <f t="shared" ref="V154:V156" si="108">+U154</f>
        <v>N.A</v>
      </c>
      <c r="W154" s="216"/>
      <c r="X154" s="222">
        <f>+'Plan de Accion Misional'!BA23</f>
        <v>0</v>
      </c>
      <c r="Y154" s="253" t="str">
        <f>+'Plan de Accion Misional'!BV23</f>
        <v>No Prog ni Ejec</v>
      </c>
      <c r="Z154" s="215" t="s">
        <v>204</v>
      </c>
      <c r="AA154" s="220" t="s">
        <v>204</v>
      </c>
      <c r="AB154" s="220" t="s">
        <v>204</v>
      </c>
      <c r="AC154" s="219" t="s">
        <v>204</v>
      </c>
      <c r="AD154" s="216"/>
      <c r="AE154" s="222">
        <f>+'Plan de Accion Misional'!BK23</f>
        <v>0</v>
      </c>
      <c r="AF154" s="253">
        <f>+'Plan de Accion Misional'!BX23</f>
        <v>0</v>
      </c>
      <c r="AG154" s="215">
        <f t="shared" ref="AG154:AG156" si="109">IF(AF154&gt;100%,100%,AF154)</f>
        <v>0</v>
      </c>
      <c r="AH154" s="253">
        <f>+'Plan de Accion Misional'!BO23</f>
        <v>0</v>
      </c>
      <c r="AI154" s="214">
        <f t="shared" ref="AI154:AI156" si="110">IF(AH154&gt;100%,100%,AH154)</f>
        <v>0</v>
      </c>
      <c r="AJ154" s="1433"/>
      <c r="AK154" s="240"/>
      <c r="AL154" s="1442"/>
      <c r="AM154" s="1410"/>
      <c r="AN154" s="207"/>
      <c r="AO154" s="1442"/>
      <c r="AP154" s="1410"/>
      <c r="AQ154" s="207"/>
      <c r="AR154" s="1442"/>
      <c r="AS154" s="1410"/>
      <c r="AT154" s="207"/>
      <c r="AU154" s="1442"/>
      <c r="AV154" s="1410"/>
      <c r="AW154" s="205"/>
      <c r="AX154" s="1416"/>
      <c r="AY154" s="239"/>
      <c r="AZ154" s="1442"/>
      <c r="BA154" s="1410"/>
      <c r="BB154" s="207"/>
      <c r="BC154" s="1442"/>
      <c r="BD154" s="1410"/>
      <c r="BE154" s="207"/>
      <c r="BF154" s="1442"/>
      <c r="BG154" s="1410"/>
      <c r="BH154" s="207"/>
      <c r="BI154" s="1442"/>
      <c r="BJ154" s="1410"/>
      <c r="BK154" s="205"/>
      <c r="BL154" s="1416"/>
      <c r="BN154" s="1442"/>
      <c r="BO154" s="1410"/>
      <c r="BP154" s="207"/>
      <c r="BQ154" s="1442"/>
      <c r="BR154" s="1410"/>
      <c r="BS154" s="207"/>
      <c r="BT154" s="1442"/>
      <c r="BU154" s="1410"/>
      <c r="BV154" s="207"/>
      <c r="BW154" s="1442"/>
      <c r="BX154" s="1410"/>
      <c r="BY154" s="205"/>
      <c r="BZ154" s="1416"/>
      <c r="CB154" s="1442"/>
      <c r="CC154" s="1410"/>
      <c r="CD154" s="207"/>
      <c r="CE154" s="1442"/>
      <c r="CF154" s="1410"/>
      <c r="CG154" s="207"/>
      <c r="CH154" s="1442"/>
      <c r="CI154" s="1410"/>
      <c r="CJ154" s="207"/>
      <c r="CK154" s="1442"/>
      <c r="CL154" s="1410"/>
      <c r="CM154" s="205"/>
      <c r="CN154" s="1416"/>
    </row>
    <row r="155" spans="2:94" ht="57" customHeight="1" x14ac:dyDescent="0.25">
      <c r="B155" s="1372"/>
      <c r="C155" s="1314"/>
      <c r="D155" s="1327"/>
      <c r="E155" s="1320"/>
      <c r="F155" s="1317"/>
      <c r="G155" s="921" t="str">
        <f>+'Plan de Accion Misional'!K24</f>
        <v>Documento con insumos, recomendaciones, observaciones o  propuestas metodológicas frente a la implementación del mecanismo de techos  o presupuesto máximos.</v>
      </c>
      <c r="H155" s="227" t="str">
        <f>+'Plan de Accion Misional'!X24</f>
        <v># Documento con insumos, recomendaciones, observaciones o  propuestas metodológicas frente a la implementación del mecanismo de techos  o presupuesto máximos, remitidos al MSPS</v>
      </c>
      <c r="I155" s="241"/>
      <c r="J155" s="222">
        <f>+'Plan de Accion Misional'!AG24</f>
        <v>0</v>
      </c>
      <c r="K155" s="919" t="str">
        <f>+'Plan de Accion Misional'!BR24</f>
        <v>No Prog ni Ejec</v>
      </c>
      <c r="L155" s="919" t="s">
        <v>204</v>
      </c>
      <c r="M155" s="919" t="s">
        <v>204</v>
      </c>
      <c r="N155" s="919" t="s">
        <v>204</v>
      </c>
      <c r="O155" s="920" t="s">
        <v>204</v>
      </c>
      <c r="P155" s="216"/>
      <c r="Q155" s="222">
        <f>+'Plan de Accion Misional'!AQ24</f>
        <v>0</v>
      </c>
      <c r="R155" s="253" t="str">
        <f>+'Plan de Accion Misional'!BT24</f>
        <v>No Prog ni Ejec</v>
      </c>
      <c r="S155" s="215" t="s">
        <v>204</v>
      </c>
      <c r="T155" s="919" t="s">
        <v>204</v>
      </c>
      <c r="U155" s="919" t="s">
        <v>204</v>
      </c>
      <c r="V155" s="214" t="str">
        <f t="shared" si="108"/>
        <v>N.A</v>
      </c>
      <c r="W155" s="216"/>
      <c r="X155" s="222">
        <f>+'Plan de Accion Misional'!BA24</f>
        <v>0</v>
      </c>
      <c r="Y155" s="253" t="str">
        <f>+'Plan de Accion Misional'!BV24</f>
        <v>No Prog ni Ejec</v>
      </c>
      <c r="Z155" s="215" t="s">
        <v>204</v>
      </c>
      <c r="AA155" s="220" t="s">
        <v>204</v>
      </c>
      <c r="AB155" s="220" t="s">
        <v>204</v>
      </c>
      <c r="AC155" s="219" t="s">
        <v>204</v>
      </c>
      <c r="AD155" s="216"/>
      <c r="AE155" s="222">
        <f>+'Plan de Accion Misional'!BK24</f>
        <v>0</v>
      </c>
      <c r="AF155" s="253">
        <f>+'Plan de Accion Misional'!BX24</f>
        <v>0</v>
      </c>
      <c r="AG155" s="215">
        <f t="shared" si="109"/>
        <v>0</v>
      </c>
      <c r="AH155" s="253">
        <f>+'Plan de Accion Misional'!BO24</f>
        <v>0</v>
      </c>
      <c r="AI155" s="214">
        <f t="shared" si="110"/>
        <v>0</v>
      </c>
      <c r="AJ155" s="1433"/>
      <c r="AK155" s="240"/>
      <c r="AL155" s="1442"/>
      <c r="AM155" s="1410"/>
      <c r="AN155" s="207"/>
      <c r="AO155" s="1442"/>
      <c r="AP155" s="1410"/>
      <c r="AQ155" s="207"/>
      <c r="AR155" s="1442"/>
      <c r="AS155" s="1410"/>
      <c r="AT155" s="207"/>
      <c r="AU155" s="1442"/>
      <c r="AV155" s="1410"/>
      <c r="AW155" s="205"/>
      <c r="AX155" s="1416"/>
      <c r="AY155" s="239"/>
      <c r="AZ155" s="1442"/>
      <c r="BA155" s="1410"/>
      <c r="BB155" s="207"/>
      <c r="BC155" s="1442"/>
      <c r="BD155" s="1410"/>
      <c r="BE155" s="207"/>
      <c r="BF155" s="1442"/>
      <c r="BG155" s="1410"/>
      <c r="BH155" s="207"/>
      <c r="BI155" s="1442"/>
      <c r="BJ155" s="1410"/>
      <c r="BK155" s="205"/>
      <c r="BL155" s="1416"/>
      <c r="BN155" s="1442"/>
      <c r="BO155" s="1410"/>
      <c r="BP155" s="207"/>
      <c r="BQ155" s="1442"/>
      <c r="BR155" s="1410"/>
      <c r="BS155" s="207"/>
      <c r="BT155" s="1442"/>
      <c r="BU155" s="1410"/>
      <c r="BV155" s="207"/>
      <c r="BW155" s="1442"/>
      <c r="BX155" s="1410"/>
      <c r="BY155" s="205"/>
      <c r="BZ155" s="1416"/>
      <c r="CB155" s="1442"/>
      <c r="CC155" s="1410"/>
      <c r="CD155" s="207"/>
      <c r="CE155" s="1442"/>
      <c r="CF155" s="1410"/>
      <c r="CG155" s="207"/>
      <c r="CH155" s="1442"/>
      <c r="CI155" s="1410"/>
      <c r="CJ155" s="207"/>
      <c r="CK155" s="1442"/>
      <c r="CL155" s="1410"/>
      <c r="CM155" s="205"/>
      <c r="CN155" s="1416"/>
    </row>
    <row r="156" spans="2:94" ht="57" customHeight="1" x14ac:dyDescent="0.25">
      <c r="B156" s="1372"/>
      <c r="C156" s="1329"/>
      <c r="D156" s="1328"/>
      <c r="E156" s="1321"/>
      <c r="F156" s="1318"/>
      <c r="G156" s="921" t="str">
        <f>+'Plan de Accion Misional'!K25</f>
        <v xml:space="preserve">Proyecto de resolución de la ADRES para adoptar los lineamientos y específicas técnicas y operativas para la implementación del mecanismo de techos  o presupuesto máximos. </v>
      </c>
      <c r="H156" s="227" t="str">
        <f>+'Plan de Accion Misional'!X25</f>
        <v xml:space="preserve"># Proyecto de resolución de la ADRES para adoptar los lineamientos y específicas técnicas y operativas elaborados. </v>
      </c>
      <c r="I156" s="241"/>
      <c r="J156" s="222">
        <f>+'Plan de Accion Misional'!AG25</f>
        <v>0</v>
      </c>
      <c r="K156" s="919" t="str">
        <f>+'Plan de Accion Misional'!BR25</f>
        <v>No Prog ni Ejec</v>
      </c>
      <c r="L156" s="919" t="s">
        <v>204</v>
      </c>
      <c r="M156" s="919" t="s">
        <v>204</v>
      </c>
      <c r="N156" s="919" t="s">
        <v>204</v>
      </c>
      <c r="O156" s="920" t="s">
        <v>204</v>
      </c>
      <c r="P156" s="216"/>
      <c r="Q156" s="222">
        <f>+'Plan de Accion Misional'!AQ25</f>
        <v>0</v>
      </c>
      <c r="R156" s="253" t="str">
        <f>+'Plan de Accion Misional'!BT25</f>
        <v>No Prog ni Ejec</v>
      </c>
      <c r="S156" s="215" t="s">
        <v>204</v>
      </c>
      <c r="T156" s="919" t="s">
        <v>204</v>
      </c>
      <c r="U156" s="919" t="s">
        <v>204</v>
      </c>
      <c r="V156" s="214" t="str">
        <f t="shared" si="108"/>
        <v>N.A</v>
      </c>
      <c r="W156" s="216"/>
      <c r="X156" s="222">
        <f>+'Plan de Accion Misional'!BA25</f>
        <v>0</v>
      </c>
      <c r="Y156" s="253" t="str">
        <f>+'Plan de Accion Misional'!BV25</f>
        <v>No Prog ni Ejec</v>
      </c>
      <c r="Z156" s="215" t="s">
        <v>204</v>
      </c>
      <c r="AA156" s="220" t="s">
        <v>204</v>
      </c>
      <c r="AB156" s="220" t="s">
        <v>204</v>
      </c>
      <c r="AC156" s="219" t="s">
        <v>204</v>
      </c>
      <c r="AD156" s="216"/>
      <c r="AE156" s="222">
        <f>+'Plan de Accion Misional'!BK25</f>
        <v>0</v>
      </c>
      <c r="AF156" s="253">
        <f>+'Plan de Accion Misional'!BX25</f>
        <v>0</v>
      </c>
      <c r="AG156" s="215">
        <f t="shared" si="109"/>
        <v>0</v>
      </c>
      <c r="AH156" s="253">
        <f>+'Plan de Accion Misional'!BO25</f>
        <v>0</v>
      </c>
      <c r="AI156" s="214">
        <f t="shared" si="110"/>
        <v>0</v>
      </c>
      <c r="AJ156" s="1433"/>
      <c r="AK156" s="240"/>
      <c r="AL156" s="1442"/>
      <c r="AM156" s="1410"/>
      <c r="AN156" s="207"/>
      <c r="AO156" s="1442"/>
      <c r="AP156" s="1410"/>
      <c r="AQ156" s="207"/>
      <c r="AR156" s="1442"/>
      <c r="AS156" s="1410"/>
      <c r="AT156" s="207"/>
      <c r="AU156" s="1442"/>
      <c r="AV156" s="1410"/>
      <c r="AW156" s="205"/>
      <c r="AX156" s="1416"/>
      <c r="AY156" s="239"/>
      <c r="AZ156" s="1442"/>
      <c r="BA156" s="1410"/>
      <c r="BB156" s="207"/>
      <c r="BC156" s="1442"/>
      <c r="BD156" s="1410"/>
      <c r="BE156" s="207"/>
      <c r="BF156" s="1442"/>
      <c r="BG156" s="1410"/>
      <c r="BH156" s="207"/>
      <c r="BI156" s="1442"/>
      <c r="BJ156" s="1410"/>
      <c r="BK156" s="205"/>
      <c r="BL156" s="1416"/>
      <c r="BN156" s="1442"/>
      <c r="BO156" s="1410"/>
      <c r="BP156" s="207"/>
      <c r="BQ156" s="1442"/>
      <c r="BR156" s="1410"/>
      <c r="BS156" s="207"/>
      <c r="BT156" s="1442"/>
      <c r="BU156" s="1410"/>
      <c r="BV156" s="207"/>
      <c r="BW156" s="1442"/>
      <c r="BX156" s="1410"/>
      <c r="BY156" s="205"/>
      <c r="BZ156" s="1416"/>
      <c r="CB156" s="1442"/>
      <c r="CC156" s="1410"/>
      <c r="CD156" s="207"/>
      <c r="CE156" s="1442"/>
      <c r="CF156" s="1410"/>
      <c r="CG156" s="207"/>
      <c r="CH156" s="1442"/>
      <c r="CI156" s="1410"/>
      <c r="CJ156" s="207"/>
      <c r="CK156" s="1442"/>
      <c r="CL156" s="1410"/>
      <c r="CM156" s="205"/>
      <c r="CN156" s="1416"/>
    </row>
    <row r="157" spans="2:94" ht="105" customHeight="1" x14ac:dyDescent="0.25">
      <c r="B157" s="1372"/>
      <c r="C157" s="343" t="s">
        <v>403</v>
      </c>
      <c r="D157" s="314" t="s">
        <v>1174</v>
      </c>
      <c r="E157" s="315" t="s">
        <v>12</v>
      </c>
      <c r="F157" s="308" t="s">
        <v>330</v>
      </c>
      <c r="G157" s="315" t="str">
        <f>+'Plan de Accion Proyectos estrat'!K35</f>
        <v>Informe de análisis sobre procesos o tecnologías reconocidas por la ADRES</v>
      </c>
      <c r="H157" s="227" t="str">
        <f>+'Plan de Accion Proyectos estrat'!X35</f>
        <v>#  Informes de análisis sobre procesos o tecnologías reconocidas por la ADRES</v>
      </c>
      <c r="I157" s="241"/>
      <c r="J157" s="221">
        <f>+'Plan de Accion Proyectos estrat'!AG35</f>
        <v>2</v>
      </c>
      <c r="K157" s="483">
        <f>+'Plan de Accion Proyectos estrat'!BR35</f>
        <v>1</v>
      </c>
      <c r="L157" s="483">
        <f t="shared" si="105"/>
        <v>1</v>
      </c>
      <c r="M157" s="483">
        <f>+'Plan de Accion Proyectos estrat'!AK35</f>
        <v>0.25</v>
      </c>
      <c r="N157" s="483">
        <f t="shared" si="103"/>
        <v>0.25</v>
      </c>
      <c r="O157" s="485">
        <f t="shared" si="104"/>
        <v>0.25</v>
      </c>
      <c r="P157" s="216"/>
      <c r="Q157" s="221">
        <f>+'Plan de Accion Proyectos estrat'!AQ35</f>
        <v>2</v>
      </c>
      <c r="R157" s="311">
        <f>+'Plan de Accion Proyectos estrat'!AS35</f>
        <v>1</v>
      </c>
      <c r="S157" s="215">
        <f t="shared" si="106"/>
        <v>1</v>
      </c>
      <c r="T157" s="311">
        <f>+'Plan de Accion Proyectos estrat'!AU35</f>
        <v>0.5</v>
      </c>
      <c r="U157" s="311">
        <f t="shared" si="107"/>
        <v>0.5</v>
      </c>
      <c r="V157" s="214">
        <f t="shared" si="97"/>
        <v>0.5</v>
      </c>
      <c r="W157" s="216"/>
      <c r="X157" s="221">
        <f>+'Plan de Accion Proyectos estrat'!BA35</f>
        <v>2</v>
      </c>
      <c r="Y157" s="311">
        <f>+'Plan de Accion Proyectos estrat'!BC35</f>
        <v>1</v>
      </c>
      <c r="Z157" s="215">
        <f t="shared" si="98"/>
        <v>1</v>
      </c>
      <c r="AA157" s="220">
        <f>+'Plan de Accion Proyectos estrat'!BE35</f>
        <v>0.75</v>
      </c>
      <c r="AB157" s="220">
        <f t="shared" si="99"/>
        <v>0.75</v>
      </c>
      <c r="AC157" s="219">
        <f t="shared" si="100"/>
        <v>0.75</v>
      </c>
      <c r="AD157" s="216"/>
      <c r="AE157" s="222">
        <f>+'Plan de Accion Proyectos estrat'!BK35</f>
        <v>0</v>
      </c>
      <c r="AF157" s="311">
        <f>+'Plan de Accion Proyectos estrat'!BM35</f>
        <v>0</v>
      </c>
      <c r="AG157" s="215">
        <f t="shared" si="101"/>
        <v>0</v>
      </c>
      <c r="AH157" s="311">
        <f>+'Plan de Accion Proyectos estrat'!BO35</f>
        <v>0.75</v>
      </c>
      <c r="AI157" s="214">
        <f t="shared" si="102"/>
        <v>0.75</v>
      </c>
      <c r="AJ157" s="1433"/>
      <c r="AK157" s="240"/>
      <c r="AL157" s="1442"/>
      <c r="AM157" s="1410"/>
      <c r="AN157" s="207"/>
      <c r="AO157" s="1442"/>
      <c r="AP157" s="1410"/>
      <c r="AQ157" s="207"/>
      <c r="AR157" s="1442"/>
      <c r="AS157" s="1410"/>
      <c r="AT157" s="207"/>
      <c r="AU157" s="1442"/>
      <c r="AV157" s="1410"/>
      <c r="AW157" s="205"/>
      <c r="AX157" s="1416"/>
      <c r="AY157" s="239"/>
      <c r="AZ157" s="1442"/>
      <c r="BA157" s="1410"/>
      <c r="BB157" s="207"/>
      <c r="BC157" s="1442"/>
      <c r="BD157" s="1410"/>
      <c r="BE157" s="207"/>
      <c r="BF157" s="1442"/>
      <c r="BG157" s="1410"/>
      <c r="BH157" s="207"/>
      <c r="BI157" s="1442"/>
      <c r="BJ157" s="1410"/>
      <c r="BK157" s="205"/>
      <c r="BL157" s="1416"/>
      <c r="BN157" s="1442"/>
      <c r="BO157" s="1410"/>
      <c r="BP157" s="207"/>
      <c r="BQ157" s="1442"/>
      <c r="BR157" s="1410"/>
      <c r="BS157" s="207"/>
      <c r="BT157" s="1442"/>
      <c r="BU157" s="1410"/>
      <c r="BV157" s="207"/>
      <c r="BW157" s="1442"/>
      <c r="BX157" s="1410"/>
      <c r="BY157" s="205"/>
      <c r="BZ157" s="1416"/>
      <c r="CB157" s="1442"/>
      <c r="CC157" s="1410"/>
      <c r="CD157" s="207"/>
      <c r="CE157" s="1442"/>
      <c r="CF157" s="1410"/>
      <c r="CG157" s="207"/>
      <c r="CH157" s="1442"/>
      <c r="CI157" s="1410"/>
      <c r="CJ157" s="207"/>
      <c r="CK157" s="1442"/>
      <c r="CL157" s="1410"/>
      <c r="CM157" s="205"/>
      <c r="CN157" s="1416"/>
    </row>
    <row r="158" spans="2:94" ht="94.5" customHeight="1" x14ac:dyDescent="0.2">
      <c r="B158" s="1372"/>
      <c r="C158" s="1313" t="s">
        <v>60</v>
      </c>
      <c r="D158" s="1351" t="s">
        <v>204</v>
      </c>
      <c r="E158" s="1319" t="s">
        <v>125</v>
      </c>
      <c r="F158" s="1316" t="s">
        <v>330</v>
      </c>
      <c r="G158" s="322" t="str">
        <f>+'Plan de Accion Misional'!K9</f>
        <v>Cobro efectivo de las acreencias por todo concepto a favor de la Administradora de los Recursos del Sistema General de Seguridad Social en Salud – ADRES.</v>
      </c>
      <c r="H158" s="218" t="str">
        <f>+'Plan de Accion Misional'!X9</f>
        <v xml:space="preserve"># Resoluciones que ordenan el cobro </v>
      </c>
      <c r="J158" s="221">
        <f>+'Plan de Accion Misional'!AG9</f>
        <v>2287</v>
      </c>
      <c r="K158" s="483">
        <f>+'Plan de Accion Misional'!BR9</f>
        <v>2.8587500000000001</v>
      </c>
      <c r="L158" s="483">
        <f t="shared" si="105"/>
        <v>1</v>
      </c>
      <c r="M158" s="483">
        <f>+'Plan de Accion Misional'!AK9</f>
        <v>0.51977272727272728</v>
      </c>
      <c r="N158" s="483">
        <f>IF(M158&gt;100%,100%,M158)</f>
        <v>0.51977272727272728</v>
      </c>
      <c r="O158" s="485">
        <f t="shared" si="104"/>
        <v>0.51977272727272728</v>
      </c>
      <c r="P158" s="216"/>
      <c r="Q158" s="221" t="s">
        <v>204</v>
      </c>
      <c r="R158" s="253" t="s">
        <v>180</v>
      </c>
      <c r="S158" s="215" t="s">
        <v>204</v>
      </c>
      <c r="T158" s="659">
        <f>+'Plan de Accion Misional'!AU9</f>
        <v>0.51977272727272728</v>
      </c>
      <c r="U158" s="659">
        <f>IF(T158&gt;100%,100%,T158)</f>
        <v>0.51977272727272728</v>
      </c>
      <c r="V158" s="214">
        <f>+U158</f>
        <v>0.51977272727272728</v>
      </c>
      <c r="W158" s="216"/>
      <c r="X158" s="221" t="s">
        <v>204</v>
      </c>
      <c r="Y158" s="253" t="s">
        <v>180</v>
      </c>
      <c r="Z158" s="215" t="s">
        <v>204</v>
      </c>
      <c r="AA158" s="220">
        <f>+'Plan de Accion Misional'!BE9</f>
        <v>0.51977272727272728</v>
      </c>
      <c r="AB158" s="220">
        <f>IF(AA158&gt;100%,100%,AA158)</f>
        <v>0.51977272727272728</v>
      </c>
      <c r="AC158" s="219">
        <f>+AB158</f>
        <v>0.51977272727272728</v>
      </c>
      <c r="AD158" s="216"/>
      <c r="AE158" s="222" t="s">
        <v>204</v>
      </c>
      <c r="AF158" s="253" t="s">
        <v>180</v>
      </c>
      <c r="AG158" s="215" t="s">
        <v>204</v>
      </c>
      <c r="AH158" s="253">
        <f>+'Plan de Accion Misional'!BO9</f>
        <v>0.51977272727272728</v>
      </c>
      <c r="AI158" s="214">
        <f t="shared" si="102"/>
        <v>0.51977272727272728</v>
      </c>
      <c r="AJ158" s="1433"/>
      <c r="AK158" s="240"/>
      <c r="AL158" s="1442"/>
      <c r="AM158" s="1410"/>
      <c r="AN158" s="207"/>
      <c r="AO158" s="1442"/>
      <c r="AP158" s="1410"/>
      <c r="AQ158" s="207"/>
      <c r="AR158" s="1442"/>
      <c r="AS158" s="1410"/>
      <c r="AT158" s="207"/>
      <c r="AU158" s="1442"/>
      <c r="AV158" s="1410"/>
      <c r="AW158" s="205"/>
      <c r="AX158" s="1416"/>
      <c r="AY158" s="239"/>
      <c r="AZ158" s="1442"/>
      <c r="BA158" s="1410"/>
      <c r="BB158" s="207"/>
      <c r="BC158" s="1442"/>
      <c r="BD158" s="1410"/>
      <c r="BE158" s="207"/>
      <c r="BF158" s="1442"/>
      <c r="BG158" s="1410"/>
      <c r="BH158" s="207"/>
      <c r="BI158" s="1442"/>
      <c r="BJ158" s="1410"/>
      <c r="BK158" s="205"/>
      <c r="BL158" s="1416"/>
      <c r="BN158" s="1442"/>
      <c r="BO158" s="1410"/>
      <c r="BP158" s="207"/>
      <c r="BQ158" s="1442"/>
      <c r="BR158" s="1410"/>
      <c r="BS158" s="207"/>
      <c r="BT158" s="1442"/>
      <c r="BU158" s="1410"/>
      <c r="BV158" s="207"/>
      <c r="BW158" s="1442"/>
      <c r="BX158" s="1410"/>
      <c r="BY158" s="205"/>
      <c r="BZ158" s="1416"/>
      <c r="CB158" s="1442"/>
      <c r="CC158" s="1410"/>
      <c r="CD158" s="207"/>
      <c r="CE158" s="1442"/>
      <c r="CF158" s="1410"/>
      <c r="CG158" s="207"/>
      <c r="CH158" s="1442"/>
      <c r="CI158" s="1410"/>
      <c r="CJ158" s="207"/>
      <c r="CK158" s="1442"/>
      <c r="CL158" s="1410"/>
      <c r="CM158" s="205"/>
      <c r="CN158" s="1416"/>
    </row>
    <row r="159" spans="2:94" ht="94.5" customHeight="1" x14ac:dyDescent="0.2">
      <c r="B159" s="1372"/>
      <c r="C159" s="1314"/>
      <c r="D159" s="1352"/>
      <c r="E159" s="1320"/>
      <c r="F159" s="1317"/>
      <c r="G159" s="558" t="str">
        <f>+'Plan de Accion Misional'!K21</f>
        <v>Reclamaciones de cobro coactivo gestionadas</v>
      </c>
      <c r="H159" s="218" t="str">
        <f>+'Plan de Accion Misional'!X21</f>
        <v># Reclamaciones de cobro coactivo gestionadas</v>
      </c>
      <c r="J159" s="221">
        <f>+'Plan de Accion Misional'!AG21</f>
        <v>0</v>
      </c>
      <c r="K159" s="552" t="str">
        <f>+'Plan de Accion Misional'!BR21</f>
        <v>No Prog ni Ejec</v>
      </c>
      <c r="L159" s="552" t="s">
        <v>204</v>
      </c>
      <c r="M159" s="552">
        <f>+'Plan de Accion Misional'!AK21</f>
        <v>0</v>
      </c>
      <c r="N159" s="552">
        <f t="shared" ref="N159" si="111">IF(M159&gt;100%,100%,M159)</f>
        <v>0</v>
      </c>
      <c r="O159" s="554" t="s">
        <v>204</v>
      </c>
      <c r="P159" s="216"/>
      <c r="Q159" s="221">
        <f>+'Plan de Accion Misional'!AQ21</f>
        <v>0</v>
      </c>
      <c r="R159" s="253" t="str">
        <f>+'Plan de Accion Misional'!BT21</f>
        <v>No Prog ni Ejec</v>
      </c>
      <c r="S159" s="215" t="s">
        <v>204</v>
      </c>
      <c r="T159" s="552">
        <f>+'Plan de Accion Misional'!AU21</f>
        <v>0</v>
      </c>
      <c r="U159" s="552">
        <f t="shared" ref="U159" si="112">IF(T159&gt;100%,100%,T159)</f>
        <v>0</v>
      </c>
      <c r="V159" s="214" t="s">
        <v>204</v>
      </c>
      <c r="W159" s="216"/>
      <c r="X159" s="221">
        <f>+'Plan de Accion Misional'!BA21</f>
        <v>0</v>
      </c>
      <c r="Y159" s="253" t="str">
        <f>+'Plan de Accion Misional'!BV21</f>
        <v>No Prog ni Ejec</v>
      </c>
      <c r="Z159" s="215" t="s">
        <v>204</v>
      </c>
      <c r="AA159" s="220">
        <f>+'Plan de Accion Misional'!BE21</f>
        <v>0</v>
      </c>
      <c r="AB159" s="220">
        <f t="shared" ref="AB159" si="113">IF(AA159&gt;100%,100%,AA159)</f>
        <v>0</v>
      </c>
      <c r="AC159" s="219" t="s">
        <v>204</v>
      </c>
      <c r="AD159" s="216"/>
      <c r="AE159" s="222">
        <f>+'Plan de Accion Misional'!BK21</f>
        <v>0</v>
      </c>
      <c r="AF159" s="253">
        <f>+'Plan de Accion Misional'!BX21</f>
        <v>0</v>
      </c>
      <c r="AG159" s="215">
        <f>IF(AF159&gt;100%,100%,AF159)</f>
        <v>0</v>
      </c>
      <c r="AH159" s="253">
        <f>+'Plan de Accion Misional'!BO21</f>
        <v>0</v>
      </c>
      <c r="AI159" s="214">
        <f t="shared" ref="AI159:AI160" si="114">IF(AH159&gt;100%,100%,AH159)</f>
        <v>0</v>
      </c>
      <c r="AJ159" s="1433"/>
      <c r="AK159" s="240"/>
      <c r="AL159" s="1442"/>
      <c r="AM159" s="1410"/>
      <c r="AN159" s="207"/>
      <c r="AO159" s="1442"/>
      <c r="AP159" s="1410"/>
      <c r="AQ159" s="207"/>
      <c r="AR159" s="1442"/>
      <c r="AS159" s="1410"/>
      <c r="AT159" s="207"/>
      <c r="AU159" s="1442"/>
      <c r="AV159" s="1410"/>
      <c r="AW159" s="205"/>
      <c r="AX159" s="1416"/>
      <c r="AY159" s="239"/>
      <c r="AZ159" s="1442"/>
      <c r="BA159" s="1410"/>
      <c r="BB159" s="207"/>
      <c r="BC159" s="1442"/>
      <c r="BD159" s="1410"/>
      <c r="BE159" s="207"/>
      <c r="BF159" s="1442"/>
      <c r="BG159" s="1410"/>
      <c r="BH159" s="207"/>
      <c r="BI159" s="1442"/>
      <c r="BJ159" s="1410"/>
      <c r="BK159" s="205"/>
      <c r="BL159" s="1416"/>
      <c r="BN159" s="1442"/>
      <c r="BO159" s="1410"/>
      <c r="BP159" s="207"/>
      <c r="BQ159" s="1442"/>
      <c r="BR159" s="1410"/>
      <c r="BS159" s="207"/>
      <c r="BT159" s="1442"/>
      <c r="BU159" s="1410"/>
      <c r="BV159" s="207"/>
      <c r="BW159" s="1442"/>
      <c r="BX159" s="1410"/>
      <c r="BY159" s="205"/>
      <c r="BZ159" s="1416"/>
      <c r="CB159" s="1442"/>
      <c r="CC159" s="1410"/>
      <c r="CD159" s="207"/>
      <c r="CE159" s="1442"/>
      <c r="CF159" s="1410"/>
      <c r="CG159" s="207"/>
      <c r="CH159" s="1442"/>
      <c r="CI159" s="1410"/>
      <c r="CJ159" s="207"/>
      <c r="CK159" s="1442"/>
      <c r="CL159" s="1410"/>
      <c r="CM159" s="205"/>
      <c r="CN159" s="1416"/>
    </row>
    <row r="160" spans="2:94" ht="33" customHeight="1" x14ac:dyDescent="0.2">
      <c r="B160" s="1372"/>
      <c r="C160" s="1314"/>
      <c r="D160" s="1352"/>
      <c r="E160" s="1320"/>
      <c r="F160" s="1317"/>
      <c r="G160" s="322" t="str">
        <f>+'Plan de Accion Misional'!K10</f>
        <v>Comunicaciones enviadas</v>
      </c>
      <c r="H160" s="218" t="str">
        <f>+'Plan de Accion Misional'!X10</f>
        <v># Comunicaciones enviadas</v>
      </c>
      <c r="J160" s="221">
        <f>+'Plan de Accion Misional'!AG10</f>
        <v>0</v>
      </c>
      <c r="K160" s="483">
        <f>+'Plan de Accion Misional'!BR10</f>
        <v>0</v>
      </c>
      <c r="L160" s="483">
        <f t="shared" si="105"/>
        <v>0</v>
      </c>
      <c r="M160" s="483">
        <f>+'Plan de Accion Misional'!AK10</f>
        <v>0</v>
      </c>
      <c r="N160" s="483">
        <f t="shared" si="103"/>
        <v>0</v>
      </c>
      <c r="O160" s="485">
        <f t="shared" si="104"/>
        <v>0</v>
      </c>
      <c r="P160" s="216"/>
      <c r="Q160" s="221" t="s">
        <v>204</v>
      </c>
      <c r="R160" s="253" t="s">
        <v>180</v>
      </c>
      <c r="S160" s="215" t="s">
        <v>204</v>
      </c>
      <c r="T160" s="682">
        <f>+'Plan de Accion Misional'!AU10</f>
        <v>0</v>
      </c>
      <c r="U160" s="682">
        <f>IF(T160&gt;100%,100%,T160)</f>
        <v>0</v>
      </c>
      <c r="V160" s="214">
        <f>+U160</f>
        <v>0</v>
      </c>
      <c r="W160" s="216"/>
      <c r="X160" s="221" t="s">
        <v>204</v>
      </c>
      <c r="Y160" s="253" t="s">
        <v>180</v>
      </c>
      <c r="Z160" s="215" t="s">
        <v>204</v>
      </c>
      <c r="AA160" s="220">
        <f>+'Plan de Accion Misional'!BE10</f>
        <v>0</v>
      </c>
      <c r="AB160" s="220">
        <f>IF(AA160&gt;100%,100%,AA160)</f>
        <v>0</v>
      </c>
      <c r="AC160" s="219">
        <f>+AB160</f>
        <v>0</v>
      </c>
      <c r="AD160" s="216"/>
      <c r="AE160" s="222" t="s">
        <v>204</v>
      </c>
      <c r="AF160" s="253" t="s">
        <v>180</v>
      </c>
      <c r="AG160" s="215" t="s">
        <v>204</v>
      </c>
      <c r="AH160" s="253">
        <f>+'Plan de Accion Misional'!BO10</f>
        <v>0</v>
      </c>
      <c r="AI160" s="214">
        <f t="shared" si="114"/>
        <v>0</v>
      </c>
      <c r="AJ160" s="1433"/>
      <c r="AK160" s="240"/>
      <c r="AL160" s="1442"/>
      <c r="AM160" s="1410"/>
      <c r="AN160" s="207"/>
      <c r="AO160" s="1442"/>
      <c r="AP160" s="1410"/>
      <c r="AQ160" s="207"/>
      <c r="AR160" s="1442"/>
      <c r="AS160" s="1410"/>
      <c r="AT160" s="207"/>
      <c r="AU160" s="1442"/>
      <c r="AV160" s="1410"/>
      <c r="AW160" s="205"/>
      <c r="AX160" s="1416"/>
      <c r="AY160" s="239"/>
      <c r="AZ160" s="1442"/>
      <c r="BA160" s="1410"/>
      <c r="BB160" s="207"/>
      <c r="BC160" s="1442"/>
      <c r="BD160" s="1410"/>
      <c r="BE160" s="207"/>
      <c r="BF160" s="1442"/>
      <c r="BG160" s="1410"/>
      <c r="BH160" s="207"/>
      <c r="BI160" s="1442"/>
      <c r="BJ160" s="1410"/>
      <c r="BK160" s="205"/>
      <c r="BL160" s="1416"/>
      <c r="BN160" s="1442"/>
      <c r="BO160" s="1410"/>
      <c r="BP160" s="207"/>
      <c r="BQ160" s="1442"/>
      <c r="BR160" s="1410"/>
      <c r="BS160" s="207"/>
      <c r="BT160" s="1442"/>
      <c r="BU160" s="1410"/>
      <c r="BV160" s="207"/>
      <c r="BW160" s="1442"/>
      <c r="BX160" s="1410"/>
      <c r="BY160" s="205"/>
      <c r="BZ160" s="1416"/>
      <c r="CB160" s="1442"/>
      <c r="CC160" s="1410"/>
      <c r="CD160" s="207"/>
      <c r="CE160" s="1442"/>
      <c r="CF160" s="1410"/>
      <c r="CG160" s="207"/>
      <c r="CH160" s="1442"/>
      <c r="CI160" s="1410"/>
      <c r="CJ160" s="207"/>
      <c r="CK160" s="1442"/>
      <c r="CL160" s="1410"/>
      <c r="CM160" s="205"/>
      <c r="CN160" s="1416"/>
    </row>
    <row r="161" spans="2:92" ht="105" customHeight="1" x14ac:dyDescent="0.2">
      <c r="B161" s="1372"/>
      <c r="C161" s="1329"/>
      <c r="D161" s="1353"/>
      <c r="E161" s="1321"/>
      <c r="F161" s="1318"/>
      <c r="G161" s="322" t="str">
        <f>+'Plan de Accion Misional'!K14</f>
        <v>Pago de la cartera vendida a CISA S.A de resoluciones ejecutoriadas con mas de 180 días</v>
      </c>
      <c r="H161" s="218" t="str">
        <f>+'Plan de Accion Misional'!X14</f>
        <v xml:space="preserve"># Reclamaciones perfiladas como de difícil recaudo / # Reclamaciones enviadas para estudio de compra a CISA  </v>
      </c>
      <c r="J161" s="217">
        <f>+'Plan de Accion Misional'!AG14</f>
        <v>0</v>
      </c>
      <c r="K161" s="483" t="str">
        <f>+'Plan de Accion Misional'!BR14</f>
        <v>No Prog ni Ejec</v>
      </c>
      <c r="L161" s="483" t="s">
        <v>204</v>
      </c>
      <c r="M161" s="483">
        <f>+'Plan de Accion Misional'!AK14</f>
        <v>0</v>
      </c>
      <c r="N161" s="483">
        <f t="shared" si="103"/>
        <v>0</v>
      </c>
      <c r="O161" s="485" t="s">
        <v>204</v>
      </c>
      <c r="P161" s="216"/>
      <c r="Q161" s="217">
        <f>+'Plan de Accion Misional'!AQ14</f>
        <v>0</v>
      </c>
      <c r="R161" s="253" t="str">
        <f>+'Plan de Accion Misional'!BT14</f>
        <v>No Prog ni Ejec</v>
      </c>
      <c r="S161" s="215" t="s">
        <v>204</v>
      </c>
      <c r="T161" s="311">
        <f>+'Plan de Accion Misional'!AU14</f>
        <v>0</v>
      </c>
      <c r="U161" s="311">
        <f t="shared" ref="U161:U171" si="115">IF(T161&gt;100%,100%,T161)</f>
        <v>0</v>
      </c>
      <c r="V161" s="214" t="s">
        <v>204</v>
      </c>
      <c r="W161" s="216"/>
      <c r="X161" s="217">
        <f>+'Plan de Accion Misional'!BA14</f>
        <v>0</v>
      </c>
      <c r="Y161" s="253" t="str">
        <f>+'Plan de Accion Misional'!BV14</f>
        <v>No Prog ni Ejec</v>
      </c>
      <c r="Z161" s="215" t="s">
        <v>204</v>
      </c>
      <c r="AA161" s="220">
        <f>+'Plan de Accion Misional'!BE14</f>
        <v>0</v>
      </c>
      <c r="AB161" s="220">
        <f t="shared" ref="AB161:AB171" si="116">IF(AA161&gt;100%,100%,AA161)</f>
        <v>0</v>
      </c>
      <c r="AC161" s="219" t="s">
        <v>204</v>
      </c>
      <c r="AD161" s="216"/>
      <c r="AE161" s="217">
        <f>+'Plan de Accion Misional'!BK14</f>
        <v>0</v>
      </c>
      <c r="AF161" s="253">
        <f>+'Plan de Accion Misional'!BX14</f>
        <v>0</v>
      </c>
      <c r="AG161" s="215">
        <f t="shared" ref="AG161:AG164" si="117">IF(AF161&gt;100%,100%,AF161)</f>
        <v>0</v>
      </c>
      <c r="AH161" s="253">
        <f>+'Plan de Accion Misional'!BO14</f>
        <v>0</v>
      </c>
      <c r="AI161" s="214">
        <f t="shared" ref="AI161:AI171" si="118">IF(AH161&gt;100%,100%,AH161)</f>
        <v>0</v>
      </c>
      <c r="AJ161" s="1433"/>
      <c r="AK161" s="240"/>
      <c r="AL161" s="1442"/>
      <c r="AM161" s="1410"/>
      <c r="AN161" s="207"/>
      <c r="AO161" s="1442"/>
      <c r="AP161" s="1410"/>
      <c r="AQ161" s="207"/>
      <c r="AR161" s="1442"/>
      <c r="AS161" s="1410"/>
      <c r="AT161" s="207"/>
      <c r="AU161" s="1442"/>
      <c r="AV161" s="1410"/>
      <c r="AW161" s="205"/>
      <c r="AX161" s="1416"/>
      <c r="AY161" s="239"/>
      <c r="AZ161" s="1442"/>
      <c r="BA161" s="1410"/>
      <c r="BB161" s="207"/>
      <c r="BC161" s="1442"/>
      <c r="BD161" s="1410"/>
      <c r="BE161" s="207"/>
      <c r="BF161" s="1442"/>
      <c r="BG161" s="1410"/>
      <c r="BH161" s="207"/>
      <c r="BI161" s="1442"/>
      <c r="BJ161" s="1410"/>
      <c r="BK161" s="205"/>
      <c r="BL161" s="1416"/>
      <c r="BN161" s="1442"/>
      <c r="BO161" s="1410"/>
      <c r="BP161" s="207"/>
      <c r="BQ161" s="1442"/>
      <c r="BR161" s="1410"/>
      <c r="BS161" s="207"/>
      <c r="BT161" s="1442"/>
      <c r="BU161" s="1410"/>
      <c r="BV161" s="207"/>
      <c r="BW161" s="1442"/>
      <c r="BX161" s="1410"/>
      <c r="BY161" s="205"/>
      <c r="BZ161" s="1416"/>
      <c r="CB161" s="1442"/>
      <c r="CC161" s="1410"/>
      <c r="CD161" s="207"/>
      <c r="CE161" s="1442"/>
      <c r="CF161" s="1410"/>
      <c r="CG161" s="207"/>
      <c r="CH161" s="1442"/>
      <c r="CI161" s="1410"/>
      <c r="CJ161" s="207"/>
      <c r="CK161" s="1442"/>
      <c r="CL161" s="1410"/>
      <c r="CM161" s="205"/>
      <c r="CN161" s="1416"/>
    </row>
    <row r="162" spans="2:92" ht="50.1" customHeight="1" x14ac:dyDescent="0.2">
      <c r="B162" s="1372"/>
      <c r="C162" s="1348" t="s">
        <v>59</v>
      </c>
      <c r="D162" s="1351" t="s">
        <v>204</v>
      </c>
      <c r="E162" s="1316" t="s">
        <v>1177</v>
      </c>
      <c r="F162" s="1316" t="s">
        <v>330</v>
      </c>
      <c r="G162" s="329" t="str">
        <f>+'Plan de Accion Misional'!K16</f>
        <v>Publicación  Ejecución Presupuestal</v>
      </c>
      <c r="H162" s="218" t="str">
        <f>+'Plan de Accion Misional'!X16</f>
        <v># Ejecuciones Presupuestales Publicadas</v>
      </c>
      <c r="J162" s="222">
        <f>+'Plan de Accion Misional'!AG16</f>
        <v>3</v>
      </c>
      <c r="K162" s="483">
        <f>+'Plan de Accion Misional'!BR16</f>
        <v>1</v>
      </c>
      <c r="L162" s="483">
        <f>IF(K162&gt;100%,100%,K162)</f>
        <v>1</v>
      </c>
      <c r="M162" s="483">
        <f>+'Plan de Accion Misional'!AK16</f>
        <v>0.25</v>
      </c>
      <c r="N162" s="483">
        <f>IF(M162&gt;100%,100%,M162)</f>
        <v>0.25</v>
      </c>
      <c r="O162" s="485">
        <f>+N162</f>
        <v>0.25</v>
      </c>
      <c r="P162" s="216"/>
      <c r="Q162" s="217">
        <f>+'Plan de Accion Misional'!AQ16</f>
        <v>3</v>
      </c>
      <c r="R162" s="253">
        <f>+'Plan de Accion Misional'!BT16</f>
        <v>1</v>
      </c>
      <c r="S162" s="215">
        <f>IF(R162&gt;100%,100%,R162)</f>
        <v>1</v>
      </c>
      <c r="T162" s="332">
        <f>+'Plan de Accion Misional'!AU16</f>
        <v>0.5</v>
      </c>
      <c r="U162" s="332">
        <f>IF(T162&gt;100%,100%,T162)</f>
        <v>0.5</v>
      </c>
      <c r="V162" s="214">
        <f>+U162</f>
        <v>0.5</v>
      </c>
      <c r="W162" s="216"/>
      <c r="X162" s="217">
        <f>+'Plan de Accion Misional'!BA16</f>
        <v>3</v>
      </c>
      <c r="Y162" s="253">
        <f>+'Plan de Accion Misional'!BV16</f>
        <v>1</v>
      </c>
      <c r="Z162" s="215">
        <f>IF(Y162&gt;100%,100%,Y162)</f>
        <v>1</v>
      </c>
      <c r="AA162" s="220">
        <f>+'Plan de Accion Misional'!BE16</f>
        <v>0.75</v>
      </c>
      <c r="AB162" s="220">
        <f>IF(AA162&gt;100%,100%,AA162)</f>
        <v>0.75</v>
      </c>
      <c r="AC162" s="219">
        <f>+AB162</f>
        <v>0.75</v>
      </c>
      <c r="AD162" s="216"/>
      <c r="AE162" s="217">
        <f>+'Plan de Accion Misional'!BK16</f>
        <v>0</v>
      </c>
      <c r="AF162" s="253">
        <f>+'Plan de Accion Misional'!BX16</f>
        <v>0</v>
      </c>
      <c r="AG162" s="215">
        <f t="shared" si="117"/>
        <v>0</v>
      </c>
      <c r="AH162" s="253">
        <f>+'Plan de Accion Misional'!BO16</f>
        <v>0.75</v>
      </c>
      <c r="AI162" s="214">
        <f>IF(AH162&gt;100%,100%,AH162)</f>
        <v>0.75</v>
      </c>
      <c r="AJ162" s="1433"/>
      <c r="AK162" s="240"/>
      <c r="AL162" s="1442"/>
      <c r="AM162" s="1410"/>
      <c r="AN162" s="207"/>
      <c r="AO162" s="1442"/>
      <c r="AP162" s="1410"/>
      <c r="AQ162" s="207"/>
      <c r="AR162" s="1442"/>
      <c r="AS162" s="1410"/>
      <c r="AT162" s="207"/>
      <c r="AU162" s="1442"/>
      <c r="AV162" s="1410"/>
      <c r="AW162" s="205"/>
      <c r="AX162" s="1416"/>
      <c r="AY162" s="239"/>
      <c r="AZ162" s="1442"/>
      <c r="BA162" s="1410"/>
      <c r="BB162" s="207"/>
      <c r="BC162" s="1442"/>
      <c r="BD162" s="1410"/>
      <c r="BE162" s="207"/>
      <c r="BF162" s="1442"/>
      <c r="BG162" s="1410"/>
      <c r="BH162" s="207"/>
      <c r="BI162" s="1442"/>
      <c r="BJ162" s="1410"/>
      <c r="BK162" s="205"/>
      <c r="BL162" s="1416"/>
      <c r="BN162" s="1442"/>
      <c r="BO162" s="1410"/>
      <c r="BP162" s="207"/>
      <c r="BQ162" s="1442"/>
      <c r="BR162" s="1410"/>
      <c r="BS162" s="207"/>
      <c r="BT162" s="1442"/>
      <c r="BU162" s="1410"/>
      <c r="BV162" s="207"/>
      <c r="BW162" s="1442"/>
      <c r="BX162" s="1410"/>
      <c r="BY162" s="205"/>
      <c r="BZ162" s="1416"/>
      <c r="CB162" s="1442"/>
      <c r="CC162" s="1410"/>
      <c r="CD162" s="207"/>
      <c r="CE162" s="1442"/>
      <c r="CF162" s="1410"/>
      <c r="CG162" s="207"/>
      <c r="CH162" s="1442"/>
      <c r="CI162" s="1410"/>
      <c r="CJ162" s="207"/>
      <c r="CK162" s="1442"/>
      <c r="CL162" s="1410"/>
      <c r="CM162" s="205"/>
      <c r="CN162" s="1416"/>
    </row>
    <row r="163" spans="2:92" ht="50.1" customHeight="1" x14ac:dyDescent="0.2">
      <c r="B163" s="1372"/>
      <c r="C163" s="1349"/>
      <c r="D163" s="1352"/>
      <c r="E163" s="1317"/>
      <c r="F163" s="1317"/>
      <c r="G163" s="329" t="str">
        <f>+'Plan de Accion Misional'!K18</f>
        <v>Ordenes de Giros tramitadas</v>
      </c>
      <c r="H163" s="218" t="str">
        <f>+'Plan de Accion Misional'!X18</f>
        <v># Ordenes Giradas / # Ordenes solicitadas</v>
      </c>
      <c r="J163" s="217">
        <f>+'Plan de Accion Misional'!AG18</f>
        <v>0.25</v>
      </c>
      <c r="K163" s="483">
        <f>+'Plan de Accion Misional'!BR18</f>
        <v>1</v>
      </c>
      <c r="L163" s="483">
        <f>IF(K163&gt;100%,100%,K163)</f>
        <v>1</v>
      </c>
      <c r="M163" s="483">
        <f>+'Plan de Accion Misional'!AK18</f>
        <v>0.25</v>
      </c>
      <c r="N163" s="483">
        <f>IF(M163&gt;100%,100%,M163)</f>
        <v>0.25</v>
      </c>
      <c r="O163" s="485">
        <f>+N163</f>
        <v>0.25</v>
      </c>
      <c r="P163" s="216"/>
      <c r="Q163" s="217">
        <f>+'Plan de Accion Misional'!AQ18</f>
        <v>0.25</v>
      </c>
      <c r="R163" s="253">
        <f>+'Plan de Accion Misional'!BT18</f>
        <v>1</v>
      </c>
      <c r="S163" s="215">
        <f>IF(R163&gt;100%,100%,R163)</f>
        <v>1</v>
      </c>
      <c r="T163" s="332">
        <f>+'Plan de Accion Misional'!AU18</f>
        <v>0.5</v>
      </c>
      <c r="U163" s="332">
        <f>IF(T163&gt;100%,100%,T163)</f>
        <v>0.5</v>
      </c>
      <c r="V163" s="214">
        <f>+U163</f>
        <v>0.5</v>
      </c>
      <c r="W163" s="216"/>
      <c r="X163" s="217">
        <f>+'Plan de Accion Misional'!BA18</f>
        <v>0.25</v>
      </c>
      <c r="Y163" s="253">
        <f>+'Plan de Accion Misional'!BV18</f>
        <v>1</v>
      </c>
      <c r="Z163" s="215">
        <f>IF(Y163&gt;100%,100%,Y163)</f>
        <v>1</v>
      </c>
      <c r="AA163" s="220">
        <f>+'Plan de Accion Misional'!BE18</f>
        <v>0.75</v>
      </c>
      <c r="AB163" s="220">
        <f>IF(AA163&gt;100%,100%,AA163)</f>
        <v>0.75</v>
      </c>
      <c r="AC163" s="219">
        <f>+AB163</f>
        <v>0.75</v>
      </c>
      <c r="AD163" s="216"/>
      <c r="AE163" s="217">
        <f>+'Plan de Accion Misional'!BK18</f>
        <v>0</v>
      </c>
      <c r="AF163" s="253">
        <f>+'Plan de Accion Misional'!BX18</f>
        <v>0</v>
      </c>
      <c r="AG163" s="215">
        <f t="shared" si="117"/>
        <v>0</v>
      </c>
      <c r="AH163" s="253">
        <f>+'Plan de Accion Misional'!BO18</f>
        <v>0.75</v>
      </c>
      <c r="AI163" s="214">
        <f>IF(AH163&gt;100%,100%,AH163)</f>
        <v>0.75</v>
      </c>
      <c r="AJ163" s="1433"/>
      <c r="AK163" s="240"/>
      <c r="AL163" s="1442"/>
      <c r="AM163" s="1410"/>
      <c r="AN163" s="207"/>
      <c r="AO163" s="1442"/>
      <c r="AP163" s="1410"/>
      <c r="AQ163" s="207"/>
      <c r="AR163" s="1442"/>
      <c r="AS163" s="1410"/>
      <c r="AT163" s="207"/>
      <c r="AU163" s="1442"/>
      <c r="AV163" s="1410"/>
      <c r="AW163" s="205"/>
      <c r="AX163" s="1416"/>
      <c r="AY163" s="239"/>
      <c r="AZ163" s="1442"/>
      <c r="BA163" s="1410"/>
      <c r="BB163" s="207"/>
      <c r="BC163" s="1442"/>
      <c r="BD163" s="1410"/>
      <c r="BE163" s="207"/>
      <c r="BF163" s="1442"/>
      <c r="BG163" s="1410"/>
      <c r="BH163" s="207"/>
      <c r="BI163" s="1442"/>
      <c r="BJ163" s="1410"/>
      <c r="BK163" s="205"/>
      <c r="BL163" s="1416"/>
      <c r="BN163" s="1442"/>
      <c r="BO163" s="1410"/>
      <c r="BP163" s="207"/>
      <c r="BQ163" s="1442"/>
      <c r="BR163" s="1410"/>
      <c r="BS163" s="207"/>
      <c r="BT163" s="1442"/>
      <c r="BU163" s="1410"/>
      <c r="BV163" s="207"/>
      <c r="BW163" s="1442"/>
      <c r="BX163" s="1410"/>
      <c r="BY163" s="205"/>
      <c r="BZ163" s="1416"/>
      <c r="CB163" s="1442"/>
      <c r="CC163" s="1410"/>
      <c r="CD163" s="207"/>
      <c r="CE163" s="1442"/>
      <c r="CF163" s="1410"/>
      <c r="CG163" s="207"/>
      <c r="CH163" s="1442"/>
      <c r="CI163" s="1410"/>
      <c r="CJ163" s="207"/>
      <c r="CK163" s="1442"/>
      <c r="CL163" s="1410"/>
      <c r="CM163" s="205"/>
      <c r="CN163" s="1416"/>
    </row>
    <row r="164" spans="2:92" ht="75" customHeight="1" x14ac:dyDescent="0.2">
      <c r="B164" s="1372"/>
      <c r="C164" s="1350"/>
      <c r="D164" s="1353"/>
      <c r="E164" s="1318"/>
      <c r="F164" s="1318"/>
      <c r="G164" s="329" t="str">
        <f>+'Plan de Accion Misional'!K20</f>
        <v>Estados Financieros</v>
      </c>
      <c r="H164" s="218" t="str">
        <f>+'Plan de Accion Misional'!X20</f>
        <v># Estados Financieros reportados a entes de control  / # Estados Financieros solicitados por entes de control</v>
      </c>
      <c r="J164" s="217">
        <f>+'Plan de Accion Misional'!AG20</f>
        <v>1</v>
      </c>
      <c r="K164" s="483">
        <f>+'Plan de Accion Misional'!BR20</f>
        <v>1</v>
      </c>
      <c r="L164" s="483">
        <f>IF(K164&gt;100%,100%,K164)</f>
        <v>1</v>
      </c>
      <c r="M164" s="483">
        <f>+'Plan de Accion Misional'!AK20</f>
        <v>0.25</v>
      </c>
      <c r="N164" s="483">
        <f>IF(M164&gt;100%,100%,M164)</f>
        <v>0.25</v>
      </c>
      <c r="O164" s="485">
        <f>+N164</f>
        <v>0.25</v>
      </c>
      <c r="P164" s="216"/>
      <c r="Q164" s="217">
        <f>+'Plan de Accion Misional'!AQ20</f>
        <v>1</v>
      </c>
      <c r="R164" s="253">
        <f>+'Plan de Accion Misional'!BT20</f>
        <v>1</v>
      </c>
      <c r="S164" s="215">
        <f>IF(R164&gt;100%,100%,R164)</f>
        <v>1</v>
      </c>
      <c r="T164" s="332">
        <f>+'Plan de Accion Misional'!AU20</f>
        <v>0.5</v>
      </c>
      <c r="U164" s="332">
        <f>IF(T164&gt;100%,100%,T164)</f>
        <v>0.5</v>
      </c>
      <c r="V164" s="214">
        <f>+U164</f>
        <v>0.5</v>
      </c>
      <c r="W164" s="216"/>
      <c r="X164" s="217">
        <f>+'Plan de Accion Misional'!BA20</f>
        <v>1</v>
      </c>
      <c r="Y164" s="253">
        <f>+'Plan de Accion Misional'!BV20</f>
        <v>1</v>
      </c>
      <c r="Z164" s="215">
        <f>IF(Y164&gt;100%,100%,Y164)</f>
        <v>1</v>
      </c>
      <c r="AA164" s="220">
        <f>+'Plan de Accion Misional'!BE20</f>
        <v>0.75</v>
      </c>
      <c r="AB164" s="220">
        <f>IF(AA164&gt;100%,100%,AA164)</f>
        <v>0.75</v>
      </c>
      <c r="AC164" s="219">
        <f>+AB164</f>
        <v>0.75</v>
      </c>
      <c r="AD164" s="216"/>
      <c r="AE164" s="217">
        <f>+'Plan de Accion Misional'!BK20</f>
        <v>0</v>
      </c>
      <c r="AF164" s="253">
        <f>+'Plan de Accion Misional'!BX20</f>
        <v>0</v>
      </c>
      <c r="AG164" s="215">
        <f t="shared" si="117"/>
        <v>0</v>
      </c>
      <c r="AH164" s="253">
        <f>+'Plan de Accion Misional'!BO20</f>
        <v>0.75</v>
      </c>
      <c r="AI164" s="214">
        <f>IF(AH164&gt;100%,100%,AH164)</f>
        <v>0.75</v>
      </c>
      <c r="AJ164" s="1433"/>
      <c r="AK164" s="240"/>
      <c r="AL164" s="1442"/>
      <c r="AM164" s="1410"/>
      <c r="AN164" s="207"/>
      <c r="AO164" s="1442"/>
      <c r="AP164" s="1410"/>
      <c r="AQ164" s="207"/>
      <c r="AR164" s="1442"/>
      <c r="AS164" s="1410"/>
      <c r="AT164" s="207"/>
      <c r="AU164" s="1442"/>
      <c r="AV164" s="1410"/>
      <c r="AW164" s="205"/>
      <c r="AX164" s="1416"/>
      <c r="AY164" s="239"/>
      <c r="AZ164" s="1442"/>
      <c r="BA164" s="1410"/>
      <c r="BB164" s="207"/>
      <c r="BC164" s="1442"/>
      <c r="BD164" s="1410"/>
      <c r="BE164" s="207"/>
      <c r="BF164" s="1442"/>
      <c r="BG164" s="1410"/>
      <c r="BH164" s="207"/>
      <c r="BI164" s="1442"/>
      <c r="BJ164" s="1410"/>
      <c r="BK164" s="205"/>
      <c r="BL164" s="1416"/>
      <c r="BN164" s="1442"/>
      <c r="BO164" s="1410"/>
      <c r="BP164" s="207"/>
      <c r="BQ164" s="1442"/>
      <c r="BR164" s="1410"/>
      <c r="BS164" s="207"/>
      <c r="BT164" s="1442"/>
      <c r="BU164" s="1410"/>
      <c r="BV164" s="207"/>
      <c r="BW164" s="1442"/>
      <c r="BX164" s="1410"/>
      <c r="BY164" s="205"/>
      <c r="BZ164" s="1416"/>
      <c r="CB164" s="1442"/>
      <c r="CC164" s="1410"/>
      <c r="CD164" s="207"/>
      <c r="CE164" s="1442"/>
      <c r="CF164" s="1410"/>
      <c r="CG164" s="207"/>
      <c r="CH164" s="1442"/>
      <c r="CI164" s="1410"/>
      <c r="CJ164" s="207"/>
      <c r="CK164" s="1442"/>
      <c r="CL164" s="1410"/>
      <c r="CM164" s="205"/>
      <c r="CN164" s="1416"/>
    </row>
    <row r="165" spans="2:92" ht="105" customHeight="1" x14ac:dyDescent="0.2">
      <c r="B165" s="1372"/>
      <c r="C165" s="1348" t="s">
        <v>60</v>
      </c>
      <c r="D165" s="1351" t="s">
        <v>204</v>
      </c>
      <c r="E165" s="1316" t="s">
        <v>125</v>
      </c>
      <c r="F165" s="1316" t="s">
        <v>330</v>
      </c>
      <c r="G165" s="322" t="str">
        <f>+'Plan de Accion apoyo transversa'!X26</f>
        <v>Revisión, análisis y liquidación de sentencias condenatorias</v>
      </c>
      <c r="H165" s="218" t="str">
        <f>+'Plan de Accion apoyo transversa'!AK26</f>
        <v># sentencias condenatorias en firme contra ADRES cuyo sentido de las mismas nos requiere el reconocimiento y pago de intereses moratorios, corrientes bancarios y/o indexaciones efectivamente entregadas para liquidación / # liquidaciones de intereses y/o indexaciones proyectadas</v>
      </c>
      <c r="J165" s="217">
        <f>+'Plan de Accion apoyo transversa'!AT26</f>
        <v>0</v>
      </c>
      <c r="K165" s="483" t="str">
        <f>+'Plan de Accion apoyo transversa'!CE26</f>
        <v>No Prog ni Ejec</v>
      </c>
      <c r="L165" s="483" t="s">
        <v>204</v>
      </c>
      <c r="M165" s="483">
        <f>+'Plan de Accion apoyo transversa'!AX26</f>
        <v>0</v>
      </c>
      <c r="N165" s="483">
        <f t="shared" si="103"/>
        <v>0</v>
      </c>
      <c r="O165" s="485" t="s">
        <v>204</v>
      </c>
      <c r="P165" s="216"/>
      <c r="Q165" s="217">
        <f>+'Plan de Accion apoyo transversa'!BD26</f>
        <v>0.5</v>
      </c>
      <c r="R165" s="253">
        <f>+'Plan de Accion apoyo transversa'!CG26</f>
        <v>1</v>
      </c>
      <c r="S165" s="215">
        <f t="shared" ref="S165:S170" si="119">IF(R165&gt;100%,100%,R165)</f>
        <v>1</v>
      </c>
      <c r="T165" s="311">
        <f>+'Plan de Accion apoyo transversa'!BH26</f>
        <v>0.5</v>
      </c>
      <c r="U165" s="311">
        <f t="shared" si="115"/>
        <v>0.5</v>
      </c>
      <c r="V165" s="214">
        <f t="shared" ref="V165:V170" si="120">+U165</f>
        <v>0.5</v>
      </c>
      <c r="W165" s="216"/>
      <c r="X165" s="217">
        <f>+'Plan de Accion apoyo transversa'!BN26</f>
        <v>0.25</v>
      </c>
      <c r="Y165" s="253">
        <f>+'Plan de Accion apoyo transversa'!CI26</f>
        <v>1</v>
      </c>
      <c r="Z165" s="215">
        <f>+Y165</f>
        <v>1</v>
      </c>
      <c r="AA165" s="220">
        <f>+'Plan de Accion apoyo transversa'!BR26</f>
        <v>0.75</v>
      </c>
      <c r="AB165" s="220">
        <f t="shared" si="116"/>
        <v>0.75</v>
      </c>
      <c r="AC165" s="219">
        <f t="shared" ref="AC165:AC170" si="121">+AB165</f>
        <v>0.75</v>
      </c>
      <c r="AD165" s="216"/>
      <c r="AE165" s="217">
        <f>+'Plan de Accion apoyo transversa'!BX26</f>
        <v>0</v>
      </c>
      <c r="AF165" s="253">
        <f>+'Plan de Accion apoyo transversa'!CK26</f>
        <v>0</v>
      </c>
      <c r="AG165" s="215">
        <f t="shared" ref="AG165:AG171" si="122">IF(AF165&gt;100%,100%,AF165)</f>
        <v>0</v>
      </c>
      <c r="AH165" s="253">
        <f>+'Plan de Accion apoyo transversa'!CB26</f>
        <v>0.75</v>
      </c>
      <c r="AI165" s="214">
        <f t="shared" si="118"/>
        <v>0.75</v>
      </c>
      <c r="AJ165" s="1433"/>
      <c r="AK165" s="240"/>
      <c r="AL165" s="1442"/>
      <c r="AM165" s="1410"/>
      <c r="AN165" s="207"/>
      <c r="AO165" s="1442"/>
      <c r="AP165" s="1410"/>
      <c r="AQ165" s="207"/>
      <c r="AR165" s="1442"/>
      <c r="AS165" s="1410"/>
      <c r="AT165" s="207"/>
      <c r="AU165" s="1442"/>
      <c r="AV165" s="1410"/>
      <c r="AW165" s="205"/>
      <c r="AX165" s="1416"/>
      <c r="AY165" s="239"/>
      <c r="AZ165" s="1442"/>
      <c r="BA165" s="1410"/>
      <c r="BB165" s="207"/>
      <c r="BC165" s="1442"/>
      <c r="BD165" s="1410"/>
      <c r="BE165" s="207"/>
      <c r="BF165" s="1442"/>
      <c r="BG165" s="1410"/>
      <c r="BH165" s="207"/>
      <c r="BI165" s="1442"/>
      <c r="BJ165" s="1410"/>
      <c r="BK165" s="205"/>
      <c r="BL165" s="1416"/>
      <c r="BN165" s="1442"/>
      <c r="BO165" s="1410"/>
      <c r="BP165" s="207"/>
      <c r="BQ165" s="1442"/>
      <c r="BR165" s="1410"/>
      <c r="BS165" s="207"/>
      <c r="BT165" s="1442"/>
      <c r="BU165" s="1410"/>
      <c r="BV165" s="207"/>
      <c r="BW165" s="1442"/>
      <c r="BX165" s="1410"/>
      <c r="BY165" s="205"/>
      <c r="BZ165" s="1416"/>
      <c r="CB165" s="1442"/>
      <c r="CC165" s="1410"/>
      <c r="CD165" s="207"/>
      <c r="CE165" s="1442"/>
      <c r="CF165" s="1410"/>
      <c r="CG165" s="207"/>
      <c r="CH165" s="1442"/>
      <c r="CI165" s="1410"/>
      <c r="CJ165" s="207"/>
      <c r="CK165" s="1442"/>
      <c r="CL165" s="1410"/>
      <c r="CM165" s="205"/>
      <c r="CN165" s="1416"/>
    </row>
    <row r="166" spans="2:92" ht="105" customHeight="1" x14ac:dyDescent="0.2">
      <c r="B166" s="1372"/>
      <c r="C166" s="1349"/>
      <c r="D166" s="1352"/>
      <c r="E166" s="1317"/>
      <c r="F166" s="1317"/>
      <c r="G166" s="322" t="str">
        <f>+'Plan de Accion apoyo transversa'!X31</f>
        <v>Demandas Contestadas Oportunamente</v>
      </c>
      <c r="H166" s="218" t="str">
        <f>+'Plan de Accion apoyo transversa'!AK31</f>
        <v># Demandas Contestadas Oportunamente / # Demandas en término de contestación en el trimestre</v>
      </c>
      <c r="J166" s="217">
        <f>+'Plan de Accion apoyo transversa'!AT31</f>
        <v>0.25</v>
      </c>
      <c r="K166" s="483">
        <f>+'Plan de Accion apoyo transversa'!CE31</f>
        <v>1</v>
      </c>
      <c r="L166" s="483">
        <f>IF(K166&gt;100%,100%,K166)</f>
        <v>1</v>
      </c>
      <c r="M166" s="483">
        <f>+'Plan de Accion apoyo transversa'!AX31</f>
        <v>0.25</v>
      </c>
      <c r="N166" s="483">
        <f t="shared" si="103"/>
        <v>0.25</v>
      </c>
      <c r="O166" s="485">
        <f>+N166</f>
        <v>0.25</v>
      </c>
      <c r="P166" s="216"/>
      <c r="Q166" s="217">
        <f>+'Plan de Accion apoyo transversa'!BD31</f>
        <v>0.2251655629139073</v>
      </c>
      <c r="R166" s="253">
        <f>+'Plan de Accion apoyo transversa'!CG31</f>
        <v>0.90066225165562919</v>
      </c>
      <c r="S166" s="215">
        <f t="shared" si="119"/>
        <v>0.90066225165562919</v>
      </c>
      <c r="T166" s="311">
        <f>+'Plan de Accion apoyo transversa'!BH31</f>
        <v>0.47516556291390732</v>
      </c>
      <c r="U166" s="311">
        <f t="shared" si="115"/>
        <v>0.47516556291390732</v>
      </c>
      <c r="V166" s="214">
        <f t="shared" si="120"/>
        <v>0.47516556291390732</v>
      </c>
      <c r="W166" s="216"/>
      <c r="X166" s="217">
        <f>+'Plan de Accion apoyo transversa'!BN31</f>
        <v>0.25</v>
      </c>
      <c r="Y166" s="253">
        <f>+'Plan de Accion apoyo transversa'!CI31</f>
        <v>1</v>
      </c>
      <c r="Z166" s="215">
        <f>IF(Y166&gt;100%,100%,Y166)</f>
        <v>1</v>
      </c>
      <c r="AA166" s="220">
        <f>+'Plan de Accion apoyo transversa'!BR31</f>
        <v>0.72516556291390732</v>
      </c>
      <c r="AB166" s="220">
        <f t="shared" si="116"/>
        <v>0.72516556291390732</v>
      </c>
      <c r="AC166" s="219">
        <f t="shared" si="121"/>
        <v>0.72516556291390732</v>
      </c>
      <c r="AD166" s="216"/>
      <c r="AE166" s="217">
        <f>+'Plan de Accion apoyo transversa'!BX31</f>
        <v>0</v>
      </c>
      <c r="AF166" s="253">
        <f>+'Plan de Accion apoyo transversa'!CK31</f>
        <v>0</v>
      </c>
      <c r="AG166" s="215">
        <f t="shared" si="122"/>
        <v>0</v>
      </c>
      <c r="AH166" s="253">
        <f>+'Plan de Accion apoyo transversa'!CB31</f>
        <v>0.72516556291390732</v>
      </c>
      <c r="AI166" s="214">
        <f t="shared" si="118"/>
        <v>0.72516556291390732</v>
      </c>
      <c r="AJ166" s="1433"/>
      <c r="AK166" s="240"/>
      <c r="AL166" s="1442"/>
      <c r="AM166" s="1410"/>
      <c r="AN166" s="207"/>
      <c r="AO166" s="1442"/>
      <c r="AP166" s="1410"/>
      <c r="AQ166" s="207"/>
      <c r="AR166" s="1442"/>
      <c r="AS166" s="1410"/>
      <c r="AT166" s="207"/>
      <c r="AU166" s="1442"/>
      <c r="AV166" s="1410"/>
      <c r="AW166" s="205"/>
      <c r="AX166" s="1416"/>
      <c r="AY166" s="239"/>
      <c r="AZ166" s="1442"/>
      <c r="BA166" s="1410"/>
      <c r="BB166" s="207"/>
      <c r="BC166" s="1442"/>
      <c r="BD166" s="1410"/>
      <c r="BE166" s="207"/>
      <c r="BF166" s="1442"/>
      <c r="BG166" s="1410"/>
      <c r="BH166" s="207"/>
      <c r="BI166" s="1442"/>
      <c r="BJ166" s="1410"/>
      <c r="BK166" s="205"/>
      <c r="BL166" s="1416"/>
      <c r="BN166" s="1442"/>
      <c r="BO166" s="1410"/>
      <c r="BP166" s="207"/>
      <c r="BQ166" s="1442"/>
      <c r="BR166" s="1410"/>
      <c r="BS166" s="207"/>
      <c r="BT166" s="1442"/>
      <c r="BU166" s="1410"/>
      <c r="BV166" s="207"/>
      <c r="BW166" s="1442"/>
      <c r="BX166" s="1410"/>
      <c r="BY166" s="205"/>
      <c r="BZ166" s="1416"/>
      <c r="CB166" s="1442"/>
      <c r="CC166" s="1410"/>
      <c r="CD166" s="207"/>
      <c r="CE166" s="1442"/>
      <c r="CF166" s="1410"/>
      <c r="CG166" s="207"/>
      <c r="CH166" s="1442"/>
      <c r="CI166" s="1410"/>
      <c r="CJ166" s="207"/>
      <c r="CK166" s="1442"/>
      <c r="CL166" s="1410"/>
      <c r="CM166" s="205"/>
      <c r="CN166" s="1416"/>
    </row>
    <row r="167" spans="2:92" ht="105" customHeight="1" x14ac:dyDescent="0.2">
      <c r="B167" s="1372"/>
      <c r="C167" s="1349"/>
      <c r="D167" s="1352"/>
      <c r="E167" s="1317"/>
      <c r="F167" s="1317"/>
      <c r="G167" s="322" t="str">
        <f>+'Plan de Accion apoyo transversa'!X32</f>
        <v>Respuestas a solicitudes de pruebas</v>
      </c>
      <c r="H167" s="218" t="str">
        <f>+'Plan de Accion apoyo transversa'!AK32</f>
        <v># Respuestas a solicitudes de pruebas en términos / # peticiones realizadas en término de contestación en el trimestre</v>
      </c>
      <c r="J167" s="217">
        <f>+'Plan de Accion apoyo transversa'!AT32</f>
        <v>0.25</v>
      </c>
      <c r="K167" s="483">
        <f>+'Plan de Accion apoyo transversa'!CE32</f>
        <v>1</v>
      </c>
      <c r="L167" s="483">
        <f>IF(K167&gt;100%,100%,K167)</f>
        <v>1</v>
      </c>
      <c r="M167" s="483">
        <f>+'Plan de Accion apoyo transversa'!AX32</f>
        <v>0.25</v>
      </c>
      <c r="N167" s="483">
        <f t="shared" si="103"/>
        <v>0.25</v>
      </c>
      <c r="O167" s="485">
        <f>+N167</f>
        <v>0.25</v>
      </c>
      <c r="P167" s="216"/>
      <c r="Q167" s="217">
        <f>+'Plan de Accion apoyo transversa'!BD32</f>
        <v>0.22222222222222221</v>
      </c>
      <c r="R167" s="253">
        <f>+'Plan de Accion apoyo transversa'!CG32</f>
        <v>0.88888888888888884</v>
      </c>
      <c r="S167" s="215">
        <f t="shared" si="119"/>
        <v>0.88888888888888884</v>
      </c>
      <c r="T167" s="311">
        <f>+'Plan de Accion apoyo transversa'!BH32</f>
        <v>0.47222222222222221</v>
      </c>
      <c r="U167" s="311">
        <f t="shared" si="115"/>
        <v>0.47222222222222221</v>
      </c>
      <c r="V167" s="214">
        <f t="shared" si="120"/>
        <v>0.47222222222222221</v>
      </c>
      <c r="W167" s="216"/>
      <c r="X167" s="217">
        <f>+'Plan de Accion apoyo transversa'!BN32</f>
        <v>0.24295774647887325</v>
      </c>
      <c r="Y167" s="253">
        <f>+'Plan de Accion apoyo transversa'!CI32</f>
        <v>0.971830985915493</v>
      </c>
      <c r="Z167" s="215">
        <f>IF(Y167&gt;100%,100%,Y167)</f>
        <v>0.971830985915493</v>
      </c>
      <c r="AA167" s="220">
        <f>+'Plan de Accion apoyo transversa'!BR32</f>
        <v>0.71517996870109546</v>
      </c>
      <c r="AB167" s="220">
        <f t="shared" si="116"/>
        <v>0.71517996870109546</v>
      </c>
      <c r="AC167" s="219">
        <f t="shared" si="121"/>
        <v>0.71517996870109546</v>
      </c>
      <c r="AD167" s="216"/>
      <c r="AE167" s="217">
        <f>+'Plan de Accion apoyo transversa'!BX32</f>
        <v>0</v>
      </c>
      <c r="AF167" s="253">
        <f>+'Plan de Accion apoyo transversa'!CK32</f>
        <v>0</v>
      </c>
      <c r="AG167" s="215">
        <f t="shared" si="122"/>
        <v>0</v>
      </c>
      <c r="AH167" s="253">
        <f>+'Plan de Accion apoyo transversa'!CB32</f>
        <v>0.71517996870109546</v>
      </c>
      <c r="AI167" s="214">
        <f t="shared" si="118"/>
        <v>0.71517996870109546</v>
      </c>
      <c r="AJ167" s="1433"/>
      <c r="AK167" s="240"/>
      <c r="AL167" s="1442"/>
      <c r="AM167" s="1410"/>
      <c r="AN167" s="207"/>
      <c r="AO167" s="1442"/>
      <c r="AP167" s="1410"/>
      <c r="AQ167" s="207"/>
      <c r="AR167" s="1442"/>
      <c r="AS167" s="1410"/>
      <c r="AT167" s="207"/>
      <c r="AU167" s="1442"/>
      <c r="AV167" s="1410"/>
      <c r="AW167" s="205"/>
      <c r="AX167" s="1416"/>
      <c r="AY167" s="239"/>
      <c r="AZ167" s="1442"/>
      <c r="BA167" s="1410"/>
      <c r="BB167" s="207"/>
      <c r="BC167" s="1442"/>
      <c r="BD167" s="1410"/>
      <c r="BE167" s="207"/>
      <c r="BF167" s="1442"/>
      <c r="BG167" s="1410"/>
      <c r="BH167" s="207"/>
      <c r="BI167" s="1442"/>
      <c r="BJ167" s="1410"/>
      <c r="BK167" s="205"/>
      <c r="BL167" s="1416"/>
      <c r="BN167" s="1442"/>
      <c r="BO167" s="1410"/>
      <c r="BP167" s="207"/>
      <c r="BQ167" s="1442"/>
      <c r="BR167" s="1410"/>
      <c r="BS167" s="207"/>
      <c r="BT167" s="1442"/>
      <c r="BU167" s="1410"/>
      <c r="BV167" s="207"/>
      <c r="BW167" s="1442"/>
      <c r="BX167" s="1410"/>
      <c r="BY167" s="205"/>
      <c r="BZ167" s="1416"/>
      <c r="CB167" s="1442"/>
      <c r="CC167" s="1410"/>
      <c r="CD167" s="207"/>
      <c r="CE167" s="1442"/>
      <c r="CF167" s="1410"/>
      <c r="CG167" s="207"/>
      <c r="CH167" s="1442"/>
      <c r="CI167" s="1410"/>
      <c r="CJ167" s="207"/>
      <c r="CK167" s="1442"/>
      <c r="CL167" s="1410"/>
      <c r="CM167" s="205"/>
      <c r="CN167" s="1416"/>
    </row>
    <row r="168" spans="2:92" ht="105" customHeight="1" x14ac:dyDescent="0.2">
      <c r="B168" s="1372"/>
      <c r="C168" s="1349"/>
      <c r="D168" s="1352"/>
      <c r="E168" s="1317"/>
      <c r="F168" s="1317"/>
      <c r="G168" s="322" t="str">
        <f>+'Plan de Accion apoyo transversa'!X35</f>
        <v>Recurrir los Actos Administrativos interpuestos por COLPENSIONES</v>
      </c>
      <c r="H168" s="218" t="str">
        <f>+'Plan de Accion apoyo transversa'!AK35</f>
        <v># Recursos interpuestos oportunamente contra actos administrativos expedidos por Colpensiones / # Actos administrativos expedidos por Colpensiones notificados por aviso a la Entidad</v>
      </c>
      <c r="J168" s="217">
        <f>+'Plan de Accion apoyo transversa'!AT35</f>
        <v>0.25</v>
      </c>
      <c r="K168" s="483">
        <f>+'Plan de Accion apoyo transversa'!CE35</f>
        <v>1</v>
      </c>
      <c r="L168" s="483">
        <f>IF(K168&gt;100%,100%,K168)</f>
        <v>1</v>
      </c>
      <c r="M168" s="483">
        <f>+'Plan de Accion apoyo transversa'!AX35</f>
        <v>0.25</v>
      </c>
      <c r="N168" s="483">
        <f t="shared" si="103"/>
        <v>0.25</v>
      </c>
      <c r="O168" s="485">
        <f>+N168</f>
        <v>0.25</v>
      </c>
      <c r="P168" s="216"/>
      <c r="Q168" s="217" t="s">
        <v>204</v>
      </c>
      <c r="R168" s="253" t="s">
        <v>180</v>
      </c>
      <c r="S168" s="215" t="s">
        <v>204</v>
      </c>
      <c r="T168" s="682">
        <f>+'Plan de Accion apoyo transversa'!BH35</f>
        <v>0.25</v>
      </c>
      <c r="U168" s="682">
        <f t="shared" ref="U168" si="123">IF(T168&gt;100%,100%,T168)</f>
        <v>0.25</v>
      </c>
      <c r="V168" s="214">
        <f t="shared" ref="V168" si="124">+U168</f>
        <v>0.25</v>
      </c>
      <c r="W168" s="216"/>
      <c r="X168" s="217" t="s">
        <v>204</v>
      </c>
      <c r="Y168" s="253" t="s">
        <v>180</v>
      </c>
      <c r="Z168" s="215" t="s">
        <v>204</v>
      </c>
      <c r="AA168" s="220">
        <f>+'Plan de Accion apoyo transversa'!BR35</f>
        <v>0.25</v>
      </c>
      <c r="AB168" s="220">
        <f t="shared" ref="AB168" si="125">IF(AA168&gt;100%,100%,AA168)</f>
        <v>0.25</v>
      </c>
      <c r="AC168" s="219">
        <f t="shared" ref="AC168" si="126">+AB168</f>
        <v>0.25</v>
      </c>
      <c r="AD168" s="216"/>
      <c r="AE168" s="217" t="s">
        <v>204</v>
      </c>
      <c r="AF168" s="253" t="s">
        <v>180</v>
      </c>
      <c r="AG168" s="215" t="s">
        <v>204</v>
      </c>
      <c r="AH168" s="253">
        <f>+'Plan de Accion apoyo transversa'!CB35</f>
        <v>0.25</v>
      </c>
      <c r="AI168" s="214">
        <f t="shared" ref="AI168" si="127">IF(AH168&gt;100%,100%,AH168)</f>
        <v>0.25</v>
      </c>
      <c r="AJ168" s="1433"/>
      <c r="AK168" s="240"/>
      <c r="AL168" s="1442"/>
      <c r="AM168" s="1410"/>
      <c r="AN168" s="207"/>
      <c r="AO168" s="1442"/>
      <c r="AP168" s="1410"/>
      <c r="AQ168" s="207"/>
      <c r="AR168" s="1442"/>
      <c r="AS168" s="1410"/>
      <c r="AT168" s="207"/>
      <c r="AU168" s="1442"/>
      <c r="AV168" s="1410"/>
      <c r="AW168" s="205"/>
      <c r="AX168" s="1416"/>
      <c r="AY168" s="239"/>
      <c r="AZ168" s="1442"/>
      <c r="BA168" s="1410"/>
      <c r="BB168" s="207"/>
      <c r="BC168" s="1442"/>
      <c r="BD168" s="1410"/>
      <c r="BE168" s="207"/>
      <c r="BF168" s="1442"/>
      <c r="BG168" s="1410"/>
      <c r="BH168" s="207"/>
      <c r="BI168" s="1442"/>
      <c r="BJ168" s="1410"/>
      <c r="BK168" s="205"/>
      <c r="BL168" s="1416"/>
      <c r="BN168" s="1442"/>
      <c r="BO168" s="1410"/>
      <c r="BP168" s="207"/>
      <c r="BQ168" s="1442"/>
      <c r="BR168" s="1410"/>
      <c r="BS168" s="207"/>
      <c r="BT168" s="1442"/>
      <c r="BU168" s="1410"/>
      <c r="BV168" s="207"/>
      <c r="BW168" s="1442"/>
      <c r="BX168" s="1410"/>
      <c r="BY168" s="205"/>
      <c r="BZ168" s="1416"/>
      <c r="CB168" s="1442"/>
      <c r="CC168" s="1410"/>
      <c r="CD168" s="207"/>
      <c r="CE168" s="1442"/>
      <c r="CF168" s="1410"/>
      <c r="CG168" s="207"/>
      <c r="CH168" s="1442"/>
      <c r="CI168" s="1410"/>
      <c r="CJ168" s="207"/>
      <c r="CK168" s="1442"/>
      <c r="CL168" s="1410"/>
      <c r="CM168" s="205"/>
      <c r="CN168" s="1416"/>
    </row>
    <row r="169" spans="2:92" ht="105" customHeight="1" x14ac:dyDescent="0.2">
      <c r="B169" s="1372"/>
      <c r="C169" s="1349"/>
      <c r="D169" s="1352"/>
      <c r="E169" s="1317"/>
      <c r="F169" s="1317"/>
      <c r="G169" s="322" t="str">
        <f>+'Plan de Accion apoyo transversa'!X36</f>
        <v>Respuestas a reclamaciones</v>
      </c>
      <c r="H169" s="218" t="str">
        <f>+'Plan de Accion apoyo transversa'!AK36</f>
        <v># Respuestas a reclamaciones / # solicitudes de reclamación radicadas por las EPS en el mes anterior</v>
      </c>
      <c r="J169" s="217">
        <f>+'Plan de Accion apoyo transversa'!AT36</f>
        <v>0</v>
      </c>
      <c r="K169" s="483">
        <f>+'Plan de Accion apoyo transversa'!CE36</f>
        <v>0</v>
      </c>
      <c r="L169" s="483">
        <f>IF(K169&gt;100%,100%,K169)</f>
        <v>0</v>
      </c>
      <c r="M169" s="483">
        <f>+'Plan de Accion apoyo transversa'!AX36</f>
        <v>0</v>
      </c>
      <c r="N169" s="483">
        <f t="shared" si="103"/>
        <v>0</v>
      </c>
      <c r="O169" s="485">
        <f>+N169</f>
        <v>0</v>
      </c>
      <c r="P169" s="216"/>
      <c r="Q169" s="217" t="s">
        <v>204</v>
      </c>
      <c r="R169" s="253" t="s">
        <v>180</v>
      </c>
      <c r="S169" s="215" t="s">
        <v>204</v>
      </c>
      <c r="T169" s="682">
        <f>+'Plan de Accion apoyo transversa'!BH36</f>
        <v>0</v>
      </c>
      <c r="U169" s="682">
        <f t="shared" ref="U169" si="128">IF(T169&gt;100%,100%,T169)</f>
        <v>0</v>
      </c>
      <c r="V169" s="214">
        <f t="shared" ref="V169" si="129">+U169</f>
        <v>0</v>
      </c>
      <c r="W169" s="216"/>
      <c r="X169" s="217" t="s">
        <v>204</v>
      </c>
      <c r="Y169" s="253" t="s">
        <v>180</v>
      </c>
      <c r="Z169" s="215" t="s">
        <v>204</v>
      </c>
      <c r="AA169" s="220">
        <f>+'Plan de Accion apoyo transversa'!BR36</f>
        <v>0</v>
      </c>
      <c r="AB169" s="220">
        <f t="shared" ref="AB169" si="130">IF(AA169&gt;100%,100%,AA169)</f>
        <v>0</v>
      </c>
      <c r="AC169" s="219">
        <f t="shared" ref="AC169" si="131">+AB169</f>
        <v>0</v>
      </c>
      <c r="AD169" s="216"/>
      <c r="AE169" s="217" t="s">
        <v>204</v>
      </c>
      <c r="AF169" s="253" t="s">
        <v>180</v>
      </c>
      <c r="AG169" s="215" t="s">
        <v>204</v>
      </c>
      <c r="AH169" s="253">
        <f>+'Plan de Accion apoyo transversa'!CB36</f>
        <v>0</v>
      </c>
      <c r="AI169" s="214">
        <f t="shared" ref="AI169" si="132">IF(AH169&gt;100%,100%,AH169)</f>
        <v>0</v>
      </c>
      <c r="AJ169" s="1433"/>
      <c r="AK169" s="240"/>
      <c r="AL169" s="1442"/>
      <c r="AM169" s="1410"/>
      <c r="AN169" s="207"/>
      <c r="AO169" s="1442"/>
      <c r="AP169" s="1410"/>
      <c r="AQ169" s="207"/>
      <c r="AR169" s="1442"/>
      <c r="AS169" s="1410"/>
      <c r="AT169" s="207"/>
      <c r="AU169" s="1442"/>
      <c r="AV169" s="1410"/>
      <c r="AW169" s="205"/>
      <c r="AX169" s="1416"/>
      <c r="AY169" s="239"/>
      <c r="AZ169" s="1442"/>
      <c r="BA169" s="1410"/>
      <c r="BB169" s="207"/>
      <c r="BC169" s="1442"/>
      <c r="BD169" s="1410"/>
      <c r="BE169" s="207"/>
      <c r="BF169" s="1442"/>
      <c r="BG169" s="1410"/>
      <c r="BH169" s="207"/>
      <c r="BI169" s="1442"/>
      <c r="BJ169" s="1410"/>
      <c r="BK169" s="205"/>
      <c r="BL169" s="1416"/>
      <c r="BN169" s="1442"/>
      <c r="BO169" s="1410"/>
      <c r="BP169" s="207"/>
      <c r="BQ169" s="1442"/>
      <c r="BR169" s="1410"/>
      <c r="BS169" s="207"/>
      <c r="BT169" s="1442"/>
      <c r="BU169" s="1410"/>
      <c r="BV169" s="207"/>
      <c r="BW169" s="1442"/>
      <c r="BX169" s="1410"/>
      <c r="BY169" s="205"/>
      <c r="BZ169" s="1416"/>
      <c r="CB169" s="1442"/>
      <c r="CC169" s="1410"/>
      <c r="CD169" s="207"/>
      <c r="CE169" s="1442"/>
      <c r="CF169" s="1410"/>
      <c r="CG169" s="207"/>
      <c r="CH169" s="1442"/>
      <c r="CI169" s="1410"/>
      <c r="CJ169" s="207"/>
      <c r="CK169" s="1442"/>
      <c r="CL169" s="1410"/>
      <c r="CM169" s="205"/>
      <c r="CN169" s="1416"/>
    </row>
    <row r="170" spans="2:92" ht="105" customHeight="1" x14ac:dyDescent="0.2">
      <c r="B170" s="1372"/>
      <c r="C170" s="1350"/>
      <c r="D170" s="1353"/>
      <c r="E170" s="1318"/>
      <c r="F170" s="1318"/>
      <c r="G170" s="322" t="str">
        <f>+'Plan de Accion apoyo transversa'!X41</f>
        <v xml:space="preserve">Atender las solicitudes de informes derivadas de acciones constitucionales </v>
      </c>
      <c r="H170" s="218" t="str">
        <f>+'Plan de Accion apoyo transversa'!AK41</f>
        <v># Acciones constitucionales tramitadas Oportunamente / # Acciones constitucionales  radicadas que requieren Trámite</v>
      </c>
      <c r="J170" s="217">
        <f>+'Plan de Accion apoyo transversa'!AT41</f>
        <v>0.24055225317968984</v>
      </c>
      <c r="K170" s="483">
        <f>+'Plan de Accion apoyo transversa'!CE41</f>
        <v>0.96220901271875936</v>
      </c>
      <c r="L170" s="483">
        <f>IF(K170&gt;100%,100%,K170)</f>
        <v>0.96220901271875936</v>
      </c>
      <c r="M170" s="483">
        <f>+'Plan de Accion apoyo transversa'!AX41</f>
        <v>0.24055225317968984</v>
      </c>
      <c r="N170" s="483">
        <f t="shared" si="103"/>
        <v>0.24055225317968984</v>
      </c>
      <c r="O170" s="485">
        <f>+N170</f>
        <v>0.24055225317968984</v>
      </c>
      <c r="P170" s="216"/>
      <c r="Q170" s="217">
        <f>+'Plan de Accion apoyo transversa'!BD41</f>
        <v>0.24979947119812246</v>
      </c>
      <c r="R170" s="253">
        <f>+'Plan de Accion apoyo transversa'!CG41</f>
        <v>0.99919788479248983</v>
      </c>
      <c r="S170" s="215">
        <f t="shared" si="119"/>
        <v>0.99919788479248983</v>
      </c>
      <c r="T170" s="311">
        <f>+'Plan de Accion apoyo transversa'!BH41</f>
        <v>0.49035172437781227</v>
      </c>
      <c r="U170" s="311">
        <f t="shared" si="115"/>
        <v>0.49035172437781227</v>
      </c>
      <c r="V170" s="214">
        <f t="shared" si="120"/>
        <v>0.49035172437781227</v>
      </c>
      <c r="W170" s="216"/>
      <c r="X170" s="217">
        <f>+'Plan de Accion apoyo transversa'!BN41</f>
        <v>0.24979947119812246</v>
      </c>
      <c r="Y170" s="253">
        <f>+'Plan de Accion apoyo transversa'!CI41</f>
        <v>0.99919788479248983</v>
      </c>
      <c r="Z170" s="215">
        <f>IF(Y170&gt;100%,100%,Y170)</f>
        <v>0.99919788479248983</v>
      </c>
      <c r="AA170" s="220">
        <f>+'Plan de Accion apoyo transversa'!BR41</f>
        <v>0.74015119557593478</v>
      </c>
      <c r="AB170" s="220">
        <f t="shared" si="116"/>
        <v>0.74015119557593478</v>
      </c>
      <c r="AC170" s="219">
        <f t="shared" si="121"/>
        <v>0.74015119557593478</v>
      </c>
      <c r="AD170" s="216"/>
      <c r="AE170" s="217">
        <f>+'Plan de Accion apoyo transversa'!BX41</f>
        <v>0</v>
      </c>
      <c r="AF170" s="253">
        <f>+'Plan de Accion apoyo transversa'!CK41</f>
        <v>0</v>
      </c>
      <c r="AG170" s="215">
        <f t="shared" si="122"/>
        <v>0</v>
      </c>
      <c r="AH170" s="253">
        <f>+'Plan de Accion apoyo transversa'!CB41</f>
        <v>0.74015119557593478</v>
      </c>
      <c r="AI170" s="214">
        <f t="shared" si="118"/>
        <v>0.74015119557593478</v>
      </c>
      <c r="AJ170" s="1433"/>
      <c r="AK170" s="240"/>
      <c r="AL170" s="1442"/>
      <c r="AM170" s="1410"/>
      <c r="AN170" s="207"/>
      <c r="AO170" s="1442"/>
      <c r="AP170" s="1410"/>
      <c r="AQ170" s="207"/>
      <c r="AR170" s="1442"/>
      <c r="AS170" s="1410"/>
      <c r="AT170" s="207"/>
      <c r="AU170" s="1442"/>
      <c r="AV170" s="1410"/>
      <c r="AW170" s="205"/>
      <c r="AX170" s="1416"/>
      <c r="AY170" s="239"/>
      <c r="AZ170" s="1442"/>
      <c r="BA170" s="1410"/>
      <c r="BB170" s="207"/>
      <c r="BC170" s="1442"/>
      <c r="BD170" s="1410"/>
      <c r="BE170" s="207"/>
      <c r="BF170" s="1442"/>
      <c r="BG170" s="1410"/>
      <c r="BH170" s="207"/>
      <c r="BI170" s="1442"/>
      <c r="BJ170" s="1410"/>
      <c r="BK170" s="205"/>
      <c r="BL170" s="1416"/>
      <c r="BN170" s="1442"/>
      <c r="BO170" s="1410"/>
      <c r="BP170" s="207"/>
      <c r="BQ170" s="1442"/>
      <c r="BR170" s="1410"/>
      <c r="BS170" s="207"/>
      <c r="BT170" s="1442"/>
      <c r="BU170" s="1410"/>
      <c r="BV170" s="207"/>
      <c r="BW170" s="1442"/>
      <c r="BX170" s="1410"/>
      <c r="BY170" s="205"/>
      <c r="BZ170" s="1416"/>
      <c r="CB170" s="1442"/>
      <c r="CC170" s="1410"/>
      <c r="CD170" s="207"/>
      <c r="CE170" s="1442"/>
      <c r="CF170" s="1410"/>
      <c r="CG170" s="207"/>
      <c r="CH170" s="1442"/>
      <c r="CI170" s="1410"/>
      <c r="CJ170" s="207"/>
      <c r="CK170" s="1442"/>
      <c r="CL170" s="1410"/>
      <c r="CM170" s="205"/>
      <c r="CN170" s="1416"/>
    </row>
    <row r="171" spans="2:92" ht="100.5" customHeight="1" thickBot="1" x14ac:dyDescent="0.25">
      <c r="B171" s="1372"/>
      <c r="C171" s="1313" t="s">
        <v>94</v>
      </c>
      <c r="D171" s="1323" t="s">
        <v>204</v>
      </c>
      <c r="E171" s="1319" t="s">
        <v>1</v>
      </c>
      <c r="F171" s="1316" t="s">
        <v>330</v>
      </c>
      <c r="G171" s="322" t="str">
        <f>+'Plan de Accion apoyo transversa'!X9</f>
        <v>Anexos técnicos para el diseño, desarrollo e implementación del sitio web de la ADRES.</v>
      </c>
      <c r="H171" s="218" t="str">
        <f>+'Plan de Accion apoyo transversa'!AK9</f>
        <v># Anexos técnicos para el diseño, desarrollo e implementación del sitio web de la ADRES.</v>
      </c>
      <c r="J171" s="221">
        <f>+'Plan de Accion apoyo transversa'!AT9</f>
        <v>0</v>
      </c>
      <c r="K171" s="483" t="str">
        <f>+'Plan de Accion apoyo transversa'!CE9</f>
        <v>No Prog ni Ejec</v>
      </c>
      <c r="L171" s="483" t="s">
        <v>204</v>
      </c>
      <c r="M171" s="483">
        <f>+'Plan de Accion apoyo transversa'!AX9</f>
        <v>0</v>
      </c>
      <c r="N171" s="483">
        <f t="shared" si="103"/>
        <v>0</v>
      </c>
      <c r="O171" s="485" t="s">
        <v>204</v>
      </c>
      <c r="P171" s="216"/>
      <c r="Q171" s="221">
        <f>+'Plan de Accion apoyo transversa'!BD9</f>
        <v>0</v>
      </c>
      <c r="R171" s="253" t="str">
        <f>+'Plan de Accion apoyo transversa'!CG9</f>
        <v>No Prog ni Ejec</v>
      </c>
      <c r="S171" s="215" t="s">
        <v>204</v>
      </c>
      <c r="T171" s="311">
        <f>+'Plan de Accion apoyo transversa'!BH9</f>
        <v>0</v>
      </c>
      <c r="U171" s="311">
        <f t="shared" si="115"/>
        <v>0</v>
      </c>
      <c r="V171" s="214" t="s">
        <v>204</v>
      </c>
      <c r="W171" s="216"/>
      <c r="X171" s="221">
        <f>+'Plan de Accion apoyo transversa'!BN9</f>
        <v>0</v>
      </c>
      <c r="Y171" s="253" t="str">
        <f>+'Plan de Accion apoyo transversa'!CI9</f>
        <v>No Prog ni Ejec</v>
      </c>
      <c r="Z171" s="215" t="s">
        <v>204</v>
      </c>
      <c r="AA171" s="220">
        <f>+'Plan de Accion apoyo transversa'!BR9</f>
        <v>0</v>
      </c>
      <c r="AB171" s="220">
        <f t="shared" si="116"/>
        <v>0</v>
      </c>
      <c r="AC171" s="309" t="s">
        <v>204</v>
      </c>
      <c r="AD171" s="216"/>
      <c r="AE171" s="222">
        <f>+'Plan de Accion apoyo transversa'!BX9</f>
        <v>0</v>
      </c>
      <c r="AF171" s="253">
        <f>+'Plan de Accion apoyo transversa'!CK9</f>
        <v>0</v>
      </c>
      <c r="AG171" s="215">
        <f t="shared" si="122"/>
        <v>0</v>
      </c>
      <c r="AH171" s="253">
        <f>+'Plan de Accion apoyo transversa'!CB9</f>
        <v>0</v>
      </c>
      <c r="AI171" s="214">
        <f t="shared" si="118"/>
        <v>0</v>
      </c>
      <c r="AJ171" s="1434"/>
      <c r="AK171" s="240"/>
      <c r="AL171" s="1443"/>
      <c r="AM171" s="1411"/>
      <c r="AN171" s="207"/>
      <c r="AO171" s="1443"/>
      <c r="AP171" s="1411"/>
      <c r="AQ171" s="207"/>
      <c r="AR171" s="1443"/>
      <c r="AS171" s="1411"/>
      <c r="AT171" s="207"/>
      <c r="AU171" s="1443"/>
      <c r="AV171" s="1411"/>
      <c r="AW171" s="205"/>
      <c r="AX171" s="1417"/>
      <c r="AY171" s="239"/>
      <c r="AZ171" s="1443"/>
      <c r="BA171" s="1411"/>
      <c r="BB171" s="207"/>
      <c r="BC171" s="1443"/>
      <c r="BD171" s="1411"/>
      <c r="BE171" s="207"/>
      <c r="BF171" s="1443"/>
      <c r="BG171" s="1411"/>
      <c r="BH171" s="207"/>
      <c r="BI171" s="1443"/>
      <c r="BJ171" s="1411"/>
      <c r="BK171" s="205"/>
      <c r="BL171" s="1417"/>
      <c r="BN171" s="1443"/>
      <c r="BO171" s="1411"/>
      <c r="BP171" s="207"/>
      <c r="BQ171" s="1443"/>
      <c r="BR171" s="1411"/>
      <c r="BS171" s="207"/>
      <c r="BT171" s="1443"/>
      <c r="BU171" s="1411"/>
      <c r="BV171" s="207"/>
      <c r="BW171" s="1443"/>
      <c r="BX171" s="1411"/>
      <c r="BY171" s="205"/>
      <c r="BZ171" s="1417"/>
      <c r="CB171" s="1443"/>
      <c r="CC171" s="1411"/>
      <c r="CD171" s="207"/>
      <c r="CE171" s="1443"/>
      <c r="CF171" s="1411"/>
      <c r="CG171" s="207"/>
      <c r="CH171" s="1443"/>
      <c r="CI171" s="1411"/>
      <c r="CJ171" s="207"/>
      <c r="CK171" s="1443"/>
      <c r="CL171" s="1411"/>
      <c r="CM171" s="205"/>
      <c r="CN171" s="1417"/>
    </row>
    <row r="172" spans="2:92" ht="100.5" customHeight="1" x14ac:dyDescent="0.2">
      <c r="B172" s="1372"/>
      <c r="C172" s="1314"/>
      <c r="D172" s="1324"/>
      <c r="E172" s="1320"/>
      <c r="F172" s="1317"/>
      <c r="G172" s="558" t="str">
        <f>+'Plan de Accion apoyo transversa'!X183</f>
        <v>Política de comunicaciones de la ADRES aprobada por el comité de Gestión y Desempeño.</v>
      </c>
      <c r="H172" s="218" t="str">
        <f>+'Plan de Accion apoyo transversa'!AK183</f>
        <v># Documentos de política de comunicaciones de la ADRES aprobados y socializados con los funcionarios de la entidad.</v>
      </c>
      <c r="J172" s="221">
        <f>+'Plan de Accion apoyo transversa'!AT183</f>
        <v>0</v>
      </c>
      <c r="K172" s="552" t="str">
        <f>+'Plan de Accion apoyo transversa'!CE183</f>
        <v>No Prog ni Ejec</v>
      </c>
      <c r="L172" s="552" t="s">
        <v>204</v>
      </c>
      <c r="M172" s="552">
        <f>+'Plan de Accion apoyo transversa'!AX183</f>
        <v>0</v>
      </c>
      <c r="N172" s="552">
        <f t="shared" ref="N172" si="133">IF(M172&gt;100%,100%,M172)</f>
        <v>0</v>
      </c>
      <c r="O172" s="554" t="s">
        <v>204</v>
      </c>
      <c r="P172" s="216"/>
      <c r="Q172" s="221">
        <f>+'Plan de Accion apoyo transversa'!BD183</f>
        <v>0</v>
      </c>
      <c r="R172" s="253" t="str">
        <f>+'Plan de Accion apoyo transversa'!CG183</f>
        <v>No Prog ni Ejec</v>
      </c>
      <c r="S172" s="215" t="s">
        <v>204</v>
      </c>
      <c r="T172" s="552">
        <f>+'Plan de Accion apoyo transversa'!BH183</f>
        <v>0</v>
      </c>
      <c r="U172" s="552">
        <f t="shared" ref="U172" si="134">IF(T172&gt;100%,100%,T172)</f>
        <v>0</v>
      </c>
      <c r="V172" s="214" t="s">
        <v>204</v>
      </c>
      <c r="W172" s="216"/>
      <c r="X172" s="221">
        <f>+'Plan de Accion apoyo transversa'!BN183</f>
        <v>0</v>
      </c>
      <c r="Y172" s="253" t="str">
        <f>+'Plan de Accion apoyo transversa'!CI183</f>
        <v>No Prog ni Ejec</v>
      </c>
      <c r="Z172" s="215" t="s">
        <v>204</v>
      </c>
      <c r="AA172" s="220">
        <f>+'Plan de Accion apoyo transversa'!BR183</f>
        <v>0</v>
      </c>
      <c r="AB172" s="220">
        <f t="shared" ref="AB172" si="135">IF(AA172&gt;100%,100%,AA172)</f>
        <v>0</v>
      </c>
      <c r="AC172" s="556" t="s">
        <v>204</v>
      </c>
      <c r="AD172" s="216"/>
      <c r="AE172" s="222">
        <f>+'Plan de Accion apoyo transversa'!BX183</f>
        <v>0</v>
      </c>
      <c r="AF172" s="253">
        <f>+'Plan de Accion apoyo transversa'!CK183</f>
        <v>0</v>
      </c>
      <c r="AG172" s="215">
        <f t="shared" ref="AG172" si="136">IF(AF172&gt;100%,100%,AF172)</f>
        <v>0</v>
      </c>
      <c r="AH172" s="253">
        <f>+'Plan de Accion apoyo transversa'!CB183</f>
        <v>0</v>
      </c>
      <c r="AI172" s="214">
        <f t="shared" ref="AI172" si="137">IF(AH172&gt;100%,100%,AH172)</f>
        <v>0</v>
      </c>
      <c r="AJ172" s="561"/>
      <c r="AK172" s="240"/>
      <c r="AL172" s="563"/>
      <c r="AM172" s="559"/>
      <c r="AN172" s="207"/>
      <c r="AO172" s="243"/>
      <c r="AP172" s="559"/>
      <c r="AQ172" s="207"/>
      <c r="AR172" s="563"/>
      <c r="AS172" s="559"/>
      <c r="AT172" s="207"/>
      <c r="AU172" s="563"/>
      <c r="AV172" s="559"/>
      <c r="AW172" s="205"/>
      <c r="AX172" s="560"/>
      <c r="AY172" s="239"/>
      <c r="AZ172" s="563"/>
      <c r="BA172" s="559"/>
      <c r="BB172" s="207"/>
      <c r="BC172" s="243"/>
      <c r="BD172" s="559"/>
      <c r="BE172" s="207"/>
      <c r="BF172" s="563"/>
      <c r="BG172" s="559"/>
      <c r="BH172" s="207"/>
      <c r="BI172" s="563"/>
      <c r="BJ172" s="559"/>
      <c r="BK172" s="205"/>
      <c r="BL172" s="560"/>
      <c r="BN172" s="563"/>
      <c r="BO172" s="559"/>
      <c r="BP172" s="207"/>
      <c r="BQ172" s="243"/>
      <c r="BR172" s="559"/>
      <c r="BS172" s="207"/>
      <c r="BT172" s="563"/>
      <c r="BU172" s="559"/>
      <c r="BV172" s="207"/>
      <c r="BW172" s="563"/>
      <c r="BX172" s="559"/>
      <c r="BY172" s="205"/>
      <c r="BZ172" s="560"/>
      <c r="CB172" s="563"/>
      <c r="CC172" s="559"/>
      <c r="CD172" s="207"/>
      <c r="CE172" s="243"/>
      <c r="CF172" s="559"/>
      <c r="CG172" s="207"/>
      <c r="CH172" s="563"/>
      <c r="CI172" s="559"/>
      <c r="CJ172" s="207"/>
      <c r="CK172" s="563"/>
      <c r="CL172" s="559"/>
      <c r="CM172" s="205"/>
      <c r="CN172" s="560"/>
    </row>
    <row r="173" spans="2:92" ht="100.5" customHeight="1" x14ac:dyDescent="0.2">
      <c r="B173" s="1372"/>
      <c r="C173" s="1314"/>
      <c r="D173" s="1324"/>
      <c r="E173" s="1320"/>
      <c r="F173" s="1318"/>
      <c r="G173" s="558" t="str">
        <f>+'Plan de Accion apoyo transversa'!X184</f>
        <v>Estrategia de pedagogía externa sobre el flujo de recursos del sistema de salud que es administrado por la ADRES</v>
      </c>
      <c r="H173" s="218" t="str">
        <f>+'Plan de Accion apoyo transversa'!AK184</f>
        <v># de jornadas pedagógicas con actores externos del sistema de salud.</v>
      </c>
      <c r="J173" s="221">
        <f>+'Plan de Accion apoyo transversa'!AT184</f>
        <v>0</v>
      </c>
      <c r="K173" s="552" t="str">
        <f>+'Plan de Accion apoyo transversa'!CE184</f>
        <v>No Prog ni Ejec</v>
      </c>
      <c r="L173" s="552" t="s">
        <v>204</v>
      </c>
      <c r="M173" s="552">
        <f>+'Plan de Accion apoyo transversa'!AX184</f>
        <v>0</v>
      </c>
      <c r="N173" s="552">
        <f t="shared" ref="N173" si="138">IF(M173&gt;100%,100%,M173)</f>
        <v>0</v>
      </c>
      <c r="O173" s="554" t="s">
        <v>204</v>
      </c>
      <c r="P173" s="216"/>
      <c r="Q173" s="221">
        <f>+'Plan de Accion apoyo transversa'!BD184</f>
        <v>2</v>
      </c>
      <c r="R173" s="253">
        <f>+'Plan de Accion apoyo transversa'!CG184</f>
        <v>2</v>
      </c>
      <c r="S173" s="215">
        <f t="shared" ref="S173" si="139">IF(R173&gt;100%,100%,R173)</f>
        <v>1</v>
      </c>
      <c r="T173" s="552">
        <f>+'Plan de Accion apoyo transversa'!BH184</f>
        <v>0.66666666666666663</v>
      </c>
      <c r="U173" s="552">
        <f t="shared" ref="U173" si="140">IF(T173&gt;100%,100%,T173)</f>
        <v>0.66666666666666663</v>
      </c>
      <c r="V173" s="214">
        <f t="shared" ref="V173" si="141">+U173</f>
        <v>0.66666666666666663</v>
      </c>
      <c r="W173" s="216"/>
      <c r="X173" s="221">
        <f>+'Plan de Accion apoyo transversa'!BN184</f>
        <v>1</v>
      </c>
      <c r="Y173" s="253">
        <f>+'Plan de Accion apoyo transversa'!CI184</f>
        <v>1</v>
      </c>
      <c r="Z173" s="215">
        <f t="shared" ref="Z173:Z181" si="142">IF(Y173&gt;100%,100%,Y173)</f>
        <v>1</v>
      </c>
      <c r="AA173" s="220">
        <f>+'Plan de Accion apoyo transversa'!BR184</f>
        <v>1</v>
      </c>
      <c r="AB173" s="220">
        <f t="shared" ref="AB173" si="143">IF(AA173&gt;100%,100%,AA173)</f>
        <v>1</v>
      </c>
      <c r="AC173" s="556">
        <f>+AB173</f>
        <v>1</v>
      </c>
      <c r="AD173" s="216"/>
      <c r="AE173" s="222">
        <f>+'Plan de Accion apoyo transversa'!BX184</f>
        <v>0</v>
      </c>
      <c r="AF173" s="253">
        <f>+'Plan de Accion apoyo transversa'!CK184</f>
        <v>0</v>
      </c>
      <c r="AG173" s="215">
        <f t="shared" ref="AG173" si="144">IF(AF173&gt;100%,100%,AF173)</f>
        <v>0</v>
      </c>
      <c r="AH173" s="253">
        <f>+'Plan de Accion apoyo transversa'!CB184</f>
        <v>1</v>
      </c>
      <c r="AI173" s="214">
        <f t="shared" ref="AI173" si="145">IF(AH173&gt;100%,100%,AH173)</f>
        <v>1</v>
      </c>
      <c r="AJ173" s="561"/>
      <c r="AK173" s="240"/>
      <c r="AL173" s="563"/>
      <c r="AM173" s="559"/>
      <c r="AN173" s="207"/>
      <c r="AO173" s="243"/>
      <c r="AP173" s="559"/>
      <c r="AQ173" s="207"/>
      <c r="AR173" s="563"/>
      <c r="AS173" s="559"/>
      <c r="AT173" s="207"/>
      <c r="AU173" s="563"/>
      <c r="AV173" s="559"/>
      <c r="AW173" s="205"/>
      <c r="AX173" s="560"/>
      <c r="AY173" s="239"/>
      <c r="AZ173" s="563"/>
      <c r="BA173" s="559"/>
      <c r="BB173" s="207"/>
      <c r="BC173" s="243"/>
      <c r="BD173" s="559"/>
      <c r="BE173" s="207"/>
      <c r="BF173" s="563"/>
      <c r="BG173" s="559"/>
      <c r="BH173" s="207"/>
      <c r="BI173" s="563"/>
      <c r="BJ173" s="559"/>
      <c r="BK173" s="205"/>
      <c r="BL173" s="560"/>
      <c r="BN173" s="563"/>
      <c r="BO173" s="559"/>
      <c r="BP173" s="207"/>
      <c r="BQ173" s="243"/>
      <c r="BR173" s="559"/>
      <c r="BS173" s="207"/>
      <c r="BT173" s="563"/>
      <c r="BU173" s="559"/>
      <c r="BV173" s="207"/>
      <c r="BW173" s="563"/>
      <c r="BX173" s="559"/>
      <c r="BY173" s="205"/>
      <c r="BZ173" s="560"/>
      <c r="CB173" s="563"/>
      <c r="CC173" s="559"/>
      <c r="CD173" s="207"/>
      <c r="CE173" s="243"/>
      <c r="CF173" s="559"/>
      <c r="CG173" s="207"/>
      <c r="CH173" s="563"/>
      <c r="CI173" s="559"/>
      <c r="CJ173" s="207"/>
      <c r="CK173" s="563"/>
      <c r="CL173" s="559"/>
      <c r="CM173" s="205"/>
      <c r="CN173" s="560"/>
    </row>
    <row r="174" spans="2:92" ht="42.75" x14ac:dyDescent="0.2">
      <c r="B174" s="1372"/>
      <c r="C174" s="1314"/>
      <c r="D174" s="1324"/>
      <c r="E174" s="1320"/>
      <c r="F174" s="1316" t="s">
        <v>336</v>
      </c>
      <c r="G174" s="322" t="str">
        <f>+'Plan de Accion apoyo transversa'!X14</f>
        <v>Informe de audiencia pública de rendición de cuentas</v>
      </c>
      <c r="H174" s="218" t="str">
        <f>+'Plan de Accion apoyo transversa'!AK14</f>
        <v># Informes e audiencia pública de rendición de cuentas</v>
      </c>
      <c r="J174" s="221">
        <f>+'Plan de Accion apoyo transversa'!AT14</f>
        <v>0</v>
      </c>
      <c r="K174" s="483" t="str">
        <f>+'Plan de Accion apoyo transversa'!CE14</f>
        <v>No Prog ni Ejec</v>
      </c>
      <c r="L174" s="483" t="s">
        <v>204</v>
      </c>
      <c r="M174" s="483">
        <f>+'Plan de Accion apoyo transversa'!AX14</f>
        <v>0</v>
      </c>
      <c r="N174" s="483">
        <f t="shared" si="103"/>
        <v>0</v>
      </c>
      <c r="O174" s="485" t="s">
        <v>204</v>
      </c>
      <c r="P174" s="216"/>
      <c r="Q174" s="221">
        <f>+'Plan de Accion apoyo transversa'!BD14</f>
        <v>0</v>
      </c>
      <c r="R174" s="253" t="str">
        <f>+'Plan de Accion apoyo transversa'!CG14</f>
        <v>No Prog ni Ejec</v>
      </c>
      <c r="S174" s="215" t="s">
        <v>204</v>
      </c>
      <c r="T174" s="311">
        <f>+'Plan de Accion apoyo transversa'!BH14</f>
        <v>0</v>
      </c>
      <c r="U174" s="311">
        <f t="shared" ref="U174:U181" si="146">IF(T174&gt;100%,100%,T174)</f>
        <v>0</v>
      </c>
      <c r="V174" s="214" t="s">
        <v>204</v>
      </c>
      <c r="W174" s="216"/>
      <c r="X174" s="221">
        <f>+'Plan de Accion apoyo transversa'!BN14</f>
        <v>1</v>
      </c>
      <c r="Y174" s="253">
        <f>+'Plan de Accion apoyo transversa'!CI14</f>
        <v>1</v>
      </c>
      <c r="Z174" s="215">
        <f t="shared" si="142"/>
        <v>1</v>
      </c>
      <c r="AA174" s="220">
        <f>+'Plan de Accion apoyo transversa'!BR14</f>
        <v>1</v>
      </c>
      <c r="AB174" s="220">
        <f t="shared" ref="AB174:AB181" si="147">IF(AA174&gt;100%,100%,AA174)</f>
        <v>1</v>
      </c>
      <c r="AC174" s="219">
        <f t="shared" ref="AC174:AC181" si="148">+AB174</f>
        <v>1</v>
      </c>
      <c r="AD174" s="216"/>
      <c r="AE174" s="222">
        <f>+'Plan de Accion apoyo transversa'!BX14</f>
        <v>0</v>
      </c>
      <c r="AF174" s="253" t="str">
        <f>+'Plan de Accion apoyo transversa'!CK14</f>
        <v>No Prog ni Ejec</v>
      </c>
      <c r="AG174" s="215" t="s">
        <v>204</v>
      </c>
      <c r="AH174" s="253">
        <f>+'Plan de Accion apoyo transversa'!CB14</f>
        <v>1</v>
      </c>
      <c r="AI174" s="214">
        <f t="shared" ref="AI174:AI181" si="149">IF(AH174&gt;100%,100%,AH174)</f>
        <v>1</v>
      </c>
      <c r="AJ174" s="213"/>
      <c r="AK174" s="240"/>
      <c r="AL174" s="242"/>
      <c r="AM174" s="210"/>
      <c r="AN174" s="207"/>
      <c r="AO174" s="243"/>
      <c r="AP174" s="210"/>
      <c r="AQ174" s="207"/>
      <c r="AR174" s="242"/>
      <c r="AS174" s="210"/>
      <c r="AT174" s="207"/>
      <c r="AU174" s="242"/>
      <c r="AV174" s="210"/>
      <c r="AW174" s="205"/>
      <c r="AX174" s="209"/>
      <c r="AY174" s="239"/>
      <c r="AZ174" s="242"/>
      <c r="BA174" s="210"/>
      <c r="BB174" s="207"/>
      <c r="BC174" s="243"/>
      <c r="BD174" s="210"/>
      <c r="BE174" s="207"/>
      <c r="BF174" s="242"/>
      <c r="BG174" s="210"/>
      <c r="BH174" s="207"/>
      <c r="BI174" s="242"/>
      <c r="BJ174" s="210"/>
      <c r="BK174" s="205"/>
      <c r="BL174" s="209"/>
      <c r="BN174" s="242"/>
      <c r="BO174" s="210"/>
      <c r="BP174" s="207"/>
      <c r="BQ174" s="243"/>
      <c r="BR174" s="210"/>
      <c r="BS174" s="207"/>
      <c r="BT174" s="242"/>
      <c r="BU174" s="210"/>
      <c r="BV174" s="207"/>
      <c r="BW174" s="242"/>
      <c r="BX174" s="210"/>
      <c r="BY174" s="205"/>
      <c r="BZ174" s="209"/>
      <c r="CB174" s="242"/>
      <c r="CC174" s="210"/>
      <c r="CD174" s="207"/>
      <c r="CE174" s="243"/>
      <c r="CF174" s="210"/>
      <c r="CG174" s="207"/>
      <c r="CH174" s="242"/>
      <c r="CI174" s="210"/>
      <c r="CJ174" s="207"/>
      <c r="CK174" s="242"/>
      <c r="CL174" s="210"/>
      <c r="CM174" s="205"/>
      <c r="CN174" s="209"/>
    </row>
    <row r="175" spans="2:92" ht="42.75" customHeight="1" x14ac:dyDescent="0.2">
      <c r="B175" s="1372"/>
      <c r="C175" s="1314"/>
      <c r="D175" s="1324"/>
      <c r="E175" s="1320"/>
      <c r="F175" s="1317"/>
      <c r="G175" s="322" t="str">
        <f>+'Plan de Accion apoyo transversa'!X15</f>
        <v>Campaña interna de sensibilización sobre la importancia de la Rendición de Cuentas.</v>
      </c>
      <c r="H175" s="218" t="str">
        <f>+'Plan de Accion apoyo transversa'!AK15</f>
        <v># Campañas internas de sensibilización sobre la importancia de la Rendición de Cuentas.</v>
      </c>
      <c r="J175" s="221">
        <f>+'Plan de Accion apoyo transversa'!AT15</f>
        <v>0</v>
      </c>
      <c r="K175" s="483" t="str">
        <f>+'Plan de Accion apoyo transversa'!CE15</f>
        <v>No Prog ni Ejec</v>
      </c>
      <c r="L175" s="483" t="s">
        <v>204</v>
      </c>
      <c r="M175" s="483">
        <f>+'Plan de Accion apoyo transversa'!AX15</f>
        <v>0</v>
      </c>
      <c r="N175" s="483">
        <f t="shared" si="103"/>
        <v>0</v>
      </c>
      <c r="O175" s="485" t="s">
        <v>204</v>
      </c>
      <c r="P175" s="216"/>
      <c r="Q175" s="221">
        <f>+'Plan de Accion apoyo transversa'!BD15</f>
        <v>0</v>
      </c>
      <c r="R175" s="253" t="str">
        <f>+'Plan de Accion apoyo transversa'!CG15</f>
        <v>No Prog ni Ejec</v>
      </c>
      <c r="S175" s="215" t="s">
        <v>204</v>
      </c>
      <c r="T175" s="311">
        <f>+'Plan de Accion apoyo transversa'!BH15</f>
        <v>0</v>
      </c>
      <c r="U175" s="311">
        <f t="shared" si="146"/>
        <v>0</v>
      </c>
      <c r="V175" s="214" t="s">
        <v>204</v>
      </c>
      <c r="W175" s="216"/>
      <c r="X175" s="221">
        <f>+'Plan de Accion apoyo transversa'!BN15</f>
        <v>1</v>
      </c>
      <c r="Y175" s="253">
        <f>+'Plan de Accion apoyo transversa'!CI15</f>
        <v>1</v>
      </c>
      <c r="Z175" s="215">
        <f t="shared" si="142"/>
        <v>1</v>
      </c>
      <c r="AA175" s="220">
        <f>+'Plan de Accion apoyo transversa'!BR15</f>
        <v>1</v>
      </c>
      <c r="AB175" s="220">
        <f t="shared" si="147"/>
        <v>1</v>
      </c>
      <c r="AC175" s="219">
        <f t="shared" si="148"/>
        <v>1</v>
      </c>
      <c r="AD175" s="216"/>
      <c r="AE175" s="222">
        <f>+'Plan de Accion apoyo transversa'!BX15</f>
        <v>0</v>
      </c>
      <c r="AF175" s="253" t="str">
        <f>+'Plan de Accion apoyo transversa'!CK15</f>
        <v>No Prog ni Ejec</v>
      </c>
      <c r="AG175" s="215" t="s">
        <v>204</v>
      </c>
      <c r="AH175" s="253">
        <f>+'Plan de Accion apoyo transversa'!CB15</f>
        <v>1</v>
      </c>
      <c r="AI175" s="214">
        <f t="shared" si="149"/>
        <v>1</v>
      </c>
      <c r="AJ175" s="213"/>
      <c r="AK175" s="240"/>
      <c r="AL175" s="242"/>
      <c r="AM175" s="210"/>
      <c r="AN175" s="207"/>
      <c r="AO175" s="243"/>
      <c r="AP175" s="210"/>
      <c r="AQ175" s="207"/>
      <c r="AR175" s="242"/>
      <c r="AS175" s="210"/>
      <c r="AT175" s="207"/>
      <c r="AU175" s="242"/>
      <c r="AV175" s="210"/>
      <c r="AW175" s="205"/>
      <c r="AX175" s="209"/>
      <c r="AY175" s="239"/>
      <c r="AZ175" s="242"/>
      <c r="BA175" s="210"/>
      <c r="BB175" s="207"/>
      <c r="BC175" s="243"/>
      <c r="BD175" s="210"/>
      <c r="BE175" s="207"/>
      <c r="BF175" s="242"/>
      <c r="BG175" s="210"/>
      <c r="BH175" s="207"/>
      <c r="BI175" s="242"/>
      <c r="BJ175" s="210"/>
      <c r="BK175" s="205"/>
      <c r="BL175" s="209"/>
      <c r="BN175" s="242"/>
      <c r="BO175" s="210"/>
      <c r="BP175" s="207"/>
      <c r="BQ175" s="243"/>
      <c r="BR175" s="210"/>
      <c r="BS175" s="207"/>
      <c r="BT175" s="242"/>
      <c r="BU175" s="210"/>
      <c r="BV175" s="207"/>
      <c r="BW175" s="242"/>
      <c r="BX175" s="210"/>
      <c r="BY175" s="205"/>
      <c r="BZ175" s="209"/>
      <c r="CB175" s="242"/>
      <c r="CC175" s="210"/>
      <c r="CD175" s="207"/>
      <c r="CE175" s="243"/>
      <c r="CF175" s="210"/>
      <c r="CG175" s="207"/>
      <c r="CH175" s="242"/>
      <c r="CI175" s="210"/>
      <c r="CJ175" s="207"/>
      <c r="CK175" s="242"/>
      <c r="CL175" s="210"/>
      <c r="CM175" s="205"/>
      <c r="CN175" s="209"/>
    </row>
    <row r="176" spans="2:92" ht="51.75" customHeight="1" x14ac:dyDescent="0.2">
      <c r="B176" s="1372"/>
      <c r="C176" s="1314"/>
      <c r="D176" s="1324"/>
      <c r="E176" s="1320"/>
      <c r="F176" s="1317"/>
      <c r="G176" s="322" t="str">
        <f>+'Plan de Accion apoyo transversa'!X16</f>
        <v>Campaña externa de sensibilización sobre la importancia de la Rendición de Cuentas.</v>
      </c>
      <c r="H176" s="218" t="str">
        <f>+'Plan de Accion apoyo transversa'!AK16</f>
        <v># Campaña externa de sensibilización sobre la importancia de la Rendición de Cuentas.</v>
      </c>
      <c r="J176" s="221">
        <f>+'Plan de Accion apoyo transversa'!AT16</f>
        <v>0</v>
      </c>
      <c r="K176" s="483" t="str">
        <f>+'Plan de Accion apoyo transversa'!CE16</f>
        <v>No Prog ni Ejec</v>
      </c>
      <c r="L176" s="483" t="s">
        <v>204</v>
      </c>
      <c r="M176" s="483">
        <f>+'Plan de Accion apoyo transversa'!AX16</f>
        <v>0</v>
      </c>
      <c r="N176" s="483">
        <f t="shared" si="103"/>
        <v>0</v>
      </c>
      <c r="O176" s="485" t="s">
        <v>204</v>
      </c>
      <c r="P176" s="216"/>
      <c r="Q176" s="221">
        <f>+'Plan de Accion apoyo transversa'!BD16</f>
        <v>0</v>
      </c>
      <c r="R176" s="253" t="str">
        <f>+'Plan de Accion apoyo transversa'!CG16</f>
        <v>No Prog ni Ejec</v>
      </c>
      <c r="S176" s="215" t="s">
        <v>204</v>
      </c>
      <c r="T176" s="311">
        <f>+'Plan de Accion apoyo transversa'!BH16</f>
        <v>0</v>
      </c>
      <c r="U176" s="311">
        <f t="shared" si="146"/>
        <v>0</v>
      </c>
      <c r="V176" s="214" t="s">
        <v>204</v>
      </c>
      <c r="W176" s="216"/>
      <c r="X176" s="221">
        <f>+'Plan de Accion apoyo transversa'!BN16</f>
        <v>1</v>
      </c>
      <c r="Y176" s="253">
        <f>+'Plan de Accion apoyo transversa'!CI16</f>
        <v>1</v>
      </c>
      <c r="Z176" s="215">
        <f t="shared" si="142"/>
        <v>1</v>
      </c>
      <c r="AA176" s="220">
        <f>+'Plan de Accion apoyo transversa'!BR16</f>
        <v>1</v>
      </c>
      <c r="AB176" s="220">
        <f t="shared" si="147"/>
        <v>1</v>
      </c>
      <c r="AC176" s="219">
        <f t="shared" si="148"/>
        <v>1</v>
      </c>
      <c r="AD176" s="216"/>
      <c r="AE176" s="222">
        <f>+'Plan de Accion apoyo transversa'!BX16</f>
        <v>0</v>
      </c>
      <c r="AF176" s="253" t="str">
        <f>+'Plan de Accion apoyo transversa'!CK16</f>
        <v>No Prog ni Ejec</v>
      </c>
      <c r="AG176" s="215" t="s">
        <v>204</v>
      </c>
      <c r="AH176" s="253">
        <f>+'Plan de Accion apoyo transversa'!CB16</f>
        <v>1</v>
      </c>
      <c r="AI176" s="214">
        <f t="shared" si="149"/>
        <v>1</v>
      </c>
      <c r="AJ176" s="213"/>
      <c r="AK176" s="240"/>
      <c r="AL176" s="242"/>
      <c r="AM176" s="210"/>
      <c r="AN176" s="207"/>
      <c r="AO176" s="243"/>
      <c r="AP176" s="210"/>
      <c r="AQ176" s="207"/>
      <c r="AR176" s="242"/>
      <c r="AS176" s="210"/>
      <c r="AT176" s="207"/>
      <c r="AU176" s="242"/>
      <c r="AV176" s="210"/>
      <c r="AW176" s="205"/>
      <c r="AX176" s="209"/>
      <c r="AY176" s="239"/>
      <c r="AZ176" s="242"/>
      <c r="BA176" s="210"/>
      <c r="BB176" s="207"/>
      <c r="BC176" s="243"/>
      <c r="BD176" s="210"/>
      <c r="BE176" s="207"/>
      <c r="BF176" s="242"/>
      <c r="BG176" s="210"/>
      <c r="BH176" s="207"/>
      <c r="BI176" s="242"/>
      <c r="BJ176" s="210"/>
      <c r="BK176" s="205"/>
      <c r="BL176" s="209"/>
      <c r="BN176" s="242"/>
      <c r="BO176" s="210"/>
      <c r="BP176" s="207"/>
      <c r="BQ176" s="243"/>
      <c r="BR176" s="210"/>
      <c r="BS176" s="207"/>
      <c r="BT176" s="242"/>
      <c r="BU176" s="210"/>
      <c r="BV176" s="207"/>
      <c r="BW176" s="242"/>
      <c r="BX176" s="210"/>
      <c r="BY176" s="205"/>
      <c r="BZ176" s="209"/>
      <c r="CB176" s="242"/>
      <c r="CC176" s="210"/>
      <c r="CD176" s="207"/>
      <c r="CE176" s="243"/>
      <c r="CF176" s="210"/>
      <c r="CG176" s="207"/>
      <c r="CH176" s="242"/>
      <c r="CI176" s="210"/>
      <c r="CJ176" s="207"/>
      <c r="CK176" s="242"/>
      <c r="CL176" s="210"/>
      <c r="CM176" s="205"/>
      <c r="CN176" s="209"/>
    </row>
    <row r="177" spans="2:92" ht="75" customHeight="1" x14ac:dyDescent="0.2">
      <c r="B177" s="1372"/>
      <c r="C177" s="1314"/>
      <c r="D177" s="1324"/>
      <c r="E177" s="1320"/>
      <c r="F177" s="1317"/>
      <c r="G177" s="1316" t="str">
        <f>+'Plan de Accion apoyo transversa'!X166</f>
        <v>Audiencia pública de Rendición de cuentas externa realizadas</v>
      </c>
      <c r="H177" s="218" t="str">
        <f>+'Plan de Accion apoyo transversa'!AK166</f>
        <v># Informes de Rendición de Cuentas externa de la ADRES publicados</v>
      </c>
      <c r="J177" s="221">
        <f>+'Plan de Accion apoyo transversa'!AT166</f>
        <v>0</v>
      </c>
      <c r="K177" s="483" t="str">
        <f>+'Plan de Accion apoyo transversa'!CE166</f>
        <v>No Prog ni Ejec</v>
      </c>
      <c r="L177" s="483" t="s">
        <v>204</v>
      </c>
      <c r="M177" s="483">
        <f>+'Plan de Accion apoyo transversa'!AX166</f>
        <v>0</v>
      </c>
      <c r="N177" s="483">
        <f t="shared" si="103"/>
        <v>0</v>
      </c>
      <c r="O177" s="485" t="s">
        <v>204</v>
      </c>
      <c r="P177" s="216"/>
      <c r="Q177" s="221">
        <f>+'Plan de Accion apoyo transversa'!BD166</f>
        <v>0</v>
      </c>
      <c r="R177" s="253" t="str">
        <f>+'Plan de Accion apoyo transversa'!CG166</f>
        <v>No Prog ni Ejec</v>
      </c>
      <c r="S177" s="215" t="s">
        <v>204</v>
      </c>
      <c r="T177" s="311">
        <f>+'Plan de Accion apoyo transversa'!BH166</f>
        <v>0</v>
      </c>
      <c r="U177" s="311">
        <f t="shared" si="146"/>
        <v>0</v>
      </c>
      <c r="V177" s="214" t="s">
        <v>204</v>
      </c>
      <c r="W177" s="216"/>
      <c r="X177" s="221">
        <f>+'Plan de Accion apoyo transversa'!BN166</f>
        <v>1</v>
      </c>
      <c r="Y177" s="253">
        <f>+'Plan de Accion apoyo transversa'!CI166</f>
        <v>1</v>
      </c>
      <c r="Z177" s="215">
        <f t="shared" si="142"/>
        <v>1</v>
      </c>
      <c r="AA177" s="220">
        <f>+'Plan de Accion apoyo transversa'!BR166</f>
        <v>1</v>
      </c>
      <c r="AB177" s="220">
        <f t="shared" si="147"/>
        <v>1</v>
      </c>
      <c r="AC177" s="219">
        <f t="shared" si="148"/>
        <v>1</v>
      </c>
      <c r="AD177" s="216"/>
      <c r="AE177" s="222">
        <f>+'Plan de Accion apoyo transversa'!BX166</f>
        <v>0</v>
      </c>
      <c r="AF177" s="253" t="str">
        <f>+'Plan de Accion apoyo transversa'!CK166</f>
        <v>No Prog ni Ejec</v>
      </c>
      <c r="AG177" s="215" t="s">
        <v>204</v>
      </c>
      <c r="AH177" s="253">
        <f>+'Plan de Accion apoyo transversa'!CB166</f>
        <v>1</v>
      </c>
      <c r="AI177" s="214">
        <f t="shared" si="149"/>
        <v>1</v>
      </c>
      <c r="AJ177" s="213"/>
      <c r="AK177" s="240"/>
      <c r="AL177" s="242"/>
      <c r="AM177" s="210"/>
      <c r="AN177" s="207"/>
      <c r="AO177" s="243"/>
      <c r="AP177" s="210"/>
      <c r="AQ177" s="207"/>
      <c r="AR177" s="242"/>
      <c r="AS177" s="210"/>
      <c r="AT177" s="207"/>
      <c r="AU177" s="242"/>
      <c r="AV177" s="210"/>
      <c r="AW177" s="205"/>
      <c r="AX177" s="209"/>
      <c r="AY177" s="239"/>
      <c r="AZ177" s="242"/>
      <c r="BA177" s="210"/>
      <c r="BB177" s="207"/>
      <c r="BC177" s="243"/>
      <c r="BD177" s="210"/>
      <c r="BE177" s="207"/>
      <c r="BF177" s="242"/>
      <c r="BG177" s="210"/>
      <c r="BH177" s="207"/>
      <c r="BI177" s="242"/>
      <c r="BJ177" s="210"/>
      <c r="BK177" s="205"/>
      <c r="BL177" s="209"/>
      <c r="BN177" s="242"/>
      <c r="BO177" s="210"/>
      <c r="BP177" s="207"/>
      <c r="BQ177" s="243"/>
      <c r="BR177" s="210"/>
      <c r="BS177" s="207"/>
      <c r="BT177" s="242"/>
      <c r="BU177" s="210"/>
      <c r="BV177" s="207"/>
      <c r="BW177" s="242"/>
      <c r="BX177" s="210"/>
      <c r="BY177" s="205"/>
      <c r="BZ177" s="209"/>
      <c r="CB177" s="242"/>
      <c r="CC177" s="210"/>
      <c r="CD177" s="207"/>
      <c r="CE177" s="243"/>
      <c r="CF177" s="210"/>
      <c r="CG177" s="207"/>
      <c r="CH177" s="242"/>
      <c r="CI177" s="210"/>
      <c r="CJ177" s="207"/>
      <c r="CK177" s="242"/>
      <c r="CL177" s="210"/>
      <c r="CM177" s="205"/>
      <c r="CN177" s="209"/>
    </row>
    <row r="178" spans="2:92" ht="75" customHeight="1" x14ac:dyDescent="0.2">
      <c r="B178" s="1372"/>
      <c r="C178" s="1314"/>
      <c r="D178" s="1324"/>
      <c r="E178" s="1320"/>
      <c r="F178" s="1317"/>
      <c r="G178" s="1318"/>
      <c r="H178" s="218" t="str">
        <f>+'Plan de Accion apoyo transversa'!AK167</f>
        <v># de Jornadas de rendición de cuentas externas</v>
      </c>
      <c r="J178" s="221">
        <f>+'Plan de Accion apoyo transversa'!AT167</f>
        <v>0</v>
      </c>
      <c r="K178" s="552" t="str">
        <f>+'Plan de Accion apoyo transversa'!CE167</f>
        <v>No Prog ni Ejec</v>
      </c>
      <c r="L178" s="552" t="s">
        <v>204</v>
      </c>
      <c r="M178" s="552">
        <f>+'Plan de Accion apoyo transversa'!AX167</f>
        <v>0</v>
      </c>
      <c r="N178" s="552">
        <f t="shared" ref="N178" si="150">IF(M178&gt;100%,100%,M178)</f>
        <v>0</v>
      </c>
      <c r="O178" s="554" t="s">
        <v>204</v>
      </c>
      <c r="P178" s="216"/>
      <c r="Q178" s="221">
        <f>+'Plan de Accion apoyo transversa'!BD167</f>
        <v>0</v>
      </c>
      <c r="R178" s="253" t="str">
        <f>+'Plan de Accion apoyo transversa'!CG167</f>
        <v>No Prog ni Ejec</v>
      </c>
      <c r="S178" s="215" t="s">
        <v>204</v>
      </c>
      <c r="T178" s="552">
        <f>+'Plan de Accion apoyo transversa'!BH167</f>
        <v>0</v>
      </c>
      <c r="U178" s="552">
        <f t="shared" ref="U178" si="151">IF(T178&gt;100%,100%,T178)</f>
        <v>0</v>
      </c>
      <c r="V178" s="214" t="s">
        <v>204</v>
      </c>
      <c r="W178" s="216"/>
      <c r="X178" s="221">
        <f>+'Plan de Accion apoyo transversa'!BN167</f>
        <v>1</v>
      </c>
      <c r="Y178" s="253">
        <f>+'Plan de Accion apoyo transversa'!CI167</f>
        <v>1</v>
      </c>
      <c r="Z178" s="215">
        <f t="shared" ref="Z178" si="152">IF(Y178&gt;100%,100%,Y178)</f>
        <v>1</v>
      </c>
      <c r="AA178" s="220">
        <f>+'Plan de Accion apoyo transversa'!BR167</f>
        <v>1</v>
      </c>
      <c r="AB178" s="220">
        <f t="shared" ref="AB178" si="153">IF(AA178&gt;100%,100%,AA178)</f>
        <v>1</v>
      </c>
      <c r="AC178" s="219">
        <f t="shared" ref="AC178" si="154">+AB178</f>
        <v>1</v>
      </c>
      <c r="AD178" s="216"/>
      <c r="AE178" s="222">
        <f>+'Plan de Accion apoyo transversa'!BX167</f>
        <v>0</v>
      </c>
      <c r="AF178" s="253" t="str">
        <f>+'Plan de Accion apoyo transversa'!CK167</f>
        <v>No Prog ni Ejec</v>
      </c>
      <c r="AG178" s="215" t="s">
        <v>204</v>
      </c>
      <c r="AH178" s="253">
        <f>+'Plan de Accion apoyo transversa'!CB167</f>
        <v>1</v>
      </c>
      <c r="AI178" s="214">
        <f t="shared" ref="AI178" si="155">IF(AH178&gt;100%,100%,AH178)</f>
        <v>1</v>
      </c>
      <c r="AJ178" s="561"/>
      <c r="AK178" s="240"/>
      <c r="AL178" s="563"/>
      <c r="AM178" s="559"/>
      <c r="AN178" s="207"/>
      <c r="AO178" s="243"/>
      <c r="AP178" s="559"/>
      <c r="AQ178" s="207"/>
      <c r="AR178" s="563"/>
      <c r="AS178" s="559"/>
      <c r="AT178" s="207"/>
      <c r="AU178" s="563"/>
      <c r="AV178" s="559"/>
      <c r="AW178" s="205"/>
      <c r="AX178" s="560"/>
      <c r="AY178" s="239"/>
      <c r="AZ178" s="563"/>
      <c r="BA178" s="559"/>
      <c r="BB178" s="207"/>
      <c r="BC178" s="243"/>
      <c r="BD178" s="559"/>
      <c r="BE178" s="207"/>
      <c r="BF178" s="563"/>
      <c r="BG178" s="559"/>
      <c r="BH178" s="207"/>
      <c r="BI178" s="563"/>
      <c r="BJ178" s="559"/>
      <c r="BK178" s="205"/>
      <c r="BL178" s="560"/>
      <c r="BN178" s="563"/>
      <c r="BO178" s="559"/>
      <c r="BP178" s="207"/>
      <c r="BQ178" s="243"/>
      <c r="BR178" s="559"/>
      <c r="BS178" s="207"/>
      <c r="BT178" s="563"/>
      <c r="BU178" s="559"/>
      <c r="BV178" s="207"/>
      <c r="BW178" s="563"/>
      <c r="BX178" s="559"/>
      <c r="BY178" s="205"/>
      <c r="BZ178" s="560"/>
      <c r="CB178" s="563"/>
      <c r="CC178" s="559"/>
      <c r="CD178" s="207"/>
      <c r="CE178" s="243"/>
      <c r="CF178" s="559"/>
      <c r="CG178" s="207"/>
      <c r="CH178" s="563"/>
      <c r="CI178" s="559"/>
      <c r="CJ178" s="207"/>
      <c r="CK178" s="563"/>
      <c r="CL178" s="559"/>
      <c r="CM178" s="205"/>
      <c r="CN178" s="560"/>
    </row>
    <row r="179" spans="2:92" ht="75" customHeight="1" x14ac:dyDescent="0.2">
      <c r="B179" s="1372"/>
      <c r="C179" s="1314"/>
      <c r="D179" s="1324"/>
      <c r="E179" s="1320"/>
      <c r="F179" s="1317"/>
      <c r="G179" s="1316" t="str">
        <f>+'Plan de Accion apoyo transversa'!X168</f>
        <v>Audiencia pública de Rendición de cuentas interna realizadas</v>
      </c>
      <c r="H179" s="218" t="str">
        <f>+'Plan de Accion apoyo transversa'!AK168</f>
        <v># Audiencias públicas de Rendición de cuentas interna realizadas</v>
      </c>
      <c r="J179" s="221">
        <f>+'Plan de Accion apoyo transversa'!AT168</f>
        <v>0</v>
      </c>
      <c r="K179" s="483" t="str">
        <f>+'Plan de Accion apoyo transversa'!CE168</f>
        <v>No Prog ni Ejec</v>
      </c>
      <c r="L179" s="483" t="s">
        <v>204</v>
      </c>
      <c r="M179" s="483">
        <f>+'Plan de Accion apoyo transversa'!AX168</f>
        <v>0</v>
      </c>
      <c r="N179" s="483">
        <f t="shared" si="103"/>
        <v>0</v>
      </c>
      <c r="O179" s="485" t="s">
        <v>204</v>
      </c>
      <c r="P179" s="216"/>
      <c r="Q179" s="221">
        <f>+'Plan de Accion apoyo transversa'!BD168</f>
        <v>0</v>
      </c>
      <c r="R179" s="253" t="str">
        <f>+'Plan de Accion apoyo transversa'!CG168</f>
        <v>No Prog ni Ejec</v>
      </c>
      <c r="S179" s="215" t="s">
        <v>204</v>
      </c>
      <c r="T179" s="311">
        <f>+'Plan de Accion apoyo transversa'!BH168</f>
        <v>0</v>
      </c>
      <c r="U179" s="311">
        <f t="shared" si="146"/>
        <v>0</v>
      </c>
      <c r="V179" s="214" t="s">
        <v>204</v>
      </c>
      <c r="W179" s="216"/>
      <c r="X179" s="221">
        <f>+'Plan de Accion apoyo transversa'!BN168</f>
        <v>0</v>
      </c>
      <c r="Y179" s="253">
        <f>+'Plan de Accion apoyo transversa'!CI168</f>
        <v>0</v>
      </c>
      <c r="Z179" s="215">
        <f t="shared" si="142"/>
        <v>0</v>
      </c>
      <c r="AA179" s="220">
        <f>+'Plan de Accion apoyo transversa'!BR168</f>
        <v>0</v>
      </c>
      <c r="AB179" s="220">
        <f t="shared" si="147"/>
        <v>0</v>
      </c>
      <c r="AC179" s="219">
        <f t="shared" si="148"/>
        <v>0</v>
      </c>
      <c r="AD179" s="216"/>
      <c r="AE179" s="222">
        <f>+'Plan de Accion apoyo transversa'!BX168</f>
        <v>0</v>
      </c>
      <c r="AF179" s="253" t="str">
        <f>+'Plan de Accion apoyo transversa'!CK168</f>
        <v>No Prog ni Ejec</v>
      </c>
      <c r="AG179" s="215" t="s">
        <v>204</v>
      </c>
      <c r="AH179" s="253">
        <f>+'Plan de Accion apoyo transversa'!CB168</f>
        <v>0</v>
      </c>
      <c r="AI179" s="214">
        <f t="shared" si="149"/>
        <v>0</v>
      </c>
      <c r="AJ179" s="213"/>
      <c r="AK179" s="240"/>
      <c r="AL179" s="242"/>
      <c r="AM179" s="210"/>
      <c r="AN179" s="207"/>
      <c r="AO179" s="243"/>
      <c r="AP179" s="210"/>
      <c r="AQ179" s="207"/>
      <c r="AR179" s="242"/>
      <c r="AS179" s="210"/>
      <c r="AT179" s="207"/>
      <c r="AU179" s="242"/>
      <c r="AV179" s="210"/>
      <c r="AW179" s="205"/>
      <c r="AX179" s="209"/>
      <c r="AY179" s="239"/>
      <c r="AZ179" s="242"/>
      <c r="BA179" s="210"/>
      <c r="BB179" s="207"/>
      <c r="BC179" s="243"/>
      <c r="BD179" s="210"/>
      <c r="BE179" s="207"/>
      <c r="BF179" s="242"/>
      <c r="BG179" s="210"/>
      <c r="BH179" s="207"/>
      <c r="BI179" s="242"/>
      <c r="BJ179" s="210"/>
      <c r="BK179" s="205"/>
      <c r="BL179" s="209"/>
      <c r="BN179" s="242"/>
      <c r="BO179" s="210"/>
      <c r="BP179" s="207"/>
      <c r="BQ179" s="243"/>
      <c r="BR179" s="210"/>
      <c r="BS179" s="207"/>
      <c r="BT179" s="242"/>
      <c r="BU179" s="210"/>
      <c r="BV179" s="207"/>
      <c r="BW179" s="242"/>
      <c r="BX179" s="210"/>
      <c r="BY179" s="205"/>
      <c r="BZ179" s="209"/>
      <c r="CB179" s="242"/>
      <c r="CC179" s="210"/>
      <c r="CD179" s="207"/>
      <c r="CE179" s="243"/>
      <c r="CF179" s="210"/>
      <c r="CG179" s="207"/>
      <c r="CH179" s="242"/>
      <c r="CI179" s="210"/>
      <c r="CJ179" s="207"/>
      <c r="CK179" s="242"/>
      <c r="CL179" s="210"/>
      <c r="CM179" s="205"/>
      <c r="CN179" s="209"/>
    </row>
    <row r="180" spans="2:92" ht="75" customHeight="1" x14ac:dyDescent="0.2">
      <c r="B180" s="1372"/>
      <c r="C180" s="1314"/>
      <c r="D180" s="1324"/>
      <c r="E180" s="1320"/>
      <c r="F180" s="1317"/>
      <c r="G180" s="1318"/>
      <c r="H180" s="218" t="str">
        <f>+'Plan de Accion apoyo transversa'!AK169</f>
        <v xml:space="preserve"># Informes de Rendición de Cuentas interna de la ADRES publicados </v>
      </c>
      <c r="J180" s="221">
        <f>+'Plan de Accion apoyo transversa'!AT169</f>
        <v>0</v>
      </c>
      <c r="K180" s="552" t="str">
        <f>+'Plan de Accion apoyo transversa'!CE169</f>
        <v>No Prog ni Ejec</v>
      </c>
      <c r="L180" s="552" t="s">
        <v>204</v>
      </c>
      <c r="M180" s="552">
        <f>+'Plan de Accion apoyo transversa'!AX169</f>
        <v>0</v>
      </c>
      <c r="N180" s="552">
        <f t="shared" ref="N180" si="156">IF(M180&gt;100%,100%,M180)</f>
        <v>0</v>
      </c>
      <c r="O180" s="554" t="s">
        <v>204</v>
      </c>
      <c r="P180" s="216"/>
      <c r="Q180" s="221">
        <f>+'Plan de Accion apoyo transversa'!BD169</f>
        <v>0</v>
      </c>
      <c r="R180" s="253" t="str">
        <f>+'Plan de Accion apoyo transversa'!CG169</f>
        <v>No Prog ni Ejec</v>
      </c>
      <c r="S180" s="215" t="s">
        <v>204</v>
      </c>
      <c r="T180" s="552">
        <f>+'Plan de Accion apoyo transversa'!BH169</f>
        <v>0</v>
      </c>
      <c r="U180" s="552">
        <f t="shared" ref="U180" si="157">IF(T180&gt;100%,100%,T180)</f>
        <v>0</v>
      </c>
      <c r="V180" s="214" t="s">
        <v>204</v>
      </c>
      <c r="W180" s="216"/>
      <c r="X180" s="221">
        <f>+'Plan de Accion apoyo transversa'!BN169</f>
        <v>0</v>
      </c>
      <c r="Y180" s="253">
        <f>+'Plan de Accion apoyo transversa'!CI169</f>
        <v>0</v>
      </c>
      <c r="Z180" s="215">
        <f t="shared" ref="Z180" si="158">IF(Y180&gt;100%,100%,Y180)</f>
        <v>0</v>
      </c>
      <c r="AA180" s="220">
        <f>+'Plan de Accion apoyo transversa'!BR169</f>
        <v>0</v>
      </c>
      <c r="AB180" s="220">
        <f t="shared" ref="AB180" si="159">IF(AA180&gt;100%,100%,AA180)</f>
        <v>0</v>
      </c>
      <c r="AC180" s="219">
        <f t="shared" ref="AC180" si="160">+AB180</f>
        <v>0</v>
      </c>
      <c r="AD180" s="216"/>
      <c r="AE180" s="222">
        <f>+'Plan de Accion apoyo transversa'!BX169</f>
        <v>0</v>
      </c>
      <c r="AF180" s="253" t="str">
        <f>+'Plan de Accion apoyo transversa'!CK169</f>
        <v>No Prog ni Ejec</v>
      </c>
      <c r="AG180" s="215" t="s">
        <v>204</v>
      </c>
      <c r="AH180" s="253">
        <f>+'Plan de Accion apoyo transversa'!CB169</f>
        <v>0</v>
      </c>
      <c r="AI180" s="214">
        <f t="shared" ref="AI180" si="161">IF(AH180&gt;100%,100%,AH180)</f>
        <v>0</v>
      </c>
      <c r="AJ180" s="561"/>
      <c r="AK180" s="240"/>
      <c r="AL180" s="563"/>
      <c r="AM180" s="559"/>
      <c r="AN180" s="207"/>
      <c r="AO180" s="243"/>
      <c r="AP180" s="559"/>
      <c r="AQ180" s="207"/>
      <c r="AR180" s="563"/>
      <c r="AS180" s="559"/>
      <c r="AT180" s="207"/>
      <c r="AU180" s="563"/>
      <c r="AV180" s="559"/>
      <c r="AW180" s="205"/>
      <c r="AX180" s="560"/>
      <c r="AY180" s="239"/>
      <c r="AZ180" s="563"/>
      <c r="BA180" s="559"/>
      <c r="BB180" s="207"/>
      <c r="BC180" s="243"/>
      <c r="BD180" s="559"/>
      <c r="BE180" s="207"/>
      <c r="BF180" s="563"/>
      <c r="BG180" s="559"/>
      <c r="BH180" s="207"/>
      <c r="BI180" s="563"/>
      <c r="BJ180" s="559"/>
      <c r="BK180" s="205"/>
      <c r="BL180" s="560"/>
      <c r="BN180" s="563"/>
      <c r="BO180" s="559"/>
      <c r="BP180" s="207"/>
      <c r="BQ180" s="243"/>
      <c r="BR180" s="559"/>
      <c r="BS180" s="207"/>
      <c r="BT180" s="563"/>
      <c r="BU180" s="559"/>
      <c r="BV180" s="207"/>
      <c r="BW180" s="563"/>
      <c r="BX180" s="559"/>
      <c r="BY180" s="205"/>
      <c r="BZ180" s="560"/>
      <c r="CB180" s="563"/>
      <c r="CC180" s="559"/>
      <c r="CD180" s="207"/>
      <c r="CE180" s="243"/>
      <c r="CF180" s="559"/>
      <c r="CG180" s="207"/>
      <c r="CH180" s="563"/>
      <c r="CI180" s="559"/>
      <c r="CJ180" s="207"/>
      <c r="CK180" s="563"/>
      <c r="CL180" s="559"/>
      <c r="CM180" s="205"/>
      <c r="CN180" s="560"/>
    </row>
    <row r="181" spans="2:92" ht="75" customHeight="1" x14ac:dyDescent="0.2">
      <c r="B181" s="1372"/>
      <c r="C181" s="1314"/>
      <c r="D181" s="1325"/>
      <c r="E181" s="1321"/>
      <c r="F181" s="1318"/>
      <c r="G181" s="322" t="str">
        <f>+'Plan de Accion apoyo transversa'!X170</f>
        <v>Actividades de relacionamiento y rendición de cuentas realizadas</v>
      </c>
      <c r="H181" s="218" t="str">
        <f>+'Plan de Accion apoyo transversa'!AK170</f>
        <v># Actividades de relacionamiento y rendición de cuentas realizadas</v>
      </c>
      <c r="J181" s="221">
        <f>+'Plan de Accion apoyo transversa'!AT170</f>
        <v>1</v>
      </c>
      <c r="K181" s="483">
        <f>+'Plan de Accion apoyo transversa'!CE170</f>
        <v>1</v>
      </c>
      <c r="L181" s="483">
        <f>IF(K181&gt;100%,100%,K181)</f>
        <v>1</v>
      </c>
      <c r="M181" s="483">
        <f>+'Plan de Accion apoyo transversa'!AX170</f>
        <v>0.25</v>
      </c>
      <c r="N181" s="483">
        <f t="shared" si="103"/>
        <v>0.25</v>
      </c>
      <c r="O181" s="485">
        <f>+N181</f>
        <v>0.25</v>
      </c>
      <c r="P181" s="216"/>
      <c r="Q181" s="221">
        <f>+'Plan de Accion apoyo transversa'!BD170</f>
        <v>1</v>
      </c>
      <c r="R181" s="253">
        <f>+'Plan de Accion apoyo transversa'!CG170</f>
        <v>1</v>
      </c>
      <c r="S181" s="215">
        <f>IF(R181&gt;100%,100%,R181)</f>
        <v>1</v>
      </c>
      <c r="T181" s="311">
        <f>+'Plan de Accion apoyo transversa'!BH170</f>
        <v>0.5</v>
      </c>
      <c r="U181" s="311">
        <f t="shared" si="146"/>
        <v>0.5</v>
      </c>
      <c r="V181" s="214">
        <f>+U181</f>
        <v>0.5</v>
      </c>
      <c r="W181" s="216"/>
      <c r="X181" s="221">
        <f>+'Plan de Accion apoyo transversa'!BN170</f>
        <v>1</v>
      </c>
      <c r="Y181" s="253">
        <f>+'Plan de Accion apoyo transversa'!CI170</f>
        <v>1</v>
      </c>
      <c r="Z181" s="215">
        <f t="shared" si="142"/>
        <v>1</v>
      </c>
      <c r="AA181" s="220">
        <f>+'Plan de Accion apoyo transversa'!BR170</f>
        <v>0.75</v>
      </c>
      <c r="AB181" s="220">
        <f t="shared" si="147"/>
        <v>0.75</v>
      </c>
      <c r="AC181" s="219">
        <f t="shared" si="148"/>
        <v>0.75</v>
      </c>
      <c r="AD181" s="216"/>
      <c r="AE181" s="222">
        <f>+'Plan de Accion apoyo transversa'!BX170</f>
        <v>0</v>
      </c>
      <c r="AF181" s="253">
        <f>+'Plan de Accion apoyo transversa'!CK170</f>
        <v>0</v>
      </c>
      <c r="AG181" s="215">
        <f t="shared" ref="AG181:AG194" si="162">IF(AF181&gt;100%,100%,AF181)</f>
        <v>0</v>
      </c>
      <c r="AH181" s="253">
        <f>+'Plan de Accion apoyo transversa'!CB170</f>
        <v>0.75</v>
      </c>
      <c r="AI181" s="214">
        <f t="shared" si="149"/>
        <v>0.75</v>
      </c>
      <c r="AJ181" s="213"/>
      <c r="AK181" s="240"/>
      <c r="AL181" s="242"/>
      <c r="AM181" s="210"/>
      <c r="AN181" s="207"/>
      <c r="AO181" s="243"/>
      <c r="AP181" s="210"/>
      <c r="AQ181" s="207"/>
      <c r="AR181" s="242"/>
      <c r="AS181" s="210"/>
      <c r="AT181" s="207"/>
      <c r="AU181" s="242"/>
      <c r="AV181" s="210"/>
      <c r="AW181" s="205"/>
      <c r="AX181" s="209"/>
      <c r="AY181" s="239"/>
      <c r="AZ181" s="242"/>
      <c r="BA181" s="210"/>
      <c r="BB181" s="207"/>
      <c r="BC181" s="243"/>
      <c r="BD181" s="210"/>
      <c r="BE181" s="207"/>
      <c r="BF181" s="242"/>
      <c r="BG181" s="210"/>
      <c r="BH181" s="207"/>
      <c r="BI181" s="242"/>
      <c r="BJ181" s="210"/>
      <c r="BK181" s="205"/>
      <c r="BL181" s="209"/>
      <c r="BN181" s="242"/>
      <c r="BO181" s="210"/>
      <c r="BP181" s="207"/>
      <c r="BQ181" s="243"/>
      <c r="BR181" s="210"/>
      <c r="BS181" s="207"/>
      <c r="BT181" s="242"/>
      <c r="BU181" s="210"/>
      <c r="BV181" s="207"/>
      <c r="BW181" s="242"/>
      <c r="BX181" s="210"/>
      <c r="BY181" s="205"/>
      <c r="BZ181" s="209"/>
      <c r="CB181" s="242"/>
      <c r="CC181" s="210"/>
      <c r="CD181" s="207"/>
      <c r="CE181" s="243"/>
      <c r="CF181" s="210"/>
      <c r="CG181" s="207"/>
      <c r="CH181" s="242"/>
      <c r="CI181" s="210"/>
      <c r="CJ181" s="207"/>
      <c r="CK181" s="242"/>
      <c r="CL181" s="210"/>
      <c r="CM181" s="205"/>
      <c r="CN181" s="209"/>
    </row>
    <row r="182" spans="2:92" ht="71.25" x14ac:dyDescent="0.2">
      <c r="B182" s="1372"/>
      <c r="C182" s="1314"/>
      <c r="D182" s="304" t="s">
        <v>204</v>
      </c>
      <c r="E182" s="322" t="s">
        <v>3</v>
      </c>
      <c r="F182" s="307" t="s">
        <v>330</v>
      </c>
      <c r="G182" s="322" t="str">
        <f>+'Plan de Accion apoyo transversa'!X46</f>
        <v>Entrega de Informes de Evaluación y Seguimiento de los Requerimientos Legales Externos en el marco de la normatividad vigente</v>
      </c>
      <c r="H182" s="218" t="str">
        <f>+'Plan de Accion apoyo transversa'!AK46</f>
        <v># de Informes Legales Externos presentados en cada trimestre Indicador Variable acumulado y de eficacia</v>
      </c>
      <c r="J182" s="221">
        <f>+'Plan de Accion apoyo transversa'!AT46</f>
        <v>8</v>
      </c>
      <c r="K182" s="483">
        <f>+'Plan de Accion apoyo transversa'!CE46</f>
        <v>1</v>
      </c>
      <c r="L182" s="483">
        <f>IF(K182&gt;100%,100%,K182)</f>
        <v>1</v>
      </c>
      <c r="M182" s="483">
        <f>+'Plan de Accion apoyo transversa'!AX46</f>
        <v>0.44444444444444442</v>
      </c>
      <c r="N182" s="483">
        <f t="shared" si="103"/>
        <v>0.44444444444444442</v>
      </c>
      <c r="O182" s="485">
        <f>+N182</f>
        <v>0.44444444444444442</v>
      </c>
      <c r="P182" s="216"/>
      <c r="Q182" s="221">
        <f>+'Plan de Accion apoyo transversa'!BD46</f>
        <v>4</v>
      </c>
      <c r="R182" s="253">
        <f>+'Plan de Accion apoyo transversa'!CG46</f>
        <v>1</v>
      </c>
      <c r="S182" s="215">
        <f>IF(R182&gt;100%,100%,R182)</f>
        <v>1</v>
      </c>
      <c r="T182" s="311">
        <f>+'Plan de Accion apoyo transversa'!BH46</f>
        <v>0.66666666666666663</v>
      </c>
      <c r="U182" s="311">
        <f t="shared" ref="U182:U187" si="163">IF(T182&gt;100%,100%,T182)</f>
        <v>0.66666666666666663</v>
      </c>
      <c r="V182" s="214">
        <f>+U182</f>
        <v>0.66666666666666663</v>
      </c>
      <c r="W182" s="216"/>
      <c r="X182" s="221">
        <f>+'Plan de Accion apoyo transversa'!BN46</f>
        <v>5</v>
      </c>
      <c r="Y182" s="253">
        <f>+'Plan de Accion apoyo transversa'!CI46</f>
        <v>1</v>
      </c>
      <c r="Z182" s="215">
        <f>IF(Y182&gt;100%,100%,Y182)</f>
        <v>1</v>
      </c>
      <c r="AA182" s="220">
        <f>+'Plan de Accion apoyo transversa'!BR46</f>
        <v>0.94444444444444442</v>
      </c>
      <c r="AB182" s="220">
        <f t="shared" ref="AB182:AB187" si="164">IF(AA182&gt;100%,100%,AA182)</f>
        <v>0.94444444444444442</v>
      </c>
      <c r="AC182" s="219">
        <f>+AB182</f>
        <v>0.94444444444444442</v>
      </c>
      <c r="AD182" s="216"/>
      <c r="AE182" s="222">
        <f>+'Plan de Accion apoyo transversa'!BX46</f>
        <v>0</v>
      </c>
      <c r="AF182" s="253">
        <f>+'Plan de Accion apoyo transversa'!CK46</f>
        <v>0</v>
      </c>
      <c r="AG182" s="215">
        <f t="shared" si="162"/>
        <v>0</v>
      </c>
      <c r="AH182" s="253">
        <f>+'Plan de Accion apoyo transversa'!CB46</f>
        <v>0.94444444444444442</v>
      </c>
      <c r="AI182" s="214">
        <f t="shared" ref="AI182:AI187" si="165">IF(AH182&gt;100%,100%,AH182)</f>
        <v>0.94444444444444442</v>
      </c>
      <c r="AJ182" s="233"/>
      <c r="AK182" s="240"/>
      <c r="AL182" s="1410"/>
      <c r="AM182" s="1410"/>
      <c r="AN182" s="207"/>
      <c r="AO182" s="1439"/>
      <c r="AP182" s="1410"/>
      <c r="AQ182" s="207"/>
      <c r="AR182" s="1410"/>
      <c r="AS182" s="1410"/>
      <c r="AT182" s="207"/>
      <c r="AU182" s="1410"/>
      <c r="AV182" s="1410"/>
      <c r="AW182" s="205"/>
      <c r="AX182" s="232"/>
      <c r="AY182" s="239"/>
      <c r="AZ182" s="1410"/>
      <c r="BA182" s="1410"/>
      <c r="BB182" s="207"/>
      <c r="BC182" s="1439"/>
      <c r="BD182" s="1410"/>
      <c r="BE182" s="207"/>
      <c r="BF182" s="1410"/>
      <c r="BG182" s="1410"/>
      <c r="BH182" s="207"/>
      <c r="BI182" s="1410"/>
      <c r="BJ182" s="1410"/>
      <c r="BK182" s="205"/>
      <c r="BL182" s="232"/>
      <c r="BN182" s="1410"/>
      <c r="BO182" s="1410"/>
      <c r="BP182" s="207"/>
      <c r="BQ182" s="1439"/>
      <c r="BR182" s="1410"/>
      <c r="BS182" s="207"/>
      <c r="BT182" s="1410"/>
      <c r="BU182" s="1410"/>
      <c r="BV182" s="207"/>
      <c r="BW182" s="1410"/>
      <c r="BX182" s="1410"/>
      <c r="BY182" s="205"/>
      <c r="BZ182" s="232"/>
      <c r="CB182" s="1410"/>
      <c r="CC182" s="1410"/>
      <c r="CD182" s="207"/>
      <c r="CE182" s="1439"/>
      <c r="CF182" s="1410"/>
      <c r="CG182" s="207"/>
      <c r="CH182" s="1410"/>
      <c r="CI182" s="1410"/>
      <c r="CJ182" s="207"/>
      <c r="CK182" s="1410"/>
      <c r="CL182" s="1410"/>
      <c r="CM182" s="205"/>
      <c r="CN182" s="232"/>
    </row>
    <row r="183" spans="2:92" ht="71.25" x14ac:dyDescent="0.25">
      <c r="B183" s="1372"/>
      <c r="C183" s="1314"/>
      <c r="D183" s="1351" t="s">
        <v>204</v>
      </c>
      <c r="E183" s="1316" t="s">
        <v>14</v>
      </c>
      <c r="F183" s="345" t="s">
        <v>1182</v>
      </c>
      <c r="G183" s="295" t="str">
        <f>+'Plan de Accion apoyo transversa'!X64</f>
        <v>Rendición de Cuentas del Sistema de Seguridad y Salud en el Trabajo a todos los niveles de la Entidad  realizada</v>
      </c>
      <c r="H183" s="227" t="str">
        <f>+'Plan de Accion apoyo transversa'!AK64</f>
        <v># de actividades realizadas</v>
      </c>
      <c r="I183" s="241"/>
      <c r="J183" s="221">
        <f>+'Plan de Accion apoyo transversa'!AT64</f>
        <v>0</v>
      </c>
      <c r="K183" s="483" t="str">
        <f>+'Plan de Accion apoyo transversa'!CE64</f>
        <v>No Prog ni Ejec</v>
      </c>
      <c r="L183" s="483" t="s">
        <v>204</v>
      </c>
      <c r="M183" s="483">
        <f>+'Plan de Accion apoyo transversa'!AX64</f>
        <v>0</v>
      </c>
      <c r="N183" s="483">
        <f t="shared" si="103"/>
        <v>0</v>
      </c>
      <c r="O183" s="485" t="s">
        <v>204</v>
      </c>
      <c r="P183" s="216"/>
      <c r="Q183" s="221">
        <f>+'Plan de Accion apoyo transversa'!BD64</f>
        <v>0</v>
      </c>
      <c r="R183" s="253" t="str">
        <f>+'Plan de Accion apoyo transversa'!CG64</f>
        <v>No Prog ni Ejec</v>
      </c>
      <c r="S183" s="215" t="s">
        <v>204</v>
      </c>
      <c r="T183" s="311">
        <f>+'Plan de Accion apoyo transversa'!BH64</f>
        <v>0</v>
      </c>
      <c r="U183" s="311">
        <f t="shared" si="163"/>
        <v>0</v>
      </c>
      <c r="V183" s="214" t="s">
        <v>204</v>
      </c>
      <c r="W183" s="216"/>
      <c r="X183" s="221">
        <f>+'Plan de Accion apoyo transversa'!BN64</f>
        <v>0</v>
      </c>
      <c r="Y183" s="253" t="str">
        <f>+'Plan de Accion apoyo transversa'!CI64</f>
        <v>No Prog ni Ejec</v>
      </c>
      <c r="Z183" s="215" t="s">
        <v>204</v>
      </c>
      <c r="AA183" s="220">
        <f>+'Plan de Accion apoyo transversa'!BR64</f>
        <v>0</v>
      </c>
      <c r="AB183" s="220">
        <f t="shared" si="164"/>
        <v>0</v>
      </c>
      <c r="AC183" s="219" t="s">
        <v>204</v>
      </c>
      <c r="AD183" s="216"/>
      <c r="AE183" s="222">
        <f>+'Plan de Accion apoyo transversa'!BX64</f>
        <v>0</v>
      </c>
      <c r="AF183" s="253">
        <f>+'Plan de Accion apoyo transversa'!CK64</f>
        <v>0</v>
      </c>
      <c r="AG183" s="215">
        <f t="shared" si="162"/>
        <v>0</v>
      </c>
      <c r="AH183" s="253">
        <f>+'Plan de Accion apoyo transversa'!CB64</f>
        <v>0</v>
      </c>
      <c r="AI183" s="214">
        <f t="shared" si="165"/>
        <v>0</v>
      </c>
      <c r="AJ183" s="233"/>
      <c r="AK183" s="240"/>
      <c r="AL183" s="1410"/>
      <c r="AM183" s="1410"/>
      <c r="AN183" s="207"/>
      <c r="AO183" s="1439"/>
      <c r="AP183" s="1410"/>
      <c r="AQ183" s="207"/>
      <c r="AR183" s="1410"/>
      <c r="AS183" s="1410"/>
      <c r="AT183" s="207"/>
      <c r="AU183" s="1410"/>
      <c r="AV183" s="1410"/>
      <c r="AW183" s="205"/>
      <c r="AX183" s="232"/>
      <c r="AY183" s="239"/>
      <c r="AZ183" s="1410"/>
      <c r="BA183" s="1410"/>
      <c r="BB183" s="207"/>
      <c r="BC183" s="1439"/>
      <c r="BD183" s="1410"/>
      <c r="BE183" s="207"/>
      <c r="BF183" s="1410"/>
      <c r="BG183" s="1410"/>
      <c r="BH183" s="207"/>
      <c r="BI183" s="1410"/>
      <c r="BJ183" s="1410"/>
      <c r="BK183" s="205"/>
      <c r="BL183" s="232"/>
      <c r="BN183" s="1410"/>
      <c r="BO183" s="1410"/>
      <c r="BP183" s="207"/>
      <c r="BQ183" s="1439"/>
      <c r="BR183" s="1410"/>
      <c r="BS183" s="207"/>
      <c r="BT183" s="1410"/>
      <c r="BU183" s="1410"/>
      <c r="BV183" s="207"/>
      <c r="BW183" s="1410"/>
      <c r="BX183" s="1410"/>
      <c r="BY183" s="205"/>
      <c r="BZ183" s="232"/>
      <c r="CB183" s="1410"/>
      <c r="CC183" s="1410"/>
      <c r="CD183" s="207"/>
      <c r="CE183" s="1439"/>
      <c r="CF183" s="1410"/>
      <c r="CG183" s="207"/>
      <c r="CH183" s="1410"/>
      <c r="CI183" s="1410"/>
      <c r="CJ183" s="207"/>
      <c r="CK183" s="1410"/>
      <c r="CL183" s="1410"/>
      <c r="CM183" s="205"/>
      <c r="CN183" s="232"/>
    </row>
    <row r="184" spans="2:92" ht="71.25" x14ac:dyDescent="0.25">
      <c r="B184" s="1372"/>
      <c r="C184" s="1314"/>
      <c r="D184" s="1352"/>
      <c r="E184" s="1317"/>
      <c r="F184" s="1316" t="s">
        <v>330</v>
      </c>
      <c r="G184" s="295" t="str">
        <f>+'Plan de Accion apoyo transversa'!X121</f>
        <v>Sistema de Gestión de PQRSD- CRM con funcionalidades para medir tiempos de atención y satisfacción del usuario</v>
      </c>
      <c r="H184" s="227" t="str">
        <f>+'Plan de Accion apoyo transversa'!AK121</f>
        <v># funcionalidades del Sistema de Gestión de PQRSD- CRM implementadas para medir tiempos de atención y satisfacción del usuario.</v>
      </c>
      <c r="I184" s="241"/>
      <c r="J184" s="221">
        <f>+'Plan de Accion apoyo transversa'!AT121</f>
        <v>0</v>
      </c>
      <c r="K184" s="483" t="str">
        <f>+'Plan de Accion apoyo transversa'!CE121</f>
        <v>No Prog ni Ejec</v>
      </c>
      <c r="L184" s="483" t="s">
        <v>204</v>
      </c>
      <c r="M184" s="483">
        <f>+'Plan de Accion apoyo transversa'!AX121</f>
        <v>0</v>
      </c>
      <c r="N184" s="483">
        <f t="shared" si="103"/>
        <v>0</v>
      </c>
      <c r="O184" s="485" t="s">
        <v>204</v>
      </c>
      <c r="P184" s="216"/>
      <c r="Q184" s="221">
        <f>+'Plan de Accion apoyo transversa'!BD121</f>
        <v>0</v>
      </c>
      <c r="R184" s="253" t="str">
        <f>+'Plan de Accion apoyo transversa'!CG121</f>
        <v>No Prog ni Ejec</v>
      </c>
      <c r="S184" s="215" t="s">
        <v>204</v>
      </c>
      <c r="T184" s="311">
        <f>+'Plan de Accion apoyo transversa'!BH121</f>
        <v>0</v>
      </c>
      <c r="U184" s="311">
        <f t="shared" si="163"/>
        <v>0</v>
      </c>
      <c r="V184" s="214" t="s">
        <v>204</v>
      </c>
      <c r="W184" s="216"/>
      <c r="X184" s="221">
        <f>+'Plan de Accion apoyo transversa'!BN121</f>
        <v>0</v>
      </c>
      <c r="Y184" s="253" t="str">
        <f>+'Plan de Accion apoyo transversa'!CI121</f>
        <v>No Prog ni Ejec</v>
      </c>
      <c r="Z184" s="215">
        <f>IF(Y184&gt;100%,100%,Y184)</f>
        <v>1</v>
      </c>
      <c r="AA184" s="220">
        <f>+'Plan de Accion apoyo transversa'!BR121</f>
        <v>0</v>
      </c>
      <c r="AB184" s="220">
        <f t="shared" si="164"/>
        <v>0</v>
      </c>
      <c r="AC184" s="219">
        <f>+AB184</f>
        <v>0</v>
      </c>
      <c r="AD184" s="216"/>
      <c r="AE184" s="222">
        <f>+'Plan de Accion apoyo transversa'!BX121</f>
        <v>0</v>
      </c>
      <c r="AF184" s="253">
        <f>+'Plan de Accion apoyo transversa'!CK121</f>
        <v>0</v>
      </c>
      <c r="AG184" s="215" t="s">
        <v>204</v>
      </c>
      <c r="AH184" s="253">
        <f>+'Plan de Accion apoyo transversa'!CB121</f>
        <v>0</v>
      </c>
      <c r="AI184" s="214">
        <f t="shared" si="165"/>
        <v>0</v>
      </c>
      <c r="AJ184" s="233"/>
      <c r="AK184" s="240"/>
      <c r="AL184" s="1410"/>
      <c r="AM184" s="1410"/>
      <c r="AN184" s="207"/>
      <c r="AO184" s="1439"/>
      <c r="AP184" s="1410"/>
      <c r="AQ184" s="207"/>
      <c r="AR184" s="1410"/>
      <c r="AS184" s="1410"/>
      <c r="AT184" s="207"/>
      <c r="AU184" s="1410"/>
      <c r="AV184" s="1410"/>
      <c r="AW184" s="205"/>
      <c r="AX184" s="232"/>
      <c r="AY184" s="239"/>
      <c r="AZ184" s="1410"/>
      <c r="BA184" s="1410"/>
      <c r="BB184" s="207"/>
      <c r="BC184" s="1439"/>
      <c r="BD184" s="1410"/>
      <c r="BE184" s="207"/>
      <c r="BF184" s="1410"/>
      <c r="BG184" s="1410"/>
      <c r="BH184" s="207"/>
      <c r="BI184" s="1410"/>
      <c r="BJ184" s="1410"/>
      <c r="BK184" s="205"/>
      <c r="BL184" s="232"/>
      <c r="BN184" s="1410"/>
      <c r="BO184" s="1410"/>
      <c r="BP184" s="207"/>
      <c r="BQ184" s="1439"/>
      <c r="BR184" s="1410"/>
      <c r="BS184" s="207"/>
      <c r="BT184" s="1410"/>
      <c r="BU184" s="1410"/>
      <c r="BV184" s="207"/>
      <c r="BW184" s="1410"/>
      <c r="BX184" s="1410"/>
      <c r="BY184" s="205"/>
      <c r="BZ184" s="232"/>
      <c r="CB184" s="1410"/>
      <c r="CC184" s="1410"/>
      <c r="CD184" s="207"/>
      <c r="CE184" s="1439"/>
      <c r="CF184" s="1410"/>
      <c r="CG184" s="207"/>
      <c r="CH184" s="1410"/>
      <c r="CI184" s="1410"/>
      <c r="CJ184" s="207"/>
      <c r="CK184" s="1410"/>
      <c r="CL184" s="1410"/>
      <c r="CM184" s="205"/>
      <c r="CN184" s="232"/>
    </row>
    <row r="185" spans="2:92" ht="121.5" customHeight="1" x14ac:dyDescent="0.25">
      <c r="B185" s="1372"/>
      <c r="C185" s="1314"/>
      <c r="D185" s="1352"/>
      <c r="E185" s="1317"/>
      <c r="F185" s="1318"/>
      <c r="G185" s="295" t="str">
        <f>+'Plan de Accion apoyo transversa'!X122</f>
        <v>Gestión de Servicio al ciudadano de la entidad  por los diferentes canales  de atención.</v>
      </c>
      <c r="H185" s="227" t="str">
        <f>+'Plan de Accion apoyo transversa'!AK122</f>
        <v># llamadas atendidas / # llamadas entrantes</v>
      </c>
      <c r="I185" s="241"/>
      <c r="J185" s="217">
        <f>+'Plan de Accion apoyo transversa'!AT122</f>
        <v>0.19645477937672737</v>
      </c>
      <c r="K185" s="483">
        <f>+'Plan de Accion apoyo transversa'!CE122</f>
        <v>0.98227389688363675</v>
      </c>
      <c r="L185" s="483">
        <f>IF(K185&gt;100%,100%,K185)</f>
        <v>0.98227389688363675</v>
      </c>
      <c r="M185" s="483">
        <f>+'Plan de Accion apoyo transversa'!AX122</f>
        <v>0.24556847422090919</v>
      </c>
      <c r="N185" s="483">
        <f t="shared" si="103"/>
        <v>0.24556847422090919</v>
      </c>
      <c r="O185" s="485">
        <f>+N185</f>
        <v>0.24556847422090919</v>
      </c>
      <c r="P185" s="216"/>
      <c r="Q185" s="217">
        <f>+'Plan de Accion apoyo transversa'!BD122</f>
        <v>0.19279279279279282</v>
      </c>
      <c r="R185" s="253">
        <f>+'Plan de Accion apoyo transversa'!CG122</f>
        <v>0.96396396396396411</v>
      </c>
      <c r="S185" s="215">
        <f>IF(R185&gt;100%,100%,R185)</f>
        <v>0.96396396396396411</v>
      </c>
      <c r="T185" s="311">
        <f>+'Plan de Accion apoyo transversa'!BH122</f>
        <v>0.48655946521190024</v>
      </c>
      <c r="U185" s="311">
        <f t="shared" si="163"/>
        <v>0.48655946521190024</v>
      </c>
      <c r="V185" s="214">
        <f>+U185</f>
        <v>0.48655946521190024</v>
      </c>
      <c r="W185" s="216"/>
      <c r="X185" s="217">
        <f>+'Plan de Accion apoyo transversa'!BN122</f>
        <v>0.18680832226648961</v>
      </c>
      <c r="Y185" s="253">
        <f>+'Plan de Accion apoyo transversa'!CI122</f>
        <v>0.93404161133244801</v>
      </c>
      <c r="Z185" s="215">
        <f>IF(Y185&gt;100%,100%,Y185)</f>
        <v>0.93404161133244801</v>
      </c>
      <c r="AA185" s="220">
        <f>+'Plan de Accion apoyo transversa'!BR122</f>
        <v>0.72006986804501216</v>
      </c>
      <c r="AB185" s="220">
        <f t="shared" si="164"/>
        <v>0.72006986804501216</v>
      </c>
      <c r="AC185" s="219">
        <f>+AB185</f>
        <v>0.72006986804501216</v>
      </c>
      <c r="AD185" s="216"/>
      <c r="AE185" s="217">
        <f>+'Plan de Accion apoyo transversa'!BX122</f>
        <v>0</v>
      </c>
      <c r="AF185" s="253">
        <f>+'Plan de Accion apoyo transversa'!CK122</f>
        <v>0</v>
      </c>
      <c r="AG185" s="215">
        <f t="shared" si="162"/>
        <v>0</v>
      </c>
      <c r="AH185" s="253">
        <f>+'Plan de Accion apoyo transversa'!CB122</f>
        <v>0.72006986804501216</v>
      </c>
      <c r="AI185" s="214">
        <f t="shared" si="165"/>
        <v>0.72006986804501216</v>
      </c>
      <c r="AJ185" s="233"/>
      <c r="AK185" s="240"/>
      <c r="AL185" s="1410"/>
      <c r="AM185" s="1410"/>
      <c r="AN185" s="207"/>
      <c r="AO185" s="1439"/>
      <c r="AP185" s="1410"/>
      <c r="AQ185" s="207"/>
      <c r="AR185" s="1410"/>
      <c r="AS185" s="1410"/>
      <c r="AT185" s="207"/>
      <c r="AU185" s="1410"/>
      <c r="AV185" s="1410"/>
      <c r="AW185" s="205"/>
      <c r="AX185" s="232"/>
      <c r="AY185" s="239"/>
      <c r="AZ185" s="1410"/>
      <c r="BA185" s="1410"/>
      <c r="BB185" s="207"/>
      <c r="BC185" s="1439"/>
      <c r="BD185" s="1410"/>
      <c r="BE185" s="207"/>
      <c r="BF185" s="1410"/>
      <c r="BG185" s="1410"/>
      <c r="BH185" s="207"/>
      <c r="BI185" s="1410"/>
      <c r="BJ185" s="1410"/>
      <c r="BK185" s="205"/>
      <c r="BL185" s="232"/>
      <c r="BN185" s="1410"/>
      <c r="BO185" s="1410"/>
      <c r="BP185" s="207"/>
      <c r="BQ185" s="1439"/>
      <c r="BR185" s="1410"/>
      <c r="BS185" s="207"/>
      <c r="BT185" s="1410"/>
      <c r="BU185" s="1410"/>
      <c r="BV185" s="207"/>
      <c r="BW185" s="1410"/>
      <c r="BX185" s="1410"/>
      <c r="BY185" s="205"/>
      <c r="BZ185" s="232"/>
      <c r="CB185" s="1410"/>
      <c r="CC185" s="1410"/>
      <c r="CD185" s="207"/>
      <c r="CE185" s="1439"/>
      <c r="CF185" s="1410"/>
      <c r="CG185" s="207"/>
      <c r="CH185" s="1410"/>
      <c r="CI185" s="1410"/>
      <c r="CJ185" s="207"/>
      <c r="CK185" s="1410"/>
      <c r="CL185" s="1410"/>
      <c r="CM185" s="205"/>
      <c r="CN185" s="232"/>
    </row>
    <row r="186" spans="2:92" ht="66.75" customHeight="1" x14ac:dyDescent="0.25">
      <c r="B186" s="1372"/>
      <c r="C186" s="1314"/>
      <c r="D186" s="1352"/>
      <c r="E186" s="1317"/>
      <c r="F186" s="922" t="s">
        <v>529</v>
      </c>
      <c r="G186" s="295" t="str">
        <f>+'Plan de Accion apoyo transversa'!X182</f>
        <v>Solicitudes de autorización para el tratamiento de datos personales</v>
      </c>
      <c r="H186" s="227" t="str">
        <f>+'Plan de Accion apoyo transversa'!AK182</f>
        <v># Solicitudes desarrolladas e implementadas/ #solicitudes definidas</v>
      </c>
      <c r="I186" s="241"/>
      <c r="J186" s="217">
        <f>+'Plan de Accion apoyo transversa'!AT182</f>
        <v>0</v>
      </c>
      <c r="K186" s="522" t="str">
        <f>+'Plan de Accion apoyo transversa'!CE182</f>
        <v>No Prog ni Ejec</v>
      </c>
      <c r="L186" s="522" t="s">
        <v>204</v>
      </c>
      <c r="M186" s="522">
        <f>+'Plan de Accion apoyo transversa'!AX182</f>
        <v>0</v>
      </c>
      <c r="N186" s="522">
        <f>IF(M186&gt;100%,100%,M186)</f>
        <v>0</v>
      </c>
      <c r="O186" s="523" t="s">
        <v>204</v>
      </c>
      <c r="P186" s="216"/>
      <c r="Q186" s="217">
        <f>+'Plan de Accion apoyo transversa'!BD182</f>
        <v>0</v>
      </c>
      <c r="R186" s="253" t="str">
        <f>+'Plan de Accion apoyo transversa'!CG182</f>
        <v>No Prog ni Ejec</v>
      </c>
      <c r="S186" s="215" t="s">
        <v>204</v>
      </c>
      <c r="T186" s="522">
        <f>+'Plan de Accion apoyo transversa'!BH182</f>
        <v>0</v>
      </c>
      <c r="U186" s="522">
        <f t="shared" si="163"/>
        <v>0</v>
      </c>
      <c r="V186" s="214" t="s">
        <v>204</v>
      </c>
      <c r="W186" s="216"/>
      <c r="X186" s="217">
        <f>+'Plan de Accion apoyo transversa'!BN182</f>
        <v>0</v>
      </c>
      <c r="Y186" s="253">
        <f>+'Plan de Accion apoyo transversa'!CI182</f>
        <v>0</v>
      </c>
      <c r="Z186" s="215">
        <f>IF(Y186&gt;100%,100%,Y186)</f>
        <v>0</v>
      </c>
      <c r="AA186" s="220">
        <f>+'Plan de Accion apoyo transversa'!BR182</f>
        <v>0</v>
      </c>
      <c r="AB186" s="220">
        <f t="shared" si="164"/>
        <v>0</v>
      </c>
      <c r="AC186" s="219">
        <f>+AB186</f>
        <v>0</v>
      </c>
      <c r="AD186" s="216"/>
      <c r="AE186" s="217">
        <f>+'Plan de Accion apoyo transversa'!BX182</f>
        <v>0</v>
      </c>
      <c r="AF186" s="253">
        <f>+'Plan de Accion apoyo transversa'!CK182</f>
        <v>0</v>
      </c>
      <c r="AG186" s="215">
        <f t="shared" si="162"/>
        <v>0</v>
      </c>
      <c r="AH186" s="253">
        <f>+'Plan de Accion apoyo transversa'!CB182</f>
        <v>0</v>
      </c>
      <c r="AI186" s="214">
        <f t="shared" si="165"/>
        <v>0</v>
      </c>
      <c r="AJ186" s="233"/>
      <c r="AK186" s="240"/>
      <c r="AL186" s="1410"/>
      <c r="AM186" s="1410"/>
      <c r="AN186" s="207"/>
      <c r="AO186" s="1439"/>
      <c r="AP186" s="1410"/>
      <c r="AQ186" s="207"/>
      <c r="AR186" s="1410"/>
      <c r="AS186" s="1410"/>
      <c r="AT186" s="207"/>
      <c r="AU186" s="1410"/>
      <c r="AV186" s="1410"/>
      <c r="AW186" s="205"/>
      <c r="AX186" s="232"/>
      <c r="AY186" s="239"/>
      <c r="AZ186" s="1410"/>
      <c r="BA186" s="1410"/>
      <c r="BB186" s="207"/>
      <c r="BC186" s="1439"/>
      <c r="BD186" s="1410"/>
      <c r="BE186" s="207"/>
      <c r="BF186" s="1410"/>
      <c r="BG186" s="1410"/>
      <c r="BH186" s="207"/>
      <c r="BI186" s="1410"/>
      <c r="BJ186" s="1410"/>
      <c r="BK186" s="205"/>
      <c r="BL186" s="232"/>
      <c r="BN186" s="1410"/>
      <c r="BO186" s="1410"/>
      <c r="BP186" s="207"/>
      <c r="BQ186" s="1439"/>
      <c r="BR186" s="1410"/>
      <c r="BS186" s="207"/>
      <c r="BT186" s="1410"/>
      <c r="BU186" s="1410"/>
      <c r="BV186" s="207"/>
      <c r="BW186" s="1410"/>
      <c r="BX186" s="1410"/>
      <c r="BY186" s="205"/>
      <c r="BZ186" s="232"/>
      <c r="CB186" s="1410"/>
      <c r="CC186" s="1410"/>
      <c r="CD186" s="207"/>
      <c r="CE186" s="1439"/>
      <c r="CF186" s="1410"/>
      <c r="CG186" s="207"/>
      <c r="CH186" s="1410"/>
      <c r="CI186" s="1410"/>
      <c r="CJ186" s="207"/>
      <c r="CK186" s="1410"/>
      <c r="CL186" s="1410"/>
      <c r="CM186" s="205"/>
      <c r="CN186" s="232"/>
    </row>
    <row r="187" spans="2:92" ht="114" x14ac:dyDescent="0.25">
      <c r="B187" s="1372"/>
      <c r="C187" s="1314"/>
      <c r="D187" s="1352"/>
      <c r="E187" s="1317"/>
      <c r="F187" s="1316" t="s">
        <v>336</v>
      </c>
      <c r="G187" s="295" t="str">
        <f>+'Plan de Accion apoyo transversa'!X125</f>
        <v>Cooperación Interinstitucional con el Ministerio de Salud para la implementación del CENTRO ESPECIALIZADO DE SERVICIO AL CIUDADANO para las Entidades del Sector Salud</v>
      </c>
      <c r="H187" s="227" t="str">
        <f>+'Plan de Accion apoyo transversa'!AK125</f>
        <v># Mesas de trabajo en las que ADRES participó / # mesas de trabajo convocadas</v>
      </c>
      <c r="I187" s="241"/>
      <c r="J187" s="217">
        <f>+'Plan de Accion apoyo transversa'!AT125</f>
        <v>0.25</v>
      </c>
      <c r="K187" s="483">
        <f>+'Plan de Accion apoyo transversa'!CE125</f>
        <v>1</v>
      </c>
      <c r="L187" s="483">
        <f>IF(K187&gt;100%,100%,K187)</f>
        <v>1</v>
      </c>
      <c r="M187" s="483">
        <f>+'Plan de Accion apoyo transversa'!AX125</f>
        <v>0.25</v>
      </c>
      <c r="N187" s="483">
        <f t="shared" si="103"/>
        <v>0.25</v>
      </c>
      <c r="O187" s="485">
        <f>+N187</f>
        <v>0.25</v>
      </c>
      <c r="P187" s="216"/>
      <c r="Q187" s="217">
        <f>+'Plan de Accion apoyo transversa'!BD125</f>
        <v>0.25</v>
      </c>
      <c r="R187" s="253">
        <f>+'Plan de Accion apoyo transversa'!CG125</f>
        <v>1</v>
      </c>
      <c r="S187" s="215">
        <f>IF(R187&gt;100%,100%,R187)</f>
        <v>1</v>
      </c>
      <c r="T187" s="311">
        <f>+'Plan de Accion apoyo transversa'!BH125</f>
        <v>0.5</v>
      </c>
      <c r="U187" s="311">
        <f t="shared" si="163"/>
        <v>0.5</v>
      </c>
      <c r="V187" s="214">
        <f>+U187</f>
        <v>0.5</v>
      </c>
      <c r="W187" s="216"/>
      <c r="X187" s="217">
        <f>+'Plan de Accion apoyo transversa'!BN125</f>
        <v>0.25</v>
      </c>
      <c r="Y187" s="253">
        <f>+'Plan de Accion apoyo transversa'!CI125</f>
        <v>1</v>
      </c>
      <c r="Z187" s="215">
        <f>IF(Y187&gt;100%,100%,Y187)</f>
        <v>1</v>
      </c>
      <c r="AA187" s="220">
        <f>+'Plan de Accion apoyo transversa'!BR125</f>
        <v>0.75</v>
      </c>
      <c r="AB187" s="220">
        <f t="shared" si="164"/>
        <v>0.75</v>
      </c>
      <c r="AC187" s="219">
        <f>+AB187</f>
        <v>0.75</v>
      </c>
      <c r="AD187" s="216"/>
      <c r="AE187" s="217">
        <f>+'Plan de Accion apoyo transversa'!BX125</f>
        <v>0</v>
      </c>
      <c r="AF187" s="253">
        <f>+'Plan de Accion apoyo transversa'!CK125</f>
        <v>0</v>
      </c>
      <c r="AG187" s="215">
        <f t="shared" si="162"/>
        <v>0</v>
      </c>
      <c r="AH187" s="253">
        <f>+'Plan de Accion apoyo transversa'!CB125</f>
        <v>0.75</v>
      </c>
      <c r="AI187" s="214">
        <f t="shared" si="165"/>
        <v>0.75</v>
      </c>
      <c r="AJ187" s="233"/>
      <c r="AK187" s="240"/>
      <c r="AL187" s="1410"/>
      <c r="AM187" s="1410"/>
      <c r="AN187" s="207"/>
      <c r="AO187" s="1439"/>
      <c r="AP187" s="1410"/>
      <c r="AQ187" s="207"/>
      <c r="AR187" s="1410"/>
      <c r="AS187" s="1410"/>
      <c r="AT187" s="207"/>
      <c r="AU187" s="1410"/>
      <c r="AV187" s="1410"/>
      <c r="AW187" s="205"/>
      <c r="AX187" s="232"/>
      <c r="AY187" s="239"/>
      <c r="AZ187" s="1410"/>
      <c r="BA187" s="1410"/>
      <c r="BB187" s="207"/>
      <c r="BC187" s="1439"/>
      <c r="BD187" s="1410"/>
      <c r="BE187" s="207"/>
      <c r="BF187" s="1410"/>
      <c r="BG187" s="1410"/>
      <c r="BH187" s="207"/>
      <c r="BI187" s="1410"/>
      <c r="BJ187" s="1410"/>
      <c r="BK187" s="205"/>
      <c r="BL187" s="232"/>
      <c r="BN187" s="1410"/>
      <c r="BO187" s="1410"/>
      <c r="BP187" s="207"/>
      <c r="BQ187" s="1439"/>
      <c r="BR187" s="1410"/>
      <c r="BS187" s="207"/>
      <c r="BT187" s="1410"/>
      <c r="BU187" s="1410"/>
      <c r="BV187" s="207"/>
      <c r="BW187" s="1410"/>
      <c r="BX187" s="1410"/>
      <c r="BY187" s="205"/>
      <c r="BZ187" s="232"/>
      <c r="CB187" s="1410"/>
      <c r="CC187" s="1410"/>
      <c r="CD187" s="207"/>
      <c r="CE187" s="1439"/>
      <c r="CF187" s="1410"/>
      <c r="CG187" s="207"/>
      <c r="CH187" s="1410"/>
      <c r="CI187" s="1410"/>
      <c r="CJ187" s="207"/>
      <c r="CK187" s="1410"/>
      <c r="CL187" s="1410"/>
      <c r="CM187" s="205"/>
      <c r="CN187" s="232"/>
    </row>
    <row r="188" spans="2:92" ht="90" customHeight="1" x14ac:dyDescent="0.25">
      <c r="B188" s="1372"/>
      <c r="C188" s="1314"/>
      <c r="D188" s="1352"/>
      <c r="E188" s="1317"/>
      <c r="F188" s="1317"/>
      <c r="G188" s="295" t="str">
        <f>+'Plan de Accion apoyo transversa'!X126</f>
        <v>Seguimiento a la calidad y lenguaje claro de las respuestas dadas por los funcionarios a las PQRSD radicadas en la Entidad y presentar recomendaciones a las áreas competentes.</v>
      </c>
      <c r="H188" s="227" t="str">
        <f>+'Plan de Accion apoyo transversa'!AK126</f>
        <v># Recomendaciones realizadas / # PQRSD evaluadas</v>
      </c>
      <c r="I188" s="241"/>
      <c r="J188" s="217">
        <f>+'Plan de Accion apoyo transversa'!AT126</f>
        <v>0.25</v>
      </c>
      <c r="K188" s="483">
        <f>+'Plan de Accion apoyo transversa'!CE126</f>
        <v>1</v>
      </c>
      <c r="L188" s="483">
        <f t="shared" ref="L188:L204" si="166">IF(K188&gt;100%,100%,K188)</f>
        <v>1</v>
      </c>
      <c r="M188" s="483">
        <f>+'Plan de Accion apoyo transversa'!AX126</f>
        <v>0.25</v>
      </c>
      <c r="N188" s="483">
        <f t="shared" si="103"/>
        <v>0.25</v>
      </c>
      <c r="O188" s="485">
        <f t="shared" ref="O188:O196" si="167">+N188</f>
        <v>0.25</v>
      </c>
      <c r="P188" s="216"/>
      <c r="Q188" s="217">
        <f>+'Plan de Accion apoyo transversa'!BD126</f>
        <v>0.25</v>
      </c>
      <c r="R188" s="253">
        <f>+'Plan de Accion apoyo transversa'!CG126</f>
        <v>1</v>
      </c>
      <c r="S188" s="215">
        <f t="shared" ref="S188:S201" si="168">IF(R188&gt;100%,100%,R188)</f>
        <v>1</v>
      </c>
      <c r="T188" s="311">
        <f>+'Plan de Accion apoyo transversa'!BH126</f>
        <v>0.5</v>
      </c>
      <c r="U188" s="311">
        <f t="shared" ref="U188:U205" si="169">IF(T188&gt;100%,100%,T188)</f>
        <v>0.5</v>
      </c>
      <c r="V188" s="214">
        <f t="shared" ref="V188:V204" si="170">+U188</f>
        <v>0.5</v>
      </c>
      <c r="W188" s="216"/>
      <c r="X188" s="217">
        <f>+'Plan de Accion apoyo transversa'!BN126</f>
        <v>0.25</v>
      </c>
      <c r="Y188" s="253">
        <f>+'Plan de Accion apoyo transversa'!CI126</f>
        <v>1</v>
      </c>
      <c r="Z188" s="215">
        <f t="shared" ref="Z188:Z193" si="171">IF(Y188&gt;100%,100%,Y188)</f>
        <v>1</v>
      </c>
      <c r="AA188" s="220">
        <f>+'Plan de Accion apoyo transversa'!BR126</f>
        <v>0.75</v>
      </c>
      <c r="AB188" s="220">
        <f t="shared" ref="AB188:AB205" si="172">IF(AA188&gt;100%,100%,AA188)</f>
        <v>0.75</v>
      </c>
      <c r="AC188" s="219">
        <f t="shared" ref="AC188:AC204" si="173">+AB188</f>
        <v>0.75</v>
      </c>
      <c r="AD188" s="216"/>
      <c r="AE188" s="217">
        <f>+'Plan de Accion apoyo transversa'!BX126</f>
        <v>0</v>
      </c>
      <c r="AF188" s="253">
        <f>+'Plan de Accion apoyo transversa'!CK126</f>
        <v>0</v>
      </c>
      <c r="AG188" s="215">
        <f t="shared" si="162"/>
        <v>0</v>
      </c>
      <c r="AH188" s="253">
        <f>+'Plan de Accion apoyo transversa'!CB126</f>
        <v>0.75</v>
      </c>
      <c r="AI188" s="214">
        <f t="shared" ref="AI188:AI205" si="174">IF(AH188&gt;100%,100%,AH188)</f>
        <v>0.75</v>
      </c>
      <c r="AJ188" s="233"/>
      <c r="AK188" s="240"/>
      <c r="AL188" s="1410"/>
      <c r="AM188" s="1410"/>
      <c r="AN188" s="207"/>
      <c r="AO188" s="1439"/>
      <c r="AP188" s="1410"/>
      <c r="AQ188" s="207"/>
      <c r="AR188" s="1410"/>
      <c r="AS188" s="1410"/>
      <c r="AT188" s="207"/>
      <c r="AU188" s="1410"/>
      <c r="AV188" s="1410"/>
      <c r="AW188" s="205"/>
      <c r="AX188" s="232"/>
      <c r="AY188" s="239"/>
      <c r="AZ188" s="1410"/>
      <c r="BA188" s="1410"/>
      <c r="BB188" s="207"/>
      <c r="BC188" s="1439"/>
      <c r="BD188" s="1410"/>
      <c r="BE188" s="207"/>
      <c r="BF188" s="1410"/>
      <c r="BG188" s="1410"/>
      <c r="BH188" s="207"/>
      <c r="BI188" s="1410"/>
      <c r="BJ188" s="1410"/>
      <c r="BK188" s="205"/>
      <c r="BL188" s="232"/>
      <c r="BN188" s="1410"/>
      <c r="BO188" s="1410"/>
      <c r="BP188" s="207"/>
      <c r="BQ188" s="1439"/>
      <c r="BR188" s="1410"/>
      <c r="BS188" s="207"/>
      <c r="BT188" s="1410"/>
      <c r="BU188" s="1410"/>
      <c r="BV188" s="207"/>
      <c r="BW188" s="1410"/>
      <c r="BX188" s="1410"/>
      <c r="BY188" s="205"/>
      <c r="BZ188" s="232"/>
      <c r="CB188" s="1410"/>
      <c r="CC188" s="1410"/>
      <c r="CD188" s="207"/>
      <c r="CE188" s="1439"/>
      <c r="CF188" s="1410"/>
      <c r="CG188" s="207"/>
      <c r="CH188" s="1410"/>
      <c r="CI188" s="1410"/>
      <c r="CJ188" s="207"/>
      <c r="CK188" s="1410"/>
      <c r="CL188" s="1410"/>
      <c r="CM188" s="205"/>
      <c r="CN188" s="232"/>
    </row>
    <row r="189" spans="2:92" ht="112.5" customHeight="1" x14ac:dyDescent="0.25">
      <c r="B189" s="1372"/>
      <c r="C189" s="1314"/>
      <c r="D189" s="1352"/>
      <c r="E189" s="1317"/>
      <c r="F189" s="1317"/>
      <c r="G189" s="295" t="str">
        <f>+'Plan de Accion apoyo transversa'!X127</f>
        <v>Evaluar la satisfacción y percepción de los usuarios por el canal de atención presencial y virtual  en cuanto a los servicios brindados por la ADRES y socializar los resultados a las áreas involucradas para la generación de planes de mejoramiento.</v>
      </c>
      <c r="H189" s="227" t="str">
        <f>+'Plan de Accion apoyo transversa'!AK127</f>
        <v># Encuestas evaluadas como excelente / # encuestas realizadas</v>
      </c>
      <c r="I189" s="241"/>
      <c r="J189" s="217">
        <f>+'Plan de Accion apoyo transversa'!AT127</f>
        <v>0.22500000000000001</v>
      </c>
      <c r="K189" s="483">
        <f>+'Plan de Accion apoyo transversa'!CE127</f>
        <v>1</v>
      </c>
      <c r="L189" s="483">
        <f t="shared" si="166"/>
        <v>1</v>
      </c>
      <c r="M189" s="483">
        <f>+'Plan de Accion apoyo transversa'!AX127</f>
        <v>0.25</v>
      </c>
      <c r="N189" s="483">
        <f t="shared" si="103"/>
        <v>0.25</v>
      </c>
      <c r="O189" s="485">
        <f t="shared" si="167"/>
        <v>0.25</v>
      </c>
      <c r="P189" s="216"/>
      <c r="Q189" s="217">
        <f>+'Plan de Accion apoyo transversa'!BD127</f>
        <v>0.19522058823529412</v>
      </c>
      <c r="R189" s="253">
        <f>+'Plan de Accion apoyo transversa'!CG127</f>
        <v>0.86764705882352944</v>
      </c>
      <c r="S189" s="215">
        <f t="shared" si="168"/>
        <v>0.86764705882352944</v>
      </c>
      <c r="T189" s="311">
        <f>+'Plan de Accion apoyo transversa'!BH127</f>
        <v>0.46691176470588236</v>
      </c>
      <c r="U189" s="311">
        <f t="shared" si="169"/>
        <v>0.46691176470588236</v>
      </c>
      <c r="V189" s="214">
        <f t="shared" si="170"/>
        <v>0.46691176470588236</v>
      </c>
      <c r="W189" s="216"/>
      <c r="X189" s="217">
        <f>+'Plan de Accion apoyo transversa'!BN127</f>
        <v>9.7275054864667157E-2</v>
      </c>
      <c r="Y189" s="253">
        <f>+'Plan de Accion apoyo transversa'!CI127</f>
        <v>0.43233357717629844</v>
      </c>
      <c r="Z189" s="215">
        <f t="shared" si="171"/>
        <v>0.43233357717629844</v>
      </c>
      <c r="AA189" s="220">
        <f>+'Plan de Accion apoyo transversa'!BR127</f>
        <v>0.57499515899995701</v>
      </c>
      <c r="AB189" s="220">
        <f t="shared" si="172"/>
        <v>0.57499515899995701</v>
      </c>
      <c r="AC189" s="219">
        <f t="shared" si="173"/>
        <v>0.57499515899995701</v>
      </c>
      <c r="AD189" s="216"/>
      <c r="AE189" s="217">
        <f>+'Plan de Accion apoyo transversa'!BX127</f>
        <v>0</v>
      </c>
      <c r="AF189" s="253">
        <f>+'Plan de Accion apoyo transversa'!CK127</f>
        <v>0</v>
      </c>
      <c r="AG189" s="215">
        <f t="shared" si="162"/>
        <v>0</v>
      </c>
      <c r="AH189" s="253">
        <f>+'Plan de Accion apoyo transversa'!CB127</f>
        <v>0.57499515899995701</v>
      </c>
      <c r="AI189" s="214">
        <f t="shared" si="174"/>
        <v>0.57499515899995701</v>
      </c>
      <c r="AJ189" s="233"/>
      <c r="AK189" s="240"/>
      <c r="AL189" s="1410"/>
      <c r="AM189" s="1410"/>
      <c r="AN189" s="207"/>
      <c r="AO189" s="1439"/>
      <c r="AP189" s="1410"/>
      <c r="AQ189" s="207"/>
      <c r="AR189" s="1410"/>
      <c r="AS189" s="1410"/>
      <c r="AT189" s="207"/>
      <c r="AU189" s="1410"/>
      <c r="AV189" s="1410"/>
      <c r="AW189" s="205"/>
      <c r="AX189" s="232"/>
      <c r="AY189" s="239"/>
      <c r="AZ189" s="1410"/>
      <c r="BA189" s="1410"/>
      <c r="BB189" s="207"/>
      <c r="BC189" s="1439"/>
      <c r="BD189" s="1410"/>
      <c r="BE189" s="207"/>
      <c r="BF189" s="1410"/>
      <c r="BG189" s="1410"/>
      <c r="BH189" s="207"/>
      <c r="BI189" s="1410"/>
      <c r="BJ189" s="1410"/>
      <c r="BK189" s="205"/>
      <c r="BL189" s="232"/>
      <c r="BN189" s="1410"/>
      <c r="BO189" s="1410"/>
      <c r="BP189" s="207"/>
      <c r="BQ189" s="1439"/>
      <c r="BR189" s="1410"/>
      <c r="BS189" s="207"/>
      <c r="BT189" s="1410"/>
      <c r="BU189" s="1410"/>
      <c r="BV189" s="207"/>
      <c r="BW189" s="1410"/>
      <c r="BX189" s="1410"/>
      <c r="BY189" s="205"/>
      <c r="BZ189" s="232"/>
      <c r="CB189" s="1410"/>
      <c r="CC189" s="1410"/>
      <c r="CD189" s="207"/>
      <c r="CE189" s="1439"/>
      <c r="CF189" s="1410"/>
      <c r="CG189" s="207"/>
      <c r="CH189" s="1410"/>
      <c r="CI189" s="1410"/>
      <c r="CJ189" s="207"/>
      <c r="CK189" s="1410"/>
      <c r="CL189" s="1410"/>
      <c r="CM189" s="205"/>
      <c r="CN189" s="232"/>
    </row>
    <row r="190" spans="2:92" ht="93" customHeight="1" x14ac:dyDescent="0.25">
      <c r="B190" s="1372"/>
      <c r="C190" s="1314"/>
      <c r="D190" s="1352"/>
      <c r="E190" s="1317"/>
      <c r="F190" s="1317"/>
      <c r="G190" s="295" t="str">
        <f>+'Plan de Accion apoyo transversa'!X128</f>
        <v>Recomendaciones implementadas</v>
      </c>
      <c r="H190" s="227" t="str">
        <f>+'Plan de Accion apoyo transversa'!AK128</f>
        <v># Recomendaciones implementadas  / # recomendaciones aprobadas</v>
      </c>
      <c r="I190" s="241"/>
      <c r="J190" s="217">
        <f>+'Plan de Accion apoyo transversa'!AT128</f>
        <v>0</v>
      </c>
      <c r="K190" s="483" t="str">
        <f>+'Plan de Accion apoyo transversa'!CE128</f>
        <v>No Prog ni Ejec</v>
      </c>
      <c r="L190" s="483" t="s">
        <v>204</v>
      </c>
      <c r="M190" s="483">
        <f>+'Plan de Accion apoyo transversa'!AX128</f>
        <v>0</v>
      </c>
      <c r="N190" s="483">
        <f t="shared" si="103"/>
        <v>0</v>
      </c>
      <c r="O190" s="485" t="s">
        <v>204</v>
      </c>
      <c r="P190" s="216"/>
      <c r="Q190" s="217">
        <f>+'Plan de Accion apoyo transversa'!BD128</f>
        <v>0</v>
      </c>
      <c r="R190" s="253" t="str">
        <f>+'Plan de Accion apoyo transversa'!CG128</f>
        <v>No Prog ni Ejec</v>
      </c>
      <c r="S190" s="215" t="s">
        <v>204</v>
      </c>
      <c r="T190" s="311">
        <f>+'Plan de Accion apoyo transversa'!BH128</f>
        <v>0</v>
      </c>
      <c r="U190" s="311">
        <f t="shared" si="169"/>
        <v>0</v>
      </c>
      <c r="V190" s="214" t="s">
        <v>204</v>
      </c>
      <c r="W190" s="216"/>
      <c r="X190" s="217">
        <f>+'Plan de Accion apoyo transversa'!BN128</f>
        <v>0.2196969696969697</v>
      </c>
      <c r="Y190" s="253">
        <f>+'Plan de Accion apoyo transversa'!CI128</f>
        <v>0.43939393939393939</v>
      </c>
      <c r="Z190" s="215">
        <f t="shared" si="171"/>
        <v>0.43939393939393939</v>
      </c>
      <c r="AA190" s="220">
        <f>+'Plan de Accion apoyo transversa'!BR128</f>
        <v>0.2196969696969697</v>
      </c>
      <c r="AB190" s="220">
        <f t="shared" si="172"/>
        <v>0.2196969696969697</v>
      </c>
      <c r="AC190" s="219">
        <f t="shared" si="173"/>
        <v>0.2196969696969697</v>
      </c>
      <c r="AD190" s="216"/>
      <c r="AE190" s="217">
        <f>+'Plan de Accion apoyo transversa'!BX128</f>
        <v>0</v>
      </c>
      <c r="AF190" s="253">
        <f>+'Plan de Accion apoyo transversa'!CK128</f>
        <v>0</v>
      </c>
      <c r="AG190" s="215">
        <f t="shared" si="162"/>
        <v>0</v>
      </c>
      <c r="AH190" s="253">
        <f>+'Plan de Accion apoyo transversa'!CB128</f>
        <v>0.2196969696969697</v>
      </c>
      <c r="AI190" s="214">
        <f t="shared" si="174"/>
        <v>0.2196969696969697</v>
      </c>
      <c r="AJ190" s="233"/>
      <c r="AK190" s="240"/>
      <c r="AL190" s="1410"/>
      <c r="AM190" s="1410"/>
      <c r="AN190" s="207"/>
      <c r="AO190" s="1439"/>
      <c r="AP190" s="1410"/>
      <c r="AQ190" s="207"/>
      <c r="AR190" s="1410"/>
      <c r="AS190" s="1410"/>
      <c r="AT190" s="207"/>
      <c r="AU190" s="1410"/>
      <c r="AV190" s="1410"/>
      <c r="AW190" s="205"/>
      <c r="AX190" s="232"/>
      <c r="AY190" s="239"/>
      <c r="AZ190" s="1410"/>
      <c r="BA190" s="1410"/>
      <c r="BB190" s="207"/>
      <c r="BC190" s="1439"/>
      <c r="BD190" s="1410"/>
      <c r="BE190" s="207"/>
      <c r="BF190" s="1410"/>
      <c r="BG190" s="1410"/>
      <c r="BH190" s="207"/>
      <c r="BI190" s="1410"/>
      <c r="BJ190" s="1410"/>
      <c r="BK190" s="205"/>
      <c r="BL190" s="232"/>
      <c r="BN190" s="1410"/>
      <c r="BO190" s="1410"/>
      <c r="BP190" s="207"/>
      <c r="BQ190" s="1439"/>
      <c r="BR190" s="1410"/>
      <c r="BS190" s="207"/>
      <c r="BT190" s="1410"/>
      <c r="BU190" s="1410"/>
      <c r="BV190" s="207"/>
      <c r="BW190" s="1410"/>
      <c r="BX190" s="1410"/>
      <c r="BY190" s="205"/>
      <c r="BZ190" s="232"/>
      <c r="CB190" s="1410"/>
      <c r="CC190" s="1410"/>
      <c r="CD190" s="207"/>
      <c r="CE190" s="1439"/>
      <c r="CF190" s="1410"/>
      <c r="CG190" s="207"/>
      <c r="CH190" s="1410"/>
      <c r="CI190" s="1410"/>
      <c r="CJ190" s="207"/>
      <c r="CK190" s="1410"/>
      <c r="CL190" s="1410"/>
      <c r="CM190" s="205"/>
      <c r="CN190" s="232"/>
    </row>
    <row r="191" spans="2:92" ht="78" customHeight="1" x14ac:dyDescent="0.25">
      <c r="B191" s="1372"/>
      <c r="C191" s="1314"/>
      <c r="D191" s="1352"/>
      <c r="E191" s="1317"/>
      <c r="F191" s="1317"/>
      <c r="G191" s="295" t="str">
        <f>+'Plan de Accion apoyo transversa'!X129</f>
        <v>Participación de la ADRES en ferias de Servicio al Ciudadano programadas por el DNP-PNSC  y promocionar los servicios y realizar trámites de la Entidad</v>
      </c>
      <c r="H191" s="227" t="str">
        <f>+'Plan de Accion apoyo transversa'!AK129</f>
        <v># Ferias de servicio al ciudadano en las que ADRES participó / # Ferias de servicio al ciudadano programadas por el DNP-PNSC de interés para la ADRES</v>
      </c>
      <c r="I191" s="241"/>
      <c r="J191" s="217">
        <f>+'Plan de Accion apoyo transversa'!AT129</f>
        <v>0</v>
      </c>
      <c r="K191" s="483" t="str">
        <f>+'Plan de Accion apoyo transversa'!CE129</f>
        <v>No Prog ni Ejec</v>
      </c>
      <c r="L191" s="483" t="s">
        <v>204</v>
      </c>
      <c r="M191" s="483">
        <f>+'Plan de Accion apoyo transversa'!AX129</f>
        <v>0</v>
      </c>
      <c r="N191" s="483">
        <f t="shared" si="103"/>
        <v>0</v>
      </c>
      <c r="O191" s="485" t="s">
        <v>204</v>
      </c>
      <c r="P191" s="216"/>
      <c r="Q191" s="217">
        <f>+'Plan de Accion apoyo transversa'!BD129</f>
        <v>0</v>
      </c>
      <c r="R191" s="253">
        <f>+'Plan de Accion apoyo transversa'!CG129</f>
        <v>0</v>
      </c>
      <c r="S191" s="215">
        <f t="shared" si="168"/>
        <v>0</v>
      </c>
      <c r="T191" s="311">
        <f>+'Plan de Accion apoyo transversa'!BH129</f>
        <v>0</v>
      </c>
      <c r="U191" s="311">
        <f t="shared" si="169"/>
        <v>0</v>
      </c>
      <c r="V191" s="214">
        <f t="shared" si="170"/>
        <v>0</v>
      </c>
      <c r="W191" s="216"/>
      <c r="X191" s="217" t="s">
        <v>204</v>
      </c>
      <c r="Y191" s="253" t="s">
        <v>180</v>
      </c>
      <c r="Z191" s="215" t="s">
        <v>204</v>
      </c>
      <c r="AA191" s="220" t="s">
        <v>204</v>
      </c>
      <c r="AB191" s="220" t="s">
        <v>204</v>
      </c>
      <c r="AC191" s="219" t="s">
        <v>204</v>
      </c>
      <c r="AD191" s="216"/>
      <c r="AE191" s="217" t="s">
        <v>204</v>
      </c>
      <c r="AF191" s="253" t="s">
        <v>180</v>
      </c>
      <c r="AG191" s="215" t="s">
        <v>204</v>
      </c>
      <c r="AH191" s="253" t="s">
        <v>204</v>
      </c>
      <c r="AI191" s="214" t="s">
        <v>204</v>
      </c>
      <c r="AJ191" s="233"/>
      <c r="AK191" s="240"/>
      <c r="AL191" s="1410"/>
      <c r="AM191" s="1410"/>
      <c r="AN191" s="207"/>
      <c r="AO191" s="1439"/>
      <c r="AP191" s="1410"/>
      <c r="AQ191" s="207"/>
      <c r="AR191" s="1410"/>
      <c r="AS191" s="1410"/>
      <c r="AT191" s="207"/>
      <c r="AU191" s="1410"/>
      <c r="AV191" s="1410"/>
      <c r="AW191" s="205"/>
      <c r="AX191" s="232"/>
      <c r="AY191" s="239"/>
      <c r="AZ191" s="1410"/>
      <c r="BA191" s="1410"/>
      <c r="BB191" s="207"/>
      <c r="BC191" s="1439"/>
      <c r="BD191" s="1410"/>
      <c r="BE191" s="207"/>
      <c r="BF191" s="1410"/>
      <c r="BG191" s="1410"/>
      <c r="BH191" s="207"/>
      <c r="BI191" s="1410"/>
      <c r="BJ191" s="1410"/>
      <c r="BK191" s="205"/>
      <c r="BL191" s="232"/>
      <c r="BN191" s="1410"/>
      <c r="BO191" s="1410"/>
      <c r="BP191" s="207"/>
      <c r="BQ191" s="1439"/>
      <c r="BR191" s="1410"/>
      <c r="BS191" s="207"/>
      <c r="BT191" s="1410"/>
      <c r="BU191" s="1410"/>
      <c r="BV191" s="207"/>
      <c r="BW191" s="1410"/>
      <c r="BX191" s="1410"/>
      <c r="BY191" s="205"/>
      <c r="BZ191" s="232"/>
      <c r="CB191" s="1410"/>
      <c r="CC191" s="1410"/>
      <c r="CD191" s="207"/>
      <c r="CE191" s="1439"/>
      <c r="CF191" s="1410"/>
      <c r="CG191" s="207"/>
      <c r="CH191" s="1410"/>
      <c r="CI191" s="1410"/>
      <c r="CJ191" s="207"/>
      <c r="CK191" s="1410"/>
      <c r="CL191" s="1410"/>
      <c r="CM191" s="205"/>
      <c r="CN191" s="232"/>
    </row>
    <row r="192" spans="2:92" ht="188.25" customHeight="1" x14ac:dyDescent="0.25">
      <c r="B192" s="1372"/>
      <c r="C192" s="1314"/>
      <c r="D192" s="1352"/>
      <c r="E192" s="1317"/>
      <c r="F192" s="1317"/>
      <c r="G192" s="295" t="str">
        <f>+'Plan de Accion apoyo transversa'!X130</f>
        <v xml:space="preserve">Informe semestral de acceso a información pública PQRS como lo establece la Ley 1474 de 2011. </v>
      </c>
      <c r="H192" s="227" t="str">
        <f>+'Plan de Accion apoyo transversa'!AK130</f>
        <v># Informes semestrales de acceso a información pública PQRS elaborados</v>
      </c>
      <c r="I192" s="241"/>
      <c r="J192" s="221">
        <f>+'Plan de Accion apoyo transversa'!AT130</f>
        <v>1</v>
      </c>
      <c r="K192" s="483">
        <f>+'Plan de Accion apoyo transversa'!CE130</f>
        <v>1</v>
      </c>
      <c r="L192" s="483">
        <f t="shared" si="166"/>
        <v>1</v>
      </c>
      <c r="M192" s="483">
        <f>+'Plan de Accion apoyo transversa'!AX130</f>
        <v>0.5</v>
      </c>
      <c r="N192" s="483">
        <f t="shared" si="103"/>
        <v>0.5</v>
      </c>
      <c r="O192" s="485">
        <f t="shared" si="167"/>
        <v>0.5</v>
      </c>
      <c r="P192" s="216"/>
      <c r="Q192" s="221">
        <f>+'Plan de Accion apoyo transversa'!BD130</f>
        <v>0</v>
      </c>
      <c r="R192" s="253" t="str">
        <f>+'Plan de Accion apoyo transversa'!CG130</f>
        <v>No Prog ni Ejec</v>
      </c>
      <c r="S192" s="215" t="s">
        <v>204</v>
      </c>
      <c r="T192" s="311">
        <f>+'Plan de Accion apoyo transversa'!BH130</f>
        <v>0.5</v>
      </c>
      <c r="U192" s="311">
        <f t="shared" si="169"/>
        <v>0.5</v>
      </c>
      <c r="V192" s="214">
        <f t="shared" si="170"/>
        <v>0.5</v>
      </c>
      <c r="W192" s="216"/>
      <c r="X192" s="221">
        <f>+'Plan de Accion apoyo transversa'!BN130</f>
        <v>1</v>
      </c>
      <c r="Y192" s="253">
        <f>+'Plan de Accion apoyo transversa'!CI130</f>
        <v>1</v>
      </c>
      <c r="Z192" s="215">
        <f t="shared" si="171"/>
        <v>1</v>
      </c>
      <c r="AA192" s="220">
        <f>+'Plan de Accion apoyo transversa'!BR130</f>
        <v>1</v>
      </c>
      <c r="AB192" s="220">
        <f t="shared" si="172"/>
        <v>1</v>
      </c>
      <c r="AC192" s="219">
        <f t="shared" si="173"/>
        <v>1</v>
      </c>
      <c r="AD192" s="216"/>
      <c r="AE192" s="222">
        <f>+'Plan de Accion apoyo transversa'!BX130</f>
        <v>0</v>
      </c>
      <c r="AF192" s="253" t="str">
        <f>+'Plan de Accion apoyo transversa'!CK130</f>
        <v>No Prog ni Ejec</v>
      </c>
      <c r="AG192" s="215" t="s">
        <v>204</v>
      </c>
      <c r="AH192" s="253">
        <f>+'Plan de Accion apoyo transversa'!CB130</f>
        <v>1</v>
      </c>
      <c r="AI192" s="214">
        <f t="shared" si="174"/>
        <v>1</v>
      </c>
      <c r="AJ192" s="233"/>
      <c r="AK192" s="240"/>
      <c r="AL192" s="1410"/>
      <c r="AM192" s="1410"/>
      <c r="AN192" s="207"/>
      <c r="AO192" s="1439"/>
      <c r="AP192" s="1410"/>
      <c r="AQ192" s="207"/>
      <c r="AR192" s="1410"/>
      <c r="AS192" s="1410"/>
      <c r="AT192" s="207"/>
      <c r="AU192" s="1410"/>
      <c r="AV192" s="1410"/>
      <c r="AW192" s="205"/>
      <c r="AX192" s="232"/>
      <c r="AY192" s="239"/>
      <c r="AZ192" s="1410"/>
      <c r="BA192" s="1410"/>
      <c r="BB192" s="207"/>
      <c r="BC192" s="1439"/>
      <c r="BD192" s="1410"/>
      <c r="BE192" s="207"/>
      <c r="BF192" s="1410"/>
      <c r="BG192" s="1410"/>
      <c r="BH192" s="207"/>
      <c r="BI192" s="1410"/>
      <c r="BJ192" s="1410"/>
      <c r="BK192" s="205"/>
      <c r="BL192" s="232"/>
      <c r="BN192" s="1410"/>
      <c r="BO192" s="1410"/>
      <c r="BP192" s="207"/>
      <c r="BQ192" s="1439"/>
      <c r="BR192" s="1410"/>
      <c r="BS192" s="207"/>
      <c r="BT192" s="1410"/>
      <c r="BU192" s="1410"/>
      <c r="BV192" s="207"/>
      <c r="BW192" s="1410"/>
      <c r="BX192" s="1410"/>
      <c r="BY192" s="205"/>
      <c r="BZ192" s="232"/>
      <c r="CB192" s="1410"/>
      <c r="CC192" s="1410"/>
      <c r="CD192" s="207"/>
      <c r="CE192" s="1439"/>
      <c r="CF192" s="1410"/>
      <c r="CG192" s="207"/>
      <c r="CH192" s="1410"/>
      <c r="CI192" s="1410"/>
      <c r="CJ192" s="207"/>
      <c r="CK192" s="1410"/>
      <c r="CL192" s="1410"/>
      <c r="CM192" s="205"/>
      <c r="CN192" s="232"/>
    </row>
    <row r="193" spans="2:92" ht="52.5" customHeight="1" x14ac:dyDescent="0.25">
      <c r="B193" s="1372"/>
      <c r="C193" s="1314"/>
      <c r="D193" s="1352"/>
      <c r="E193" s="1317"/>
      <c r="F193" s="1317"/>
      <c r="G193" s="295" t="str">
        <f>+'Plan de Accion apoyo transversa'!X131</f>
        <v>Consolidar la información de la atención de Quejas, Peticiones, Reclamos y Sugerencias y elaborar informes trimestrales.</v>
      </c>
      <c r="H193" s="227" t="str">
        <f>+'Plan de Accion apoyo transversa'!AK131</f>
        <v># Informes trimestrales elaborados y socializado</v>
      </c>
      <c r="I193" s="241"/>
      <c r="J193" s="221">
        <f>+'Plan de Accion apoyo transversa'!AT131</f>
        <v>1</v>
      </c>
      <c r="K193" s="483">
        <f>+'Plan de Accion apoyo transversa'!CE131</f>
        <v>1</v>
      </c>
      <c r="L193" s="483">
        <f t="shared" si="166"/>
        <v>1</v>
      </c>
      <c r="M193" s="483">
        <f>+'Plan de Accion apoyo transversa'!AX131</f>
        <v>0.25</v>
      </c>
      <c r="N193" s="483">
        <f t="shared" si="103"/>
        <v>0.25</v>
      </c>
      <c r="O193" s="485">
        <f t="shared" si="167"/>
        <v>0.25</v>
      </c>
      <c r="P193" s="216"/>
      <c r="Q193" s="221">
        <f>+'Plan de Accion apoyo transversa'!BD131</f>
        <v>1</v>
      </c>
      <c r="R193" s="253">
        <f>+'Plan de Accion apoyo transversa'!CG131</f>
        <v>1</v>
      </c>
      <c r="S193" s="215">
        <f t="shared" si="168"/>
        <v>1</v>
      </c>
      <c r="T193" s="311">
        <f>+'Plan de Accion apoyo transversa'!BH131</f>
        <v>0.5</v>
      </c>
      <c r="U193" s="311">
        <f t="shared" si="169"/>
        <v>0.5</v>
      </c>
      <c r="V193" s="214">
        <f t="shared" si="170"/>
        <v>0.5</v>
      </c>
      <c r="W193" s="216"/>
      <c r="X193" s="221">
        <f>+'Plan de Accion apoyo transversa'!BN131</f>
        <v>1</v>
      </c>
      <c r="Y193" s="253">
        <f>+'Plan de Accion apoyo transversa'!CI131</f>
        <v>1</v>
      </c>
      <c r="Z193" s="215">
        <f t="shared" si="171"/>
        <v>1</v>
      </c>
      <c r="AA193" s="220">
        <f>+'Plan de Accion apoyo transversa'!BR131</f>
        <v>0.75</v>
      </c>
      <c r="AB193" s="220">
        <f t="shared" si="172"/>
        <v>0.75</v>
      </c>
      <c r="AC193" s="219">
        <f>+AB193</f>
        <v>0.75</v>
      </c>
      <c r="AD193" s="216"/>
      <c r="AE193" s="222">
        <f>+'Plan de Accion apoyo transversa'!BX131</f>
        <v>0</v>
      </c>
      <c r="AF193" s="253">
        <f>+'Plan de Accion apoyo transversa'!CK131</f>
        <v>0</v>
      </c>
      <c r="AG193" s="215">
        <f t="shared" si="162"/>
        <v>0</v>
      </c>
      <c r="AH193" s="253">
        <f>+'Plan de Accion apoyo transversa'!CB131</f>
        <v>0.75</v>
      </c>
      <c r="AI193" s="214">
        <f t="shared" si="174"/>
        <v>0.75</v>
      </c>
      <c r="AJ193" s="233"/>
      <c r="AK193" s="240"/>
      <c r="AL193" s="1410"/>
      <c r="AM193" s="1410"/>
      <c r="AN193" s="207"/>
      <c r="AO193" s="1439"/>
      <c r="AP193" s="1410"/>
      <c r="AQ193" s="207"/>
      <c r="AR193" s="1410"/>
      <c r="AS193" s="1410"/>
      <c r="AT193" s="207"/>
      <c r="AU193" s="1410"/>
      <c r="AV193" s="1410"/>
      <c r="AW193" s="205"/>
      <c r="AX193" s="232"/>
      <c r="AY193" s="239"/>
      <c r="AZ193" s="1410"/>
      <c r="BA193" s="1410"/>
      <c r="BB193" s="207"/>
      <c r="BC193" s="1439"/>
      <c r="BD193" s="1410"/>
      <c r="BE193" s="207"/>
      <c r="BF193" s="1410"/>
      <c r="BG193" s="1410"/>
      <c r="BH193" s="207"/>
      <c r="BI193" s="1410"/>
      <c r="BJ193" s="1410"/>
      <c r="BK193" s="205"/>
      <c r="BL193" s="232"/>
      <c r="BN193" s="1410"/>
      <c r="BO193" s="1410"/>
      <c r="BP193" s="207"/>
      <c r="BQ193" s="1439"/>
      <c r="BR193" s="1410"/>
      <c r="BS193" s="207"/>
      <c r="BT193" s="1410"/>
      <c r="BU193" s="1410"/>
      <c r="BV193" s="207"/>
      <c r="BW193" s="1410"/>
      <c r="BX193" s="1410"/>
      <c r="BY193" s="205"/>
      <c r="BZ193" s="232"/>
      <c r="CB193" s="1410"/>
      <c r="CC193" s="1410"/>
      <c r="CD193" s="207"/>
      <c r="CE193" s="1439"/>
      <c r="CF193" s="1410"/>
      <c r="CG193" s="207"/>
      <c r="CH193" s="1410"/>
      <c r="CI193" s="1410"/>
      <c r="CJ193" s="207"/>
      <c r="CK193" s="1410"/>
      <c r="CL193" s="1410"/>
      <c r="CM193" s="205"/>
      <c r="CN193" s="232"/>
    </row>
    <row r="194" spans="2:92" ht="84" customHeight="1" x14ac:dyDescent="0.25">
      <c r="B194" s="1372"/>
      <c r="C194" s="1314"/>
      <c r="D194" s="1352"/>
      <c r="E194" s="1318"/>
      <c r="F194" s="1318"/>
      <c r="G194" s="295" t="str">
        <f>+'Plan de Accion apoyo transversa'!X132</f>
        <v>Resoluciones de Apertura</v>
      </c>
      <c r="H194" s="227" t="str">
        <f>+'Plan de Accion apoyo transversa'!AK132</f>
        <v># Actos administrativos  / # procesos licitatorios previstos para la vigencia 2019</v>
      </c>
      <c r="I194" s="241"/>
      <c r="J194" s="217">
        <f>+'Plan de Accion apoyo transversa'!AT132</f>
        <v>0</v>
      </c>
      <c r="K194" s="483" t="str">
        <f>+'Plan de Accion apoyo transversa'!CE132</f>
        <v>No Prog ni Ejec</v>
      </c>
      <c r="L194" s="483" t="s">
        <v>204</v>
      </c>
      <c r="M194" s="483">
        <f>+'Plan de Accion apoyo transversa'!AX132</f>
        <v>0</v>
      </c>
      <c r="N194" s="483">
        <f t="shared" si="103"/>
        <v>0</v>
      </c>
      <c r="O194" s="485" t="s">
        <v>204</v>
      </c>
      <c r="P194" s="216"/>
      <c r="Q194" s="217">
        <f>+'Plan de Accion apoyo transversa'!BD132</f>
        <v>0</v>
      </c>
      <c r="R194" s="253" t="str">
        <f>+'Plan de Accion apoyo transversa'!CG132</f>
        <v>No Prog ni Ejec</v>
      </c>
      <c r="S194" s="215" t="s">
        <v>204</v>
      </c>
      <c r="T194" s="311">
        <f>+'Plan de Accion apoyo transversa'!BH132</f>
        <v>0</v>
      </c>
      <c r="U194" s="311">
        <f t="shared" si="169"/>
        <v>0</v>
      </c>
      <c r="V194" s="214" t="s">
        <v>204</v>
      </c>
      <c r="W194" s="216"/>
      <c r="X194" s="217">
        <f>+'Plan de Accion apoyo transversa'!BN132</f>
        <v>0</v>
      </c>
      <c r="Y194" s="253" t="str">
        <f>+'Plan de Accion apoyo transversa'!CI132</f>
        <v>No Prog ni Ejec</v>
      </c>
      <c r="Z194" s="215" t="s">
        <v>204</v>
      </c>
      <c r="AA194" s="220">
        <f>+'Plan de Accion apoyo transversa'!BR132</f>
        <v>0</v>
      </c>
      <c r="AB194" s="220">
        <f t="shared" si="172"/>
        <v>0</v>
      </c>
      <c r="AC194" s="219" t="s">
        <v>204</v>
      </c>
      <c r="AD194" s="216"/>
      <c r="AE194" s="217">
        <f>+'Plan de Accion apoyo transversa'!BX132</f>
        <v>0</v>
      </c>
      <c r="AF194" s="253">
        <f>+'Plan de Accion apoyo transversa'!CK132</f>
        <v>0</v>
      </c>
      <c r="AG194" s="215">
        <f t="shared" si="162"/>
        <v>0</v>
      </c>
      <c r="AH194" s="253">
        <f>+'Plan de Accion apoyo transversa'!CB132</f>
        <v>0</v>
      </c>
      <c r="AI194" s="214">
        <f t="shared" si="174"/>
        <v>0</v>
      </c>
      <c r="AJ194" s="233"/>
      <c r="AK194" s="240"/>
      <c r="AL194" s="1410"/>
      <c r="AM194" s="1410"/>
      <c r="AN194" s="207"/>
      <c r="AO194" s="1439"/>
      <c r="AP194" s="1410"/>
      <c r="AQ194" s="207"/>
      <c r="AR194" s="1410"/>
      <c r="AS194" s="1410"/>
      <c r="AT194" s="207"/>
      <c r="AU194" s="1410"/>
      <c r="AV194" s="1410"/>
      <c r="AW194" s="205"/>
      <c r="AX194" s="232"/>
      <c r="AY194" s="239"/>
      <c r="AZ194" s="1410"/>
      <c r="BA194" s="1410"/>
      <c r="BB194" s="207"/>
      <c r="BC194" s="1439"/>
      <c r="BD194" s="1410"/>
      <c r="BE194" s="207"/>
      <c r="BF194" s="1410"/>
      <c r="BG194" s="1410"/>
      <c r="BH194" s="207"/>
      <c r="BI194" s="1410"/>
      <c r="BJ194" s="1410"/>
      <c r="BK194" s="205"/>
      <c r="BL194" s="232"/>
      <c r="BN194" s="1410"/>
      <c r="BO194" s="1410"/>
      <c r="BP194" s="207"/>
      <c r="BQ194" s="1439"/>
      <c r="BR194" s="1410"/>
      <c r="BS194" s="207"/>
      <c r="BT194" s="1410"/>
      <c r="BU194" s="1410"/>
      <c r="BV194" s="207"/>
      <c r="BW194" s="1410"/>
      <c r="BX194" s="1410"/>
      <c r="BY194" s="205"/>
      <c r="BZ194" s="232"/>
      <c r="CB194" s="1410"/>
      <c r="CC194" s="1410"/>
      <c r="CD194" s="207"/>
      <c r="CE194" s="1439"/>
      <c r="CF194" s="1410"/>
      <c r="CG194" s="207"/>
      <c r="CH194" s="1410"/>
      <c r="CI194" s="1410"/>
      <c r="CJ194" s="207"/>
      <c r="CK194" s="1410"/>
      <c r="CL194" s="1410"/>
      <c r="CM194" s="205"/>
      <c r="CN194" s="232"/>
    </row>
    <row r="195" spans="2:92" ht="84" customHeight="1" x14ac:dyDescent="0.25">
      <c r="B195" s="1372"/>
      <c r="C195" s="1314"/>
      <c r="D195" s="1353"/>
      <c r="E195" s="810" t="s">
        <v>230</v>
      </c>
      <c r="F195" s="585" t="s">
        <v>529</v>
      </c>
      <c r="G195" s="295" t="str">
        <f>+'Plan de Accion apoyo transversa'!X181</f>
        <v>Registro de las bases de datos con datos personales ante la Superintendencia de Industria y Comercio - SIC</v>
      </c>
      <c r="H195" s="227" t="str">
        <f>+'Plan de Accion apoyo transversa'!AK181</f>
        <v># Registros realizados ante la SIC</v>
      </c>
      <c r="I195" s="241"/>
      <c r="J195" s="217">
        <f>+'Plan de Accion apoyo transversa'!AT181</f>
        <v>1</v>
      </c>
      <c r="K195" s="522">
        <f>+'Plan de Accion apoyo transversa'!CE181</f>
        <v>1</v>
      </c>
      <c r="L195" s="522">
        <f>IF(K195&gt;100%,100%,K195)</f>
        <v>1</v>
      </c>
      <c r="M195" s="522">
        <f>+'Plan de Accion apoyo transversa'!AX181</f>
        <v>1</v>
      </c>
      <c r="N195" s="522">
        <f>IF(M195&gt;100%,100%,M195)</f>
        <v>1</v>
      </c>
      <c r="O195" s="523">
        <f>+N195</f>
        <v>1</v>
      </c>
      <c r="P195" s="216"/>
      <c r="Q195" s="217">
        <f>+'Plan de Accion apoyo transversa'!BD181</f>
        <v>0</v>
      </c>
      <c r="R195" s="253" t="str">
        <f>+'Plan de Accion apoyo transversa'!CG181</f>
        <v>No Prog ni Ejec</v>
      </c>
      <c r="S195" s="215" t="s">
        <v>204</v>
      </c>
      <c r="T195" s="522">
        <f>+'Plan de Accion apoyo transversa'!BH181</f>
        <v>1</v>
      </c>
      <c r="U195" s="522">
        <f>IF(T195&gt;100%,100%,T195)</f>
        <v>1</v>
      </c>
      <c r="V195" s="214">
        <f>+U195</f>
        <v>1</v>
      </c>
      <c r="W195" s="216"/>
      <c r="X195" s="217">
        <f>+'Plan de Accion apoyo transversa'!BN181</f>
        <v>0</v>
      </c>
      <c r="Y195" s="253" t="str">
        <f>+'Plan de Accion apoyo transversa'!CI181</f>
        <v>No Prog ni Ejec</v>
      </c>
      <c r="Z195" s="215" t="s">
        <v>204</v>
      </c>
      <c r="AA195" s="220">
        <f>+'Plan de Accion apoyo transversa'!BR181</f>
        <v>1</v>
      </c>
      <c r="AB195" s="220">
        <f>IF(AA195&gt;100%,100%,AA195)</f>
        <v>1</v>
      </c>
      <c r="AC195" s="219">
        <f>+AB195</f>
        <v>1</v>
      </c>
      <c r="AD195" s="216"/>
      <c r="AE195" s="217">
        <f>+'Plan de Accion apoyo transversa'!BX181</f>
        <v>0</v>
      </c>
      <c r="AF195" s="253" t="str">
        <f>+'Plan de Accion apoyo transversa'!CK181</f>
        <v>No Prog ni Ejec</v>
      </c>
      <c r="AG195" s="215" t="s">
        <v>204</v>
      </c>
      <c r="AH195" s="253">
        <f>+'Plan de Accion apoyo transversa'!CB181</f>
        <v>1</v>
      </c>
      <c r="AI195" s="214">
        <f>IF(AH195&gt;100%,100%,AH195)</f>
        <v>1</v>
      </c>
      <c r="AJ195" s="233"/>
      <c r="AK195" s="240"/>
      <c r="AL195" s="1410"/>
      <c r="AM195" s="1410"/>
      <c r="AN195" s="207"/>
      <c r="AO195" s="1439"/>
      <c r="AP195" s="1410"/>
      <c r="AQ195" s="207"/>
      <c r="AR195" s="1410"/>
      <c r="AS195" s="1410"/>
      <c r="AT195" s="207"/>
      <c r="AU195" s="1410"/>
      <c r="AV195" s="1410"/>
      <c r="AW195" s="205"/>
      <c r="AX195" s="232"/>
      <c r="AY195" s="239"/>
      <c r="AZ195" s="1410"/>
      <c r="BA195" s="1410"/>
      <c r="BB195" s="207"/>
      <c r="BC195" s="1439"/>
      <c r="BD195" s="1410"/>
      <c r="BE195" s="207"/>
      <c r="BF195" s="1410"/>
      <c r="BG195" s="1410"/>
      <c r="BH195" s="207"/>
      <c r="BI195" s="1410"/>
      <c r="BJ195" s="1410"/>
      <c r="BK195" s="205"/>
      <c r="BL195" s="232"/>
      <c r="BN195" s="1410"/>
      <c r="BO195" s="1410"/>
      <c r="BP195" s="207"/>
      <c r="BQ195" s="1439"/>
      <c r="BR195" s="1410"/>
      <c r="BS195" s="207"/>
      <c r="BT195" s="1410"/>
      <c r="BU195" s="1410"/>
      <c r="BV195" s="207"/>
      <c r="BW195" s="1410"/>
      <c r="BX195" s="1410"/>
      <c r="BY195" s="205"/>
      <c r="BZ195" s="232"/>
      <c r="CB195" s="1410"/>
      <c r="CC195" s="1410"/>
      <c r="CD195" s="207"/>
      <c r="CE195" s="1439"/>
      <c r="CF195" s="1410"/>
      <c r="CG195" s="207"/>
      <c r="CH195" s="1410"/>
      <c r="CI195" s="1410"/>
      <c r="CJ195" s="207"/>
      <c r="CK195" s="1410"/>
      <c r="CL195" s="1410"/>
      <c r="CM195" s="205"/>
      <c r="CN195" s="232"/>
    </row>
    <row r="196" spans="2:92" ht="97.5" customHeight="1" x14ac:dyDescent="0.25">
      <c r="B196" s="1372"/>
      <c r="C196" s="1314"/>
      <c r="D196" s="1316" t="s">
        <v>204</v>
      </c>
      <c r="E196" s="1319" t="s">
        <v>230</v>
      </c>
      <c r="F196" s="342" t="s">
        <v>330</v>
      </c>
      <c r="G196" s="295" t="str">
        <f>+'Plan de Accion apoyo transversa'!X134</f>
        <v xml:space="preserve">Servicios de Mesa de Ayuda </v>
      </c>
      <c r="H196" s="227" t="str">
        <f>+'Plan de Accion apoyo transversa'!AK134</f>
        <v># Casos de primer nivel atendidos en términos de ANS para el trimestre/ # Casos de primer nivel recibidos con vencimiento de ANS durante el trimestre.</v>
      </c>
      <c r="I196" s="241"/>
      <c r="J196" s="217">
        <f>+'Plan de Accion apoyo transversa'!AT134</f>
        <v>0.22500000000000001</v>
      </c>
      <c r="K196" s="483">
        <f>+'Plan de Accion apoyo transversa'!CE134</f>
        <v>1</v>
      </c>
      <c r="L196" s="483">
        <f t="shared" si="166"/>
        <v>1</v>
      </c>
      <c r="M196" s="483">
        <f>+'Plan de Accion apoyo transversa'!AX134</f>
        <v>0.25</v>
      </c>
      <c r="N196" s="483">
        <f t="shared" si="103"/>
        <v>0.25</v>
      </c>
      <c r="O196" s="485">
        <f t="shared" si="167"/>
        <v>0.25</v>
      </c>
      <c r="P196" s="216"/>
      <c r="Q196" s="217" t="s">
        <v>204</v>
      </c>
      <c r="R196" s="253" t="s">
        <v>180</v>
      </c>
      <c r="S196" s="215" t="s">
        <v>204</v>
      </c>
      <c r="T196" s="682">
        <f>+'Plan de Accion apoyo transversa'!BH134</f>
        <v>0.25</v>
      </c>
      <c r="U196" s="682">
        <f>IF(T196&gt;100%,100%,T196)</f>
        <v>0.25</v>
      </c>
      <c r="V196" s="214">
        <f>+U196</f>
        <v>0.25</v>
      </c>
      <c r="W196" s="216"/>
      <c r="X196" s="217" t="s">
        <v>204</v>
      </c>
      <c r="Y196" s="253" t="s">
        <v>180</v>
      </c>
      <c r="Z196" s="215" t="s">
        <v>204</v>
      </c>
      <c r="AA196" s="220">
        <f>+'Plan de Accion apoyo transversa'!BR134</f>
        <v>0.25</v>
      </c>
      <c r="AB196" s="220">
        <f>IF(AA196&gt;100%,100%,AA196)</f>
        <v>0.25</v>
      </c>
      <c r="AC196" s="219">
        <f t="shared" si="173"/>
        <v>0.25</v>
      </c>
      <c r="AD196" s="216"/>
      <c r="AE196" s="217" t="s">
        <v>204</v>
      </c>
      <c r="AF196" s="253" t="s">
        <v>180</v>
      </c>
      <c r="AG196" s="215" t="s">
        <v>204</v>
      </c>
      <c r="AH196" s="253">
        <f>+'Plan de Accion apoyo transversa'!CB134</f>
        <v>0.25</v>
      </c>
      <c r="AI196" s="214">
        <f>IF(AH196&gt;100%,100%,AH196)</f>
        <v>0.25</v>
      </c>
      <c r="AJ196" s="233"/>
      <c r="AK196" s="240"/>
      <c r="AL196" s="1410"/>
      <c r="AM196" s="1410"/>
      <c r="AN196" s="207"/>
      <c r="AO196" s="1439"/>
      <c r="AP196" s="1410"/>
      <c r="AQ196" s="207"/>
      <c r="AR196" s="1410"/>
      <c r="AS196" s="1410"/>
      <c r="AT196" s="207"/>
      <c r="AU196" s="1410"/>
      <c r="AV196" s="1410"/>
      <c r="AW196" s="205"/>
      <c r="AX196" s="232"/>
      <c r="AY196" s="239"/>
      <c r="AZ196" s="1410"/>
      <c r="BA196" s="1410"/>
      <c r="BB196" s="207"/>
      <c r="BC196" s="1439"/>
      <c r="BD196" s="1410"/>
      <c r="BE196" s="207"/>
      <c r="BF196" s="1410"/>
      <c r="BG196" s="1410"/>
      <c r="BH196" s="207"/>
      <c r="BI196" s="1410"/>
      <c r="BJ196" s="1410"/>
      <c r="BK196" s="205"/>
      <c r="BL196" s="232"/>
      <c r="BN196" s="1410"/>
      <c r="BO196" s="1410"/>
      <c r="BP196" s="207"/>
      <c r="BQ196" s="1439"/>
      <c r="BR196" s="1410"/>
      <c r="BS196" s="207"/>
      <c r="BT196" s="1410"/>
      <c r="BU196" s="1410"/>
      <c r="BV196" s="207"/>
      <c r="BW196" s="1410"/>
      <c r="BX196" s="1410"/>
      <c r="BY196" s="205"/>
      <c r="BZ196" s="232"/>
      <c r="CB196" s="1410"/>
      <c r="CC196" s="1410"/>
      <c r="CD196" s="207"/>
      <c r="CE196" s="1439"/>
      <c r="CF196" s="1410"/>
      <c r="CG196" s="207"/>
      <c r="CH196" s="1410"/>
      <c r="CI196" s="1410"/>
      <c r="CJ196" s="207"/>
      <c r="CK196" s="1410"/>
      <c r="CL196" s="1410"/>
      <c r="CM196" s="205"/>
      <c r="CN196" s="232"/>
    </row>
    <row r="197" spans="2:92" ht="79.5" customHeight="1" x14ac:dyDescent="0.25">
      <c r="B197" s="1372"/>
      <c r="C197" s="1314"/>
      <c r="D197" s="1317"/>
      <c r="E197" s="1320"/>
      <c r="F197" s="550" t="s">
        <v>529</v>
      </c>
      <c r="G197" s="295" t="str">
        <f>+'Plan de Accion apoyo transversa'!X181</f>
        <v>Registro de las bases de datos con datos personales ante la Superintendencia de Industria y Comercio - SIC</v>
      </c>
      <c r="H197" s="227" t="str">
        <f>+'Plan de Accion apoyo transversa'!AK181</f>
        <v># Registros realizados ante la SIC</v>
      </c>
      <c r="I197" s="241"/>
      <c r="J197" s="217">
        <f>+'Plan de Accion apoyo transversa'!AT181</f>
        <v>1</v>
      </c>
      <c r="K197" s="483">
        <f>+'Plan de Accion apoyo transversa'!CE181</f>
        <v>1</v>
      </c>
      <c r="L197" s="483">
        <f>IF(K197&gt;100%,100%,K197)</f>
        <v>1</v>
      </c>
      <c r="M197" s="483">
        <f>+'Plan de Accion apoyo transversa'!AX181</f>
        <v>1</v>
      </c>
      <c r="N197" s="483">
        <f>IF(M197&gt;100%,100%,M197)</f>
        <v>1</v>
      </c>
      <c r="O197" s="485">
        <f>+N197</f>
        <v>1</v>
      </c>
      <c r="P197" s="216"/>
      <c r="Q197" s="217">
        <f>+'Plan de Accion apoyo transversa'!BD181</f>
        <v>0</v>
      </c>
      <c r="R197" s="253" t="str">
        <f>+'Plan de Accion apoyo transversa'!CG181</f>
        <v>No Prog ni Ejec</v>
      </c>
      <c r="S197" s="215" t="s">
        <v>204</v>
      </c>
      <c r="T197" s="483">
        <f>+'Plan de Accion apoyo transversa'!BH181</f>
        <v>1</v>
      </c>
      <c r="U197" s="483">
        <f>IF(T197&gt;100%,100%,T197)</f>
        <v>1</v>
      </c>
      <c r="V197" s="214">
        <f>+U197</f>
        <v>1</v>
      </c>
      <c r="W197" s="216"/>
      <c r="X197" s="217">
        <f>+'Plan de Accion apoyo transversa'!BN181</f>
        <v>0</v>
      </c>
      <c r="Y197" s="253" t="str">
        <f>+'Plan de Accion apoyo transversa'!CI181</f>
        <v>No Prog ni Ejec</v>
      </c>
      <c r="Z197" s="215" t="s">
        <v>204</v>
      </c>
      <c r="AA197" s="220">
        <f>+'Plan de Accion apoyo transversa'!BR181</f>
        <v>1</v>
      </c>
      <c r="AB197" s="220">
        <f>IF(AA197&gt;100%,100%,AA197)</f>
        <v>1</v>
      </c>
      <c r="AC197" s="219">
        <f>+AB197</f>
        <v>1</v>
      </c>
      <c r="AD197" s="216"/>
      <c r="AE197" s="217">
        <f>+'Plan de Accion apoyo transversa'!BX181</f>
        <v>0</v>
      </c>
      <c r="AF197" s="253" t="str">
        <f>+'Plan de Accion apoyo transversa'!CK181</f>
        <v>No Prog ni Ejec</v>
      </c>
      <c r="AG197" s="215" t="s">
        <v>204</v>
      </c>
      <c r="AH197" s="253">
        <f>+'Plan de Accion apoyo transversa'!CB181</f>
        <v>1</v>
      </c>
      <c r="AI197" s="214">
        <f>IF(AH197&gt;100%,100%,AH197)</f>
        <v>1</v>
      </c>
      <c r="AJ197" s="233"/>
      <c r="AK197" s="240"/>
      <c r="AL197" s="1410"/>
      <c r="AM197" s="1410"/>
      <c r="AN197" s="207"/>
      <c r="AO197" s="1439"/>
      <c r="AP197" s="1410"/>
      <c r="AQ197" s="207"/>
      <c r="AR197" s="1410"/>
      <c r="AS197" s="1410"/>
      <c r="AT197" s="207"/>
      <c r="AU197" s="1410"/>
      <c r="AV197" s="1410"/>
      <c r="AW197" s="205"/>
      <c r="AX197" s="232"/>
      <c r="AY197" s="239"/>
      <c r="AZ197" s="1410"/>
      <c r="BA197" s="1410"/>
      <c r="BB197" s="207"/>
      <c r="BC197" s="1439"/>
      <c r="BD197" s="1410"/>
      <c r="BE197" s="207"/>
      <c r="BF197" s="1410"/>
      <c r="BG197" s="1410"/>
      <c r="BH197" s="207"/>
      <c r="BI197" s="1410"/>
      <c r="BJ197" s="1410"/>
      <c r="BK197" s="205"/>
      <c r="BL197" s="232"/>
      <c r="BN197" s="1410"/>
      <c r="BO197" s="1410"/>
      <c r="BP197" s="207"/>
      <c r="BQ197" s="1439"/>
      <c r="BR197" s="1410"/>
      <c r="BS197" s="207"/>
      <c r="BT197" s="1410"/>
      <c r="BU197" s="1410"/>
      <c r="BV197" s="207"/>
      <c r="BW197" s="1410"/>
      <c r="BX197" s="1410"/>
      <c r="BY197" s="205"/>
      <c r="BZ197" s="232"/>
      <c r="CB197" s="1410"/>
      <c r="CC197" s="1410"/>
      <c r="CD197" s="207"/>
      <c r="CE197" s="1439"/>
      <c r="CF197" s="1410"/>
      <c r="CG197" s="207"/>
      <c r="CH197" s="1410"/>
      <c r="CI197" s="1410"/>
      <c r="CJ197" s="207"/>
      <c r="CK197" s="1410"/>
      <c r="CL197" s="1410"/>
      <c r="CM197" s="205"/>
      <c r="CN197" s="232"/>
    </row>
    <row r="198" spans="2:92" ht="153.75" customHeight="1" x14ac:dyDescent="0.25">
      <c r="B198" s="1372"/>
      <c r="C198" s="1314"/>
      <c r="D198" s="1318"/>
      <c r="E198" s="1321"/>
      <c r="F198" s="342" t="s">
        <v>336</v>
      </c>
      <c r="G198" s="295" t="str">
        <f>+'Plan de Accion apoyo transversa'!X142</f>
        <v>Implementación de un módulo tecnológico en el CRM como herramienta de medición de oportunidad de respuestas a PQRSD.</v>
      </c>
      <c r="H198" s="227" t="str">
        <f>+'Plan de Accion apoyo transversa'!AK142</f>
        <v># Módulos tecnológicos en el CRM como herramienta de medición de oportunidad de respuestas a PQRSD implementados.</v>
      </c>
      <c r="I198" s="241"/>
      <c r="J198" s="221">
        <f>+'Plan de Accion apoyo transversa'!AT142</f>
        <v>1</v>
      </c>
      <c r="K198" s="483">
        <f>+'Plan de Accion apoyo transversa'!CE142</f>
        <v>1</v>
      </c>
      <c r="L198" s="483">
        <f t="shared" si="166"/>
        <v>1</v>
      </c>
      <c r="M198" s="483">
        <f>+'Plan de Accion apoyo transversa'!AX142</f>
        <v>1</v>
      </c>
      <c r="N198" s="483">
        <f t="shared" si="103"/>
        <v>1</v>
      </c>
      <c r="O198" s="485">
        <f>+N198</f>
        <v>1</v>
      </c>
      <c r="P198" s="216"/>
      <c r="Q198" s="221">
        <f>+'Plan de Accion apoyo transversa'!BD142</f>
        <v>0</v>
      </c>
      <c r="R198" s="253" t="str">
        <f>+'Plan de Accion apoyo transversa'!CG142</f>
        <v>No Prog ni Ejec</v>
      </c>
      <c r="S198" s="215" t="s">
        <v>204</v>
      </c>
      <c r="T198" s="311">
        <f>+'Plan de Accion apoyo transversa'!BH142</f>
        <v>1</v>
      </c>
      <c r="U198" s="311">
        <f t="shared" si="169"/>
        <v>1</v>
      </c>
      <c r="V198" s="214">
        <f t="shared" si="170"/>
        <v>1</v>
      </c>
      <c r="W198" s="216"/>
      <c r="X198" s="221">
        <f>+'Plan de Accion apoyo transversa'!BN142</f>
        <v>0</v>
      </c>
      <c r="Y198" s="253" t="str">
        <f>+'Plan de Accion apoyo transversa'!CI142</f>
        <v>No Prog ni Ejec</v>
      </c>
      <c r="Z198" s="215" t="s">
        <v>204</v>
      </c>
      <c r="AA198" s="220">
        <f>+'Plan de Accion apoyo transversa'!BR142</f>
        <v>1</v>
      </c>
      <c r="AB198" s="220">
        <f t="shared" si="172"/>
        <v>1</v>
      </c>
      <c r="AC198" s="219">
        <f t="shared" si="173"/>
        <v>1</v>
      </c>
      <c r="AD198" s="216"/>
      <c r="AE198" s="222">
        <f>+'Plan de Accion apoyo transversa'!BX142</f>
        <v>0</v>
      </c>
      <c r="AF198" s="253" t="str">
        <f>+'Plan de Accion apoyo transversa'!CK142</f>
        <v>No Prog ni Ejec</v>
      </c>
      <c r="AG198" s="215" t="s">
        <v>204</v>
      </c>
      <c r="AH198" s="253">
        <f>+'Plan de Accion apoyo transversa'!CB142</f>
        <v>1</v>
      </c>
      <c r="AI198" s="214">
        <f t="shared" si="174"/>
        <v>1</v>
      </c>
      <c r="AJ198" s="233"/>
      <c r="AK198" s="240"/>
      <c r="AL198" s="1410"/>
      <c r="AM198" s="1410"/>
      <c r="AN198" s="207"/>
      <c r="AO198" s="1439"/>
      <c r="AP198" s="1410"/>
      <c r="AQ198" s="207"/>
      <c r="AR198" s="1410"/>
      <c r="AS198" s="1410"/>
      <c r="AT198" s="207"/>
      <c r="AU198" s="1410"/>
      <c r="AV198" s="1410"/>
      <c r="AW198" s="205"/>
      <c r="AX198" s="232"/>
      <c r="AY198" s="239"/>
      <c r="AZ198" s="1410"/>
      <c r="BA198" s="1410"/>
      <c r="BB198" s="207"/>
      <c r="BC198" s="1439"/>
      <c r="BD198" s="1410"/>
      <c r="BE198" s="207"/>
      <c r="BF198" s="1410"/>
      <c r="BG198" s="1410"/>
      <c r="BH198" s="207"/>
      <c r="BI198" s="1410"/>
      <c r="BJ198" s="1410"/>
      <c r="BK198" s="205"/>
      <c r="BL198" s="232"/>
      <c r="BN198" s="1410"/>
      <c r="BO198" s="1410"/>
      <c r="BP198" s="207"/>
      <c r="BQ198" s="1439"/>
      <c r="BR198" s="1410"/>
      <c r="BS198" s="207"/>
      <c r="BT198" s="1410"/>
      <c r="BU198" s="1410"/>
      <c r="BV198" s="207"/>
      <c r="BW198" s="1410"/>
      <c r="BX198" s="1410"/>
      <c r="BY198" s="205"/>
      <c r="BZ198" s="232"/>
      <c r="CB198" s="1410"/>
      <c r="CC198" s="1410"/>
      <c r="CD198" s="207"/>
      <c r="CE198" s="1439"/>
      <c r="CF198" s="1410"/>
      <c r="CG198" s="207"/>
      <c r="CH198" s="1410"/>
      <c r="CI198" s="1410"/>
      <c r="CJ198" s="207"/>
      <c r="CK198" s="1410"/>
      <c r="CL198" s="1410"/>
      <c r="CM198" s="205"/>
      <c r="CN198" s="232"/>
    </row>
    <row r="199" spans="2:92" ht="102" customHeight="1" x14ac:dyDescent="0.25">
      <c r="B199" s="1372"/>
      <c r="C199" s="1314"/>
      <c r="D199" s="1316" t="s">
        <v>204</v>
      </c>
      <c r="E199" s="1319" t="s">
        <v>1188</v>
      </c>
      <c r="F199" s="1316" t="s">
        <v>336</v>
      </c>
      <c r="G199" s="295" t="str">
        <f>+'Plan de Accion apoyo transversa'!X153</f>
        <v>Política publicada en página web.</v>
      </c>
      <c r="H199" s="227" t="str">
        <f>+'Plan de Accion apoyo transversa'!AK153</f>
        <v># Políticas publicadas en página web.</v>
      </c>
      <c r="I199" s="241"/>
      <c r="J199" s="221">
        <f>+'Plan de Accion apoyo transversa'!AT153</f>
        <v>0</v>
      </c>
      <c r="K199" s="483" t="str">
        <f>+'Plan de Accion apoyo transversa'!CE153</f>
        <v>No Prog ni Ejec</v>
      </c>
      <c r="L199" s="483" t="s">
        <v>204</v>
      </c>
      <c r="M199" s="483">
        <f>+'Plan de Accion apoyo transversa'!AX153</f>
        <v>0</v>
      </c>
      <c r="N199" s="483">
        <f t="shared" si="103"/>
        <v>0</v>
      </c>
      <c r="O199" s="485" t="s">
        <v>204</v>
      </c>
      <c r="P199" s="216"/>
      <c r="Q199" s="221">
        <f>+'Plan de Accion apoyo transversa'!BD153</f>
        <v>0</v>
      </c>
      <c r="R199" s="253">
        <f>+'Plan de Accion apoyo transversa'!CG153</f>
        <v>0</v>
      </c>
      <c r="S199" s="215">
        <f t="shared" si="168"/>
        <v>0</v>
      </c>
      <c r="T199" s="311">
        <f>+'Plan de Accion apoyo transversa'!BH153</f>
        <v>0</v>
      </c>
      <c r="U199" s="311">
        <f t="shared" si="169"/>
        <v>0</v>
      </c>
      <c r="V199" s="214">
        <f t="shared" si="170"/>
        <v>0</v>
      </c>
      <c r="W199" s="216"/>
      <c r="X199" s="221">
        <f>+'Plan de Accion apoyo transversa'!BN153</f>
        <v>1</v>
      </c>
      <c r="Y199" s="253" t="str">
        <f>+'Plan de Accion apoyo transversa'!CI153</f>
        <v>No Prog, Ejec=  1</v>
      </c>
      <c r="Z199" s="215" t="s">
        <v>204</v>
      </c>
      <c r="AA199" s="220">
        <f>+'Plan de Accion apoyo transversa'!BR153</f>
        <v>1</v>
      </c>
      <c r="AB199" s="220">
        <f t="shared" si="172"/>
        <v>1</v>
      </c>
      <c r="AC199" s="219">
        <f t="shared" si="173"/>
        <v>1</v>
      </c>
      <c r="AD199" s="216"/>
      <c r="AE199" s="222">
        <f>+'Plan de Accion apoyo transversa'!BX153</f>
        <v>0</v>
      </c>
      <c r="AF199" s="253" t="str">
        <f>+'Plan de Accion apoyo transversa'!CK153</f>
        <v>No Prog ni Ejec</v>
      </c>
      <c r="AG199" s="215" t="s">
        <v>204</v>
      </c>
      <c r="AH199" s="253">
        <f>+'Plan de Accion apoyo transversa'!CB153</f>
        <v>1</v>
      </c>
      <c r="AI199" s="214">
        <f t="shared" si="174"/>
        <v>1</v>
      </c>
      <c r="AJ199" s="233"/>
      <c r="AK199" s="240"/>
      <c r="AL199" s="1410"/>
      <c r="AM199" s="1410"/>
      <c r="AN199" s="207"/>
      <c r="AO199" s="1439"/>
      <c r="AP199" s="1410"/>
      <c r="AQ199" s="207"/>
      <c r="AR199" s="1410"/>
      <c r="AS199" s="1410"/>
      <c r="AT199" s="207"/>
      <c r="AU199" s="1410"/>
      <c r="AV199" s="1410"/>
      <c r="AW199" s="205"/>
      <c r="AX199" s="232"/>
      <c r="AY199" s="239"/>
      <c r="AZ199" s="1410"/>
      <c r="BA199" s="1410"/>
      <c r="BB199" s="207"/>
      <c r="BC199" s="1439"/>
      <c r="BD199" s="1410"/>
      <c r="BE199" s="207"/>
      <c r="BF199" s="1410"/>
      <c r="BG199" s="1410"/>
      <c r="BH199" s="207"/>
      <c r="BI199" s="1410"/>
      <c r="BJ199" s="1410"/>
      <c r="BK199" s="205"/>
      <c r="BL199" s="232"/>
      <c r="BN199" s="1410"/>
      <c r="BO199" s="1410"/>
      <c r="BP199" s="207"/>
      <c r="BQ199" s="1439"/>
      <c r="BR199" s="1410"/>
      <c r="BS199" s="207"/>
      <c r="BT199" s="1410"/>
      <c r="BU199" s="1410"/>
      <c r="BV199" s="207"/>
      <c r="BW199" s="1410"/>
      <c r="BX199" s="1410"/>
      <c r="BY199" s="205"/>
      <c r="BZ199" s="232"/>
      <c r="CB199" s="1410"/>
      <c r="CC199" s="1410"/>
      <c r="CD199" s="207"/>
      <c r="CE199" s="1439"/>
      <c r="CF199" s="1410"/>
      <c r="CG199" s="207"/>
      <c r="CH199" s="1410"/>
      <c r="CI199" s="1410"/>
      <c r="CJ199" s="207"/>
      <c r="CK199" s="1410"/>
      <c r="CL199" s="1410"/>
      <c r="CM199" s="205"/>
      <c r="CN199" s="232"/>
    </row>
    <row r="200" spans="2:92" ht="72" thickBot="1" x14ac:dyDescent="0.3">
      <c r="B200" s="1372"/>
      <c r="C200" s="1314"/>
      <c r="D200" s="1317"/>
      <c r="E200" s="1320"/>
      <c r="F200" s="1317"/>
      <c r="G200" s="295" t="str">
        <f>+'Plan de Accion apoyo transversa'!X159</f>
        <v>Informe consolidado de observaciones, recomendaciones y comentarios al Mapa de Riesgos y al Plan de Acción</v>
      </c>
      <c r="H200" s="227" t="str">
        <f>+'Plan de Accion apoyo transversa'!AK159</f>
        <v># informes al Mapa de Riesgos y al Plan de Acción</v>
      </c>
      <c r="I200" s="241"/>
      <c r="J200" s="221">
        <f>+'Plan de Accion apoyo transversa'!AT159</f>
        <v>1</v>
      </c>
      <c r="K200" s="483">
        <f>+'Plan de Accion apoyo transversa'!CE159</f>
        <v>1</v>
      </c>
      <c r="L200" s="483">
        <f t="shared" si="166"/>
        <v>1</v>
      </c>
      <c r="M200" s="483">
        <f>+'Plan de Accion apoyo transversa'!AX159</f>
        <v>1</v>
      </c>
      <c r="N200" s="483">
        <f t="shared" si="103"/>
        <v>1</v>
      </c>
      <c r="O200" s="485">
        <f>+N200</f>
        <v>1</v>
      </c>
      <c r="P200" s="216"/>
      <c r="Q200" s="221">
        <f>+'Plan de Accion apoyo transversa'!BD159</f>
        <v>0</v>
      </c>
      <c r="R200" s="253" t="str">
        <f>+'Plan de Accion apoyo transversa'!CG159</f>
        <v>No Prog ni Ejec</v>
      </c>
      <c r="S200" s="215" t="s">
        <v>204</v>
      </c>
      <c r="T200" s="311">
        <f>+'Plan de Accion apoyo transversa'!BH159</f>
        <v>1</v>
      </c>
      <c r="U200" s="311">
        <f t="shared" si="169"/>
        <v>1</v>
      </c>
      <c r="V200" s="214">
        <f t="shared" si="170"/>
        <v>1</v>
      </c>
      <c r="W200" s="216"/>
      <c r="X200" s="221">
        <f>+'Plan de Accion apoyo transversa'!BN159</f>
        <v>0</v>
      </c>
      <c r="Y200" s="253" t="str">
        <f>+'Plan de Accion apoyo transversa'!CI159</f>
        <v>No Prog ni Ejec</v>
      </c>
      <c r="Z200" s="215" t="s">
        <v>204</v>
      </c>
      <c r="AA200" s="220">
        <f>+'Plan de Accion apoyo transversa'!BR159</f>
        <v>1</v>
      </c>
      <c r="AB200" s="220">
        <f t="shared" si="172"/>
        <v>1</v>
      </c>
      <c r="AC200" s="219">
        <f t="shared" si="173"/>
        <v>1</v>
      </c>
      <c r="AD200" s="216"/>
      <c r="AE200" s="222">
        <f>+'Plan de Accion apoyo transversa'!BX159</f>
        <v>0</v>
      </c>
      <c r="AF200" s="253" t="str">
        <f>+'Plan de Accion apoyo transversa'!CK159</f>
        <v>No Prog ni Ejec</v>
      </c>
      <c r="AG200" s="215" t="s">
        <v>204</v>
      </c>
      <c r="AH200" s="253">
        <f>+'Plan de Accion apoyo transversa'!CB159</f>
        <v>1</v>
      </c>
      <c r="AI200" s="214">
        <f t="shared" si="174"/>
        <v>1</v>
      </c>
      <c r="AJ200" s="231"/>
      <c r="AK200" s="240"/>
      <c r="AL200" s="1411"/>
      <c r="AM200" s="1411"/>
      <c r="AN200" s="207"/>
      <c r="AO200" s="1440"/>
      <c r="AP200" s="1411"/>
      <c r="AQ200" s="207"/>
      <c r="AR200" s="1411"/>
      <c r="AS200" s="1411"/>
      <c r="AT200" s="207"/>
      <c r="AU200" s="1411"/>
      <c r="AV200" s="1411"/>
      <c r="AW200" s="205"/>
      <c r="AX200" s="230"/>
      <c r="AY200" s="239"/>
      <c r="AZ200" s="1411"/>
      <c r="BA200" s="1411"/>
      <c r="BB200" s="207"/>
      <c r="BC200" s="1440"/>
      <c r="BD200" s="1411"/>
      <c r="BE200" s="207"/>
      <c r="BF200" s="1411"/>
      <c r="BG200" s="1411"/>
      <c r="BH200" s="207"/>
      <c r="BI200" s="1411"/>
      <c r="BJ200" s="1411"/>
      <c r="BK200" s="205"/>
      <c r="BL200" s="230"/>
      <c r="BN200" s="1411"/>
      <c r="BO200" s="1411"/>
      <c r="BP200" s="207"/>
      <c r="BQ200" s="1440"/>
      <c r="BR200" s="1411"/>
      <c r="BS200" s="207"/>
      <c r="BT200" s="1411"/>
      <c r="BU200" s="1411"/>
      <c r="BV200" s="207"/>
      <c r="BW200" s="1411"/>
      <c r="BX200" s="1411"/>
      <c r="BY200" s="205"/>
      <c r="BZ200" s="230"/>
      <c r="CB200" s="1411"/>
      <c r="CC200" s="1411"/>
      <c r="CD200" s="207"/>
      <c r="CE200" s="1440"/>
      <c r="CF200" s="1411"/>
      <c r="CG200" s="207"/>
      <c r="CH200" s="1411"/>
      <c r="CI200" s="1411"/>
      <c r="CJ200" s="207"/>
      <c r="CK200" s="1411"/>
      <c r="CL200" s="1411"/>
      <c r="CM200" s="205"/>
      <c r="CN200" s="230"/>
    </row>
    <row r="201" spans="2:92" ht="90.75" customHeight="1" x14ac:dyDescent="0.25">
      <c r="B201" s="1372"/>
      <c r="C201" s="1314"/>
      <c r="D201" s="1317"/>
      <c r="E201" s="1320"/>
      <c r="F201" s="1317"/>
      <c r="G201" s="295" t="str">
        <f>+'Plan de Accion apoyo transversa'!X160</f>
        <v>Sección de publicación de información habilitada en el sitio de transparencia de la página Web</v>
      </c>
      <c r="H201" s="227" t="str">
        <f>+'Plan de Accion apoyo transversa'!AK160</f>
        <v># Secciones de publicación de información habilitadas</v>
      </c>
      <c r="I201" s="241"/>
      <c r="J201" s="221">
        <f>+'Plan de Accion apoyo transversa'!AT160</f>
        <v>0</v>
      </c>
      <c r="K201" s="483" t="str">
        <f>+'Plan de Accion apoyo transversa'!CE160</f>
        <v>No Prog ni Ejec</v>
      </c>
      <c r="L201" s="483" t="s">
        <v>204</v>
      </c>
      <c r="M201" s="483">
        <f>+'Plan de Accion apoyo transversa'!AX160</f>
        <v>0</v>
      </c>
      <c r="N201" s="483">
        <f t="shared" si="103"/>
        <v>0</v>
      </c>
      <c r="O201" s="485" t="s">
        <v>204</v>
      </c>
      <c r="P201" s="216"/>
      <c r="Q201" s="221">
        <f>+'Plan de Accion apoyo transversa'!BD160</f>
        <v>1</v>
      </c>
      <c r="R201" s="253">
        <f>+'Plan de Accion apoyo transversa'!CG160</f>
        <v>1</v>
      </c>
      <c r="S201" s="215">
        <f t="shared" si="168"/>
        <v>1</v>
      </c>
      <c r="T201" s="311">
        <f>+'Plan de Accion apoyo transversa'!BH160</f>
        <v>1</v>
      </c>
      <c r="U201" s="311">
        <f t="shared" si="169"/>
        <v>1</v>
      </c>
      <c r="V201" s="214">
        <f t="shared" si="170"/>
        <v>1</v>
      </c>
      <c r="W201" s="216"/>
      <c r="X201" s="221">
        <f>+'Plan de Accion apoyo transversa'!BN160</f>
        <v>0</v>
      </c>
      <c r="Y201" s="253" t="str">
        <f>+'Plan de Accion apoyo transversa'!CI160</f>
        <v>No Prog ni Ejec</v>
      </c>
      <c r="Z201" s="215" t="s">
        <v>204</v>
      </c>
      <c r="AA201" s="220">
        <f>+'Plan de Accion apoyo transversa'!BR160</f>
        <v>1</v>
      </c>
      <c r="AB201" s="220">
        <f t="shared" si="172"/>
        <v>1</v>
      </c>
      <c r="AC201" s="219">
        <f t="shared" si="173"/>
        <v>1</v>
      </c>
      <c r="AD201" s="216"/>
      <c r="AE201" s="222">
        <f>+'Plan de Accion apoyo transversa'!BX160</f>
        <v>0</v>
      </c>
      <c r="AF201" s="253" t="str">
        <f>+'Plan de Accion apoyo transversa'!CK160</f>
        <v>No Prog ni Ejec</v>
      </c>
      <c r="AG201" s="215" t="s">
        <v>204</v>
      </c>
      <c r="AH201" s="253">
        <f>+'Plan de Accion apoyo transversa'!CB160</f>
        <v>1</v>
      </c>
      <c r="AI201" s="214">
        <f t="shared" si="174"/>
        <v>1</v>
      </c>
      <c r="AJ201" s="233"/>
      <c r="AK201" s="240"/>
      <c r="AL201" s="210"/>
      <c r="AM201" s="210"/>
      <c r="AN201" s="207"/>
      <c r="AO201" s="211"/>
      <c r="AP201" s="210"/>
      <c r="AQ201" s="207"/>
      <c r="AR201" s="210"/>
      <c r="AS201" s="210"/>
      <c r="AT201" s="207"/>
      <c r="AU201" s="210"/>
      <c r="AV201" s="210"/>
      <c r="AW201" s="205"/>
      <c r="AX201" s="232"/>
      <c r="AY201" s="239"/>
      <c r="AZ201" s="210"/>
      <c r="BA201" s="210"/>
      <c r="BB201" s="207"/>
      <c r="BC201" s="211"/>
      <c r="BD201" s="210"/>
      <c r="BE201" s="207"/>
      <c r="BF201" s="210"/>
      <c r="BG201" s="210"/>
      <c r="BH201" s="207"/>
      <c r="BI201" s="210"/>
      <c r="BJ201" s="210"/>
      <c r="BK201" s="205"/>
      <c r="BL201" s="232"/>
      <c r="BN201" s="210"/>
      <c r="BO201" s="210"/>
      <c r="BP201" s="207"/>
      <c r="BQ201" s="211"/>
      <c r="BR201" s="210"/>
      <c r="BS201" s="207"/>
      <c r="BT201" s="210"/>
      <c r="BU201" s="210"/>
      <c r="BV201" s="207"/>
      <c r="BW201" s="210"/>
      <c r="BX201" s="210"/>
      <c r="BY201" s="205"/>
      <c r="BZ201" s="232"/>
      <c r="CB201" s="210"/>
      <c r="CC201" s="210"/>
      <c r="CD201" s="207"/>
      <c r="CE201" s="211"/>
      <c r="CF201" s="210"/>
      <c r="CG201" s="207"/>
      <c r="CH201" s="210"/>
      <c r="CI201" s="210"/>
      <c r="CJ201" s="207"/>
      <c r="CK201" s="210"/>
      <c r="CL201" s="210"/>
      <c r="CM201" s="205"/>
      <c r="CN201" s="232"/>
    </row>
    <row r="202" spans="2:92" ht="77.25" customHeight="1" x14ac:dyDescent="0.25">
      <c r="B202" s="1372"/>
      <c r="C202" s="1314"/>
      <c r="D202" s="1317"/>
      <c r="E202" s="1320"/>
      <c r="F202" s="1317"/>
      <c r="G202" s="295" t="str">
        <f>+'Plan de Accion apoyo transversa'!X161</f>
        <v>Informe de gestión de la entidad vigencia 2018 publicado</v>
      </c>
      <c r="H202" s="227" t="str">
        <f>+'Plan de Accion apoyo transversa'!AK161</f>
        <v># Informes de gestión publicados</v>
      </c>
      <c r="I202" s="241"/>
      <c r="J202" s="221">
        <f>+'Plan de Accion apoyo transversa'!AT161</f>
        <v>1</v>
      </c>
      <c r="K202" s="483">
        <f>+'Plan de Accion apoyo transversa'!CE161</f>
        <v>1</v>
      </c>
      <c r="L202" s="483">
        <f t="shared" si="166"/>
        <v>1</v>
      </c>
      <c r="M202" s="483">
        <f>+'Plan de Accion apoyo transversa'!AX161</f>
        <v>1</v>
      </c>
      <c r="N202" s="483">
        <f t="shared" si="103"/>
        <v>1</v>
      </c>
      <c r="O202" s="485">
        <f>+N202</f>
        <v>1</v>
      </c>
      <c r="P202" s="216"/>
      <c r="Q202" s="221">
        <f>+'Plan de Accion apoyo transversa'!BD161</f>
        <v>0</v>
      </c>
      <c r="R202" s="253" t="str">
        <f>+'Plan de Accion apoyo transversa'!CG161</f>
        <v>No Prog ni Ejec</v>
      </c>
      <c r="S202" s="215" t="s">
        <v>204</v>
      </c>
      <c r="T202" s="311">
        <f>+'Plan de Accion apoyo transversa'!BH161</f>
        <v>1</v>
      </c>
      <c r="U202" s="311">
        <f t="shared" si="169"/>
        <v>1</v>
      </c>
      <c r="V202" s="214">
        <f t="shared" si="170"/>
        <v>1</v>
      </c>
      <c r="W202" s="216"/>
      <c r="X202" s="221">
        <f>+'Plan de Accion apoyo transversa'!BN161</f>
        <v>0</v>
      </c>
      <c r="Y202" s="253" t="str">
        <f>+'Plan de Accion apoyo transversa'!CI161</f>
        <v>No Prog ni Ejec</v>
      </c>
      <c r="Z202" s="215" t="s">
        <v>204</v>
      </c>
      <c r="AA202" s="220">
        <f>+'Plan de Accion apoyo transversa'!BR161</f>
        <v>1</v>
      </c>
      <c r="AB202" s="220">
        <f t="shared" si="172"/>
        <v>1</v>
      </c>
      <c r="AC202" s="219">
        <f t="shared" si="173"/>
        <v>1</v>
      </c>
      <c r="AD202" s="216"/>
      <c r="AE202" s="222">
        <f>+'Plan de Accion apoyo transversa'!BX161</f>
        <v>0</v>
      </c>
      <c r="AF202" s="253" t="str">
        <f>+'Plan de Accion apoyo transversa'!CK161</f>
        <v>No Prog ni Ejec</v>
      </c>
      <c r="AG202" s="215" t="s">
        <v>204</v>
      </c>
      <c r="AH202" s="253">
        <f>+'Plan de Accion apoyo transversa'!CB161</f>
        <v>1</v>
      </c>
      <c r="AI202" s="214">
        <f t="shared" si="174"/>
        <v>1</v>
      </c>
      <c r="AJ202" s="233"/>
      <c r="AK202" s="240"/>
      <c r="AL202" s="210"/>
      <c r="AM202" s="210"/>
      <c r="AN202" s="207"/>
      <c r="AO202" s="211"/>
      <c r="AP202" s="210"/>
      <c r="AQ202" s="207"/>
      <c r="AR202" s="210"/>
      <c r="AS202" s="210"/>
      <c r="AT202" s="207"/>
      <c r="AU202" s="210"/>
      <c r="AV202" s="210"/>
      <c r="AW202" s="205"/>
      <c r="AX202" s="232"/>
      <c r="AY202" s="239"/>
      <c r="AZ202" s="210"/>
      <c r="BA202" s="210"/>
      <c r="BB202" s="207"/>
      <c r="BC202" s="211"/>
      <c r="BD202" s="210"/>
      <c r="BE202" s="207"/>
      <c r="BF202" s="210"/>
      <c r="BG202" s="210"/>
      <c r="BH202" s="207"/>
      <c r="BI202" s="210"/>
      <c r="BJ202" s="210"/>
      <c r="BK202" s="205"/>
      <c r="BL202" s="232"/>
      <c r="BN202" s="210"/>
      <c r="BO202" s="210"/>
      <c r="BP202" s="207"/>
      <c r="BQ202" s="211"/>
      <c r="BR202" s="210"/>
      <c r="BS202" s="207"/>
      <c r="BT202" s="210"/>
      <c r="BU202" s="210"/>
      <c r="BV202" s="207"/>
      <c r="BW202" s="210"/>
      <c r="BX202" s="210"/>
      <c r="BY202" s="205"/>
      <c r="BZ202" s="232"/>
      <c r="CB202" s="210"/>
      <c r="CC202" s="210"/>
      <c r="CD202" s="207"/>
      <c r="CE202" s="211"/>
      <c r="CF202" s="210"/>
      <c r="CG202" s="207"/>
      <c r="CH202" s="210"/>
      <c r="CI202" s="210"/>
      <c r="CJ202" s="207"/>
      <c r="CK202" s="210"/>
      <c r="CL202" s="210"/>
      <c r="CM202" s="205"/>
      <c r="CN202" s="232"/>
    </row>
    <row r="203" spans="2:92" ht="69.75" customHeight="1" x14ac:dyDescent="0.25">
      <c r="B203" s="1372"/>
      <c r="C203" s="1314"/>
      <c r="D203" s="1317"/>
      <c r="E203" s="1320"/>
      <c r="F203" s="1317"/>
      <c r="G203" s="295" t="str">
        <f>+'Plan de Accion apoyo transversa'!X162</f>
        <v>Informe de resultados de la estrategia de rendición de cuentas publicado en página web de la entidad.</v>
      </c>
      <c r="H203" s="227" t="str">
        <f>+'Plan de Accion apoyo transversa'!AK162</f>
        <v># Informes de resultados de la estrategia de rendición de cuentas publicados</v>
      </c>
      <c r="I203" s="241"/>
      <c r="J203" s="221">
        <f>+'Plan de Accion apoyo transversa'!AT162</f>
        <v>1</v>
      </c>
      <c r="K203" s="483">
        <f>+'Plan de Accion apoyo transversa'!CE162</f>
        <v>1</v>
      </c>
      <c r="L203" s="483">
        <f t="shared" si="166"/>
        <v>1</v>
      </c>
      <c r="M203" s="483">
        <f>+'Plan de Accion apoyo transversa'!AX162</f>
        <v>1</v>
      </c>
      <c r="N203" s="483">
        <f t="shared" si="103"/>
        <v>1</v>
      </c>
      <c r="O203" s="485">
        <f>+N203</f>
        <v>1</v>
      </c>
      <c r="P203" s="216"/>
      <c r="Q203" s="221">
        <f>+'Plan de Accion apoyo transversa'!BD162</f>
        <v>0</v>
      </c>
      <c r="R203" s="253" t="str">
        <f>+'Plan de Accion apoyo transversa'!CG162</f>
        <v>No Prog ni Ejec</v>
      </c>
      <c r="S203" s="215" t="s">
        <v>204</v>
      </c>
      <c r="T203" s="311">
        <f>+'Plan de Accion apoyo transversa'!BH162</f>
        <v>1</v>
      </c>
      <c r="U203" s="311">
        <f t="shared" si="169"/>
        <v>1</v>
      </c>
      <c r="V203" s="214">
        <f t="shared" si="170"/>
        <v>1</v>
      </c>
      <c r="W203" s="216"/>
      <c r="X203" s="221">
        <f>+'Plan de Accion apoyo transversa'!BN162</f>
        <v>0</v>
      </c>
      <c r="Y203" s="253" t="str">
        <f>+'Plan de Accion apoyo transversa'!CI162</f>
        <v>No Prog ni Ejec</v>
      </c>
      <c r="Z203" s="215" t="s">
        <v>204</v>
      </c>
      <c r="AA203" s="220">
        <f>+'Plan de Accion apoyo transversa'!BR162</f>
        <v>1</v>
      </c>
      <c r="AB203" s="220">
        <f t="shared" si="172"/>
        <v>1</v>
      </c>
      <c r="AC203" s="219">
        <f t="shared" si="173"/>
        <v>1</v>
      </c>
      <c r="AD203" s="216"/>
      <c r="AE203" s="222">
        <f>+'Plan de Accion apoyo transversa'!BX162</f>
        <v>0</v>
      </c>
      <c r="AF203" s="253" t="str">
        <f>+'Plan de Accion apoyo transversa'!CK162</f>
        <v>No Prog ni Ejec</v>
      </c>
      <c r="AG203" s="215" t="s">
        <v>204</v>
      </c>
      <c r="AH203" s="253">
        <f>+'Plan de Accion apoyo transversa'!CB162</f>
        <v>1</v>
      </c>
      <c r="AI203" s="214">
        <f t="shared" si="174"/>
        <v>1</v>
      </c>
      <c r="AJ203" s="233"/>
      <c r="AK203" s="240"/>
      <c r="AL203" s="210"/>
      <c r="AM203" s="210"/>
      <c r="AN203" s="207"/>
      <c r="AO203" s="211"/>
      <c r="AP203" s="210"/>
      <c r="AQ203" s="207"/>
      <c r="AR203" s="210"/>
      <c r="AS203" s="210"/>
      <c r="AT203" s="207"/>
      <c r="AU203" s="210"/>
      <c r="AV203" s="210"/>
      <c r="AW203" s="205"/>
      <c r="AX203" s="232"/>
      <c r="AY203" s="239"/>
      <c r="AZ203" s="210"/>
      <c r="BA203" s="210"/>
      <c r="BB203" s="207"/>
      <c r="BC203" s="211"/>
      <c r="BD203" s="210"/>
      <c r="BE203" s="207"/>
      <c r="BF203" s="210"/>
      <c r="BG203" s="210"/>
      <c r="BH203" s="207"/>
      <c r="BI203" s="210"/>
      <c r="BJ203" s="210"/>
      <c r="BK203" s="205"/>
      <c r="BL203" s="232"/>
      <c r="BN203" s="210"/>
      <c r="BO203" s="210"/>
      <c r="BP203" s="207"/>
      <c r="BQ203" s="211"/>
      <c r="BR203" s="210"/>
      <c r="BS203" s="207"/>
      <c r="BT203" s="210"/>
      <c r="BU203" s="210"/>
      <c r="BV203" s="207"/>
      <c r="BW203" s="210"/>
      <c r="BX203" s="210"/>
      <c r="BY203" s="205"/>
      <c r="BZ203" s="232"/>
      <c r="CB203" s="210"/>
      <c r="CC203" s="210"/>
      <c r="CD203" s="207"/>
      <c r="CE203" s="211"/>
      <c r="CF203" s="210"/>
      <c r="CG203" s="207"/>
      <c r="CH203" s="210"/>
      <c r="CI203" s="210"/>
      <c r="CJ203" s="207"/>
      <c r="CK203" s="210"/>
      <c r="CL203" s="210"/>
      <c r="CM203" s="205"/>
      <c r="CN203" s="232"/>
    </row>
    <row r="204" spans="2:92" ht="75.75" customHeight="1" x14ac:dyDescent="0.25">
      <c r="B204" s="1372"/>
      <c r="C204" s="1314"/>
      <c r="D204" s="1318"/>
      <c r="E204" s="1321"/>
      <c r="F204" s="1317"/>
      <c r="G204" s="295" t="str">
        <f>+'Plan de Accion apoyo transversa'!X163</f>
        <v>Solicitudes de publicación de información a las dependencias</v>
      </c>
      <c r="H204" s="227" t="str">
        <f>+'Plan de Accion apoyo transversa'!AK163</f>
        <v># Solicitudes realizadas a las dependencias / # solicitudes requeridas</v>
      </c>
      <c r="I204" s="241"/>
      <c r="J204" s="217">
        <f>+'Plan de Accion apoyo transversa'!AT163</f>
        <v>0.25</v>
      </c>
      <c r="K204" s="483">
        <f>+'Plan de Accion apoyo transversa'!CE163</f>
        <v>1</v>
      </c>
      <c r="L204" s="483">
        <f t="shared" si="166"/>
        <v>1</v>
      </c>
      <c r="M204" s="483">
        <f>+'Plan de Accion apoyo transversa'!AX163</f>
        <v>0.25</v>
      </c>
      <c r="N204" s="483">
        <f t="shared" si="103"/>
        <v>0.25</v>
      </c>
      <c r="O204" s="485">
        <f>+N204</f>
        <v>0.25</v>
      </c>
      <c r="P204" s="216"/>
      <c r="Q204" s="217">
        <f>+'Plan de Accion apoyo transversa'!BD163</f>
        <v>0.25</v>
      </c>
      <c r="R204" s="253">
        <f>+'Plan de Accion apoyo transversa'!CG163</f>
        <v>1</v>
      </c>
      <c r="S204" s="215">
        <f>IF(R204&gt;100%,100%,R204)</f>
        <v>1</v>
      </c>
      <c r="T204" s="311">
        <f>+'Plan de Accion apoyo transversa'!BH163</f>
        <v>0.5</v>
      </c>
      <c r="U204" s="311">
        <f t="shared" si="169"/>
        <v>0.5</v>
      </c>
      <c r="V204" s="214">
        <f t="shared" si="170"/>
        <v>0.5</v>
      </c>
      <c r="W204" s="216"/>
      <c r="X204" s="217">
        <f>+'Plan de Accion apoyo transversa'!BN163</f>
        <v>0.25</v>
      </c>
      <c r="Y204" s="253">
        <f>+'Plan de Accion apoyo transversa'!CI163</f>
        <v>1</v>
      </c>
      <c r="Z204" s="215">
        <f>IF(Y204&gt;100%,100%,Y204)</f>
        <v>1</v>
      </c>
      <c r="AA204" s="220">
        <f>+'Plan de Accion apoyo transversa'!BR163</f>
        <v>0.75</v>
      </c>
      <c r="AB204" s="220">
        <f t="shared" si="172"/>
        <v>0.75</v>
      </c>
      <c r="AC204" s="219">
        <f t="shared" si="173"/>
        <v>0.75</v>
      </c>
      <c r="AD204" s="216"/>
      <c r="AE204" s="217">
        <f>+'Plan de Accion apoyo transversa'!BX163</f>
        <v>0</v>
      </c>
      <c r="AF204" s="253">
        <f>+'Plan de Accion apoyo transversa'!CK163</f>
        <v>0</v>
      </c>
      <c r="AG204" s="215">
        <f>IF(AF204&gt;100%,100%,AF204)</f>
        <v>0</v>
      </c>
      <c r="AH204" s="253">
        <f>+'Plan de Accion apoyo transversa'!CB163</f>
        <v>0.75</v>
      </c>
      <c r="AI204" s="214">
        <f t="shared" si="174"/>
        <v>0.75</v>
      </c>
      <c r="AJ204" s="233"/>
      <c r="AK204" s="240"/>
      <c r="AL204" s="210"/>
      <c r="AM204" s="210"/>
      <c r="AN204" s="207"/>
      <c r="AO204" s="211"/>
      <c r="AP204" s="210"/>
      <c r="AQ204" s="207"/>
      <c r="AR204" s="210"/>
      <c r="AS204" s="210"/>
      <c r="AT204" s="207"/>
      <c r="AU204" s="210"/>
      <c r="AV204" s="210"/>
      <c r="AW204" s="205"/>
      <c r="AX204" s="232"/>
      <c r="AY204" s="239"/>
      <c r="AZ204" s="210"/>
      <c r="BA204" s="210"/>
      <c r="BB204" s="207"/>
      <c r="BC204" s="211"/>
      <c r="BD204" s="210"/>
      <c r="BE204" s="207"/>
      <c r="BF204" s="210"/>
      <c r="BG204" s="210"/>
      <c r="BH204" s="207"/>
      <c r="BI204" s="210"/>
      <c r="BJ204" s="210"/>
      <c r="BK204" s="205"/>
      <c r="BL204" s="232"/>
      <c r="BN204" s="210"/>
      <c r="BO204" s="210"/>
      <c r="BP204" s="207"/>
      <c r="BQ204" s="211"/>
      <c r="BR204" s="210"/>
      <c r="BS204" s="207"/>
      <c r="BT204" s="210"/>
      <c r="BU204" s="210"/>
      <c r="BV204" s="207"/>
      <c r="BW204" s="210"/>
      <c r="BX204" s="210"/>
      <c r="BY204" s="205"/>
      <c r="BZ204" s="232"/>
      <c r="CB204" s="210"/>
      <c r="CC204" s="210"/>
      <c r="CD204" s="207"/>
      <c r="CE204" s="211"/>
      <c r="CF204" s="210"/>
      <c r="CG204" s="207"/>
      <c r="CH204" s="210"/>
      <c r="CI204" s="210"/>
      <c r="CJ204" s="207"/>
      <c r="CK204" s="210"/>
      <c r="CL204" s="210"/>
      <c r="CM204" s="205"/>
      <c r="CN204" s="232"/>
    </row>
    <row r="205" spans="2:92" ht="75.75" customHeight="1" x14ac:dyDescent="0.25">
      <c r="B205" s="1372"/>
      <c r="C205" s="1314"/>
      <c r="D205" s="307" t="s">
        <v>204</v>
      </c>
      <c r="E205" s="322" t="s">
        <v>12</v>
      </c>
      <c r="F205" s="1317"/>
      <c r="G205" s="315" t="str">
        <f>+'Plan de Accion apoyo transversa'!X176</f>
        <v>Proyecto de resolución entregado al Ministerio de Salud para aprobación</v>
      </c>
      <c r="H205" s="227" t="str">
        <f>+'Plan de Accion apoyo transversa'!AK176</f>
        <v># Proyectos de Resolución entregados</v>
      </c>
      <c r="I205" s="241"/>
      <c r="J205" s="221">
        <f>+'Plan de Accion apoyo transversa'!AT176</f>
        <v>0</v>
      </c>
      <c r="K205" s="483" t="str">
        <f>+'Plan de Accion apoyo transversa'!CE176</f>
        <v>No Prog ni Ejec</v>
      </c>
      <c r="L205" s="483" t="s">
        <v>204</v>
      </c>
      <c r="M205" s="483">
        <f>+'Plan de Accion apoyo transversa'!AX176</f>
        <v>0</v>
      </c>
      <c r="N205" s="483">
        <f t="shared" si="103"/>
        <v>0</v>
      </c>
      <c r="O205" s="485" t="s">
        <v>204</v>
      </c>
      <c r="P205" s="216"/>
      <c r="Q205" s="221">
        <f>+'Plan de Accion apoyo transversa'!BD176</f>
        <v>0</v>
      </c>
      <c r="R205" s="311" t="str">
        <f>+'Plan de Accion apoyo transversa'!CG176</f>
        <v>No Prog ni Ejec</v>
      </c>
      <c r="S205" s="215" t="s">
        <v>204</v>
      </c>
      <c r="T205" s="311">
        <f>+'Plan de Accion apoyo transversa'!BH176</f>
        <v>0</v>
      </c>
      <c r="U205" s="311">
        <f t="shared" si="169"/>
        <v>0</v>
      </c>
      <c r="V205" s="214" t="s">
        <v>204</v>
      </c>
      <c r="W205" s="216"/>
      <c r="X205" s="221">
        <f>+'Plan de Accion apoyo transversa'!BN176</f>
        <v>0</v>
      </c>
      <c r="Y205" s="311" t="str">
        <f>+'Plan de Accion apoyo transversa'!CI176</f>
        <v>No Prog ni Ejec</v>
      </c>
      <c r="Z205" s="215" t="s">
        <v>204</v>
      </c>
      <c r="AA205" s="220">
        <f>+'Plan de Accion apoyo transversa'!BR176</f>
        <v>0</v>
      </c>
      <c r="AB205" s="220">
        <f t="shared" si="172"/>
        <v>0</v>
      </c>
      <c r="AC205" s="219" t="s">
        <v>204</v>
      </c>
      <c r="AD205" s="216"/>
      <c r="AE205" s="222">
        <f>+'Plan de Accion apoyo transversa'!BX176</f>
        <v>0</v>
      </c>
      <c r="AF205" s="311">
        <f>+'Plan de Accion apoyo transversa'!CK176</f>
        <v>0</v>
      </c>
      <c r="AG205" s="215">
        <f>IF(AF205&gt;100%,100%,AF205)</f>
        <v>0</v>
      </c>
      <c r="AH205" s="311">
        <f>+'Plan de Accion apoyo transversa'!CB176</f>
        <v>0</v>
      </c>
      <c r="AI205" s="214">
        <f t="shared" si="174"/>
        <v>0</v>
      </c>
      <c r="AJ205" s="233"/>
      <c r="AK205" s="240"/>
      <c r="AL205" s="316"/>
      <c r="AM205" s="316"/>
      <c r="AN205" s="207"/>
      <c r="AO205" s="317"/>
      <c r="AP205" s="316"/>
      <c r="AQ205" s="207"/>
      <c r="AR205" s="316"/>
      <c r="AS205" s="316"/>
      <c r="AT205" s="207"/>
      <c r="AU205" s="316"/>
      <c r="AV205" s="316"/>
      <c r="AW205" s="205"/>
      <c r="AX205" s="232"/>
      <c r="AY205" s="239"/>
      <c r="AZ205" s="316"/>
      <c r="BA205" s="316"/>
      <c r="BB205" s="207"/>
      <c r="BC205" s="317"/>
      <c r="BD205" s="316"/>
      <c r="BE205" s="207"/>
      <c r="BF205" s="316"/>
      <c r="BG205" s="316"/>
      <c r="BH205" s="207"/>
      <c r="BI205" s="316"/>
      <c r="BJ205" s="316"/>
      <c r="BK205" s="205"/>
      <c r="BL205" s="232"/>
      <c r="BN205" s="316"/>
      <c r="BO205" s="316"/>
      <c r="BP205" s="207"/>
      <c r="BQ205" s="317"/>
      <c r="BR205" s="316"/>
      <c r="BS205" s="207"/>
      <c r="BT205" s="316"/>
      <c r="BU205" s="316"/>
      <c r="BV205" s="207"/>
      <c r="BW205" s="316"/>
      <c r="BX205" s="316"/>
      <c r="BY205" s="205"/>
      <c r="BZ205" s="232"/>
      <c r="CB205" s="316"/>
      <c r="CC205" s="316"/>
      <c r="CD205" s="207"/>
      <c r="CE205" s="317"/>
      <c r="CF205" s="316"/>
      <c r="CG205" s="207"/>
      <c r="CH205" s="316"/>
      <c r="CI205" s="316"/>
      <c r="CJ205" s="207"/>
      <c r="CK205" s="316"/>
      <c r="CL205" s="316"/>
      <c r="CM205" s="205"/>
      <c r="CN205" s="232"/>
    </row>
    <row r="206" spans="2:92" ht="57.75" customHeight="1" x14ac:dyDescent="0.25">
      <c r="B206" s="1372"/>
      <c r="C206" s="1314"/>
      <c r="D206" s="307" t="s">
        <v>204</v>
      </c>
      <c r="E206" s="1316" t="str">
        <f>+'[7]Plan de Accion 2018'!B283</f>
        <v xml:space="preserve">Dirección de Otras Prestaciones  </v>
      </c>
      <c r="F206" s="1317"/>
      <c r="G206" s="315" t="str">
        <f>+'Plan de Accion apoyo transversa'!X165</f>
        <v>Formulario FURPEN mejorado</v>
      </c>
      <c r="H206" s="227" t="str">
        <f>+'Plan de Accion apoyo transversa'!AK165</f>
        <v># Formularios FURPEN mejorados</v>
      </c>
      <c r="I206" s="241"/>
      <c r="J206" s="221">
        <f>+'Plan de Accion apoyo transversa'!AT165</f>
        <v>0</v>
      </c>
      <c r="K206" s="483">
        <f>+'Plan de Accion apoyo transversa'!CE165</f>
        <v>0</v>
      </c>
      <c r="L206" s="483">
        <f t="shared" ref="L206:L213" si="175">IF(K206&gt;100%,100%,K206)</f>
        <v>0</v>
      </c>
      <c r="M206" s="311">
        <f>+'Plan de Accion apoyo transversa'!AX165</f>
        <v>0</v>
      </c>
      <c r="N206" s="483">
        <f t="shared" si="103"/>
        <v>0</v>
      </c>
      <c r="O206" s="312">
        <f>+N206</f>
        <v>0</v>
      </c>
      <c r="P206" s="216"/>
      <c r="Q206" s="221" t="s">
        <v>204</v>
      </c>
      <c r="R206" s="311" t="str">
        <f>+'Plan de Accion apoyo transversa'!CG165</f>
        <v>No Prog ni Ejec</v>
      </c>
      <c r="S206" s="215" t="s">
        <v>204</v>
      </c>
      <c r="T206" s="682">
        <f>+'Plan de Accion apoyo transversa'!BH165</f>
        <v>0</v>
      </c>
      <c r="U206" s="682">
        <f t="shared" ref="U206" si="176">IF(T206&gt;100%,100%,T206)</f>
        <v>0</v>
      </c>
      <c r="V206" s="214">
        <f t="shared" ref="V206" si="177">+U206</f>
        <v>0</v>
      </c>
      <c r="W206" s="216"/>
      <c r="X206" s="221" t="s">
        <v>204</v>
      </c>
      <c r="Y206" s="311" t="str">
        <f>+'Plan de Accion apoyo transversa'!CI165</f>
        <v>No Prog ni Ejec</v>
      </c>
      <c r="Z206" s="215" t="s">
        <v>204</v>
      </c>
      <c r="AA206" s="220">
        <f>+'Plan de Accion apoyo transversa'!BR165</f>
        <v>0</v>
      </c>
      <c r="AB206" s="220">
        <f t="shared" ref="AB206" si="178">IF(AA206&gt;100%,100%,AA206)</f>
        <v>0</v>
      </c>
      <c r="AC206" s="219">
        <f t="shared" ref="AC206" si="179">+AB206</f>
        <v>0</v>
      </c>
      <c r="AD206" s="216"/>
      <c r="AE206" s="222" t="s">
        <v>204</v>
      </c>
      <c r="AF206" s="311" t="str">
        <f>+'Plan de Accion apoyo transversa'!CK165</f>
        <v>No Prog ni Ejec</v>
      </c>
      <c r="AG206" s="215" t="s">
        <v>204</v>
      </c>
      <c r="AH206" s="682">
        <f>+'Plan de Accion apoyo transversa'!CB165</f>
        <v>0</v>
      </c>
      <c r="AI206" s="214">
        <f t="shared" ref="AI206" si="180">IF(AH206&gt;100%,100%,AH206)</f>
        <v>0</v>
      </c>
      <c r="AJ206" s="233"/>
      <c r="AK206" s="240"/>
      <c r="AL206" s="210"/>
      <c r="AM206" s="210"/>
      <c r="AN206" s="207"/>
      <c r="AO206" s="211"/>
      <c r="AP206" s="210"/>
      <c r="AQ206" s="207"/>
      <c r="AR206" s="210"/>
      <c r="AS206" s="210"/>
      <c r="AT206" s="207"/>
      <c r="AU206" s="210"/>
      <c r="AV206" s="210"/>
      <c r="AW206" s="205"/>
      <c r="AX206" s="232"/>
      <c r="AY206" s="239"/>
      <c r="AZ206" s="210"/>
      <c r="BA206" s="210"/>
      <c r="BB206" s="207"/>
      <c r="BC206" s="211"/>
      <c r="BD206" s="210"/>
      <c r="BE206" s="207"/>
      <c r="BF206" s="210"/>
      <c r="BG206" s="210"/>
      <c r="BH206" s="207"/>
      <c r="BI206" s="210"/>
      <c r="BJ206" s="210"/>
      <c r="BK206" s="205"/>
      <c r="BL206" s="232"/>
      <c r="BN206" s="210"/>
      <c r="BO206" s="210"/>
      <c r="BP206" s="207"/>
      <c r="BQ206" s="211"/>
      <c r="BR206" s="210"/>
      <c r="BS206" s="207"/>
      <c r="BT206" s="210"/>
      <c r="BU206" s="210"/>
      <c r="BV206" s="207"/>
      <c r="BW206" s="210"/>
      <c r="BX206" s="210"/>
      <c r="BY206" s="205"/>
      <c r="BZ206" s="232"/>
      <c r="CB206" s="210"/>
      <c r="CC206" s="210"/>
      <c r="CD206" s="207"/>
      <c r="CE206" s="211"/>
      <c r="CF206" s="210"/>
      <c r="CG206" s="207"/>
      <c r="CH206" s="210"/>
      <c r="CI206" s="210"/>
      <c r="CJ206" s="207"/>
      <c r="CK206" s="210"/>
      <c r="CL206" s="210"/>
      <c r="CM206" s="205"/>
      <c r="CN206" s="232"/>
    </row>
    <row r="207" spans="2:92" ht="57.75" customHeight="1" thickBot="1" x14ac:dyDescent="0.3">
      <c r="B207" s="1373"/>
      <c r="C207" s="1315"/>
      <c r="D207" s="551" t="s">
        <v>204</v>
      </c>
      <c r="E207" s="1374"/>
      <c r="F207" s="1374"/>
      <c r="G207" s="557" t="str">
        <f>+'Plan de Accion apoyo transversa'!X187</f>
        <v>Formulario FURPEN mejorado</v>
      </c>
      <c r="H207" s="227" t="str">
        <f>+'Plan de Accion apoyo transversa'!AK187</f>
        <v># Formularios FURPEN mejorados</v>
      </c>
      <c r="I207" s="241"/>
      <c r="J207" s="221">
        <f>+'Plan de Accion apoyo transversa'!AT187</f>
        <v>0</v>
      </c>
      <c r="K207" s="552" t="str">
        <f>+'Plan de Accion apoyo transversa'!CE187</f>
        <v>No Prog ni Ejec</v>
      </c>
      <c r="L207" s="552" t="s">
        <v>204</v>
      </c>
      <c r="M207" s="552">
        <f>+'Plan de Accion apoyo transversa'!AX187</f>
        <v>0</v>
      </c>
      <c r="N207" s="552">
        <f t="shared" ref="N207" si="181">IF(M207&gt;100%,100%,M207)</f>
        <v>0</v>
      </c>
      <c r="O207" s="554" t="s">
        <v>204</v>
      </c>
      <c r="P207" s="216"/>
      <c r="Q207" s="446">
        <f>+'Plan de Accion apoyo transversa'!BD187</f>
        <v>0</v>
      </c>
      <c r="R207" s="658" t="str">
        <f>+'Plan de Accion apoyo transversa'!CG187</f>
        <v>No Prog ni Ejec</v>
      </c>
      <c r="S207" s="447" t="s">
        <v>204</v>
      </c>
      <c r="T207" s="658">
        <f>+'Plan de Accion apoyo transversa'!BH187</f>
        <v>0</v>
      </c>
      <c r="U207" s="658">
        <f t="shared" ref="U207" si="182">IF(T207&gt;100%,100%,T207)</f>
        <v>0</v>
      </c>
      <c r="V207" s="449" t="s">
        <v>204</v>
      </c>
      <c r="W207" s="216"/>
      <c r="X207" s="221">
        <f>+'Plan de Accion apoyo transversa'!BN187</f>
        <v>0</v>
      </c>
      <c r="Y207" s="552" t="str">
        <f>+'Plan de Accion apoyo transversa'!CI187</f>
        <v>No Prog ni Ejec</v>
      </c>
      <c r="Z207" s="215" t="s">
        <v>204</v>
      </c>
      <c r="AA207" s="220">
        <f>+'Plan de Accion apoyo transversa'!BR187</f>
        <v>0</v>
      </c>
      <c r="AB207" s="220">
        <f t="shared" ref="AB207" si="183">IF(AA207&gt;100%,100%,AA207)</f>
        <v>0</v>
      </c>
      <c r="AC207" s="219" t="s">
        <v>204</v>
      </c>
      <c r="AD207" s="216"/>
      <c r="AE207" s="222">
        <f>+'Plan de Accion apoyo transversa'!BX187</f>
        <v>0</v>
      </c>
      <c r="AF207" s="552">
        <f>+'Plan de Accion apoyo transversa'!CK187</f>
        <v>0</v>
      </c>
      <c r="AG207" s="215">
        <f>IF(AF207&gt;100%,100%,AF207)</f>
        <v>0</v>
      </c>
      <c r="AH207" s="552">
        <f>+'Plan de Accion apoyo transversa'!CB187</f>
        <v>0</v>
      </c>
      <c r="AI207" s="214">
        <f t="shared" ref="AI207" si="184">IF(AH207&gt;100%,100%,AH207)</f>
        <v>0</v>
      </c>
      <c r="AJ207" s="568"/>
      <c r="AK207" s="240"/>
      <c r="AL207" s="562"/>
      <c r="AM207" s="238"/>
      <c r="AN207" s="207"/>
      <c r="AO207" s="562"/>
      <c r="AP207" s="238"/>
      <c r="AQ207" s="207"/>
      <c r="AR207" s="562"/>
      <c r="AS207" s="238"/>
      <c r="AT207" s="207"/>
      <c r="AU207" s="562"/>
      <c r="AV207" s="238"/>
      <c r="AW207" s="205"/>
      <c r="AX207" s="568"/>
      <c r="AY207" s="239"/>
      <c r="AZ207" s="562"/>
      <c r="BA207" s="238"/>
      <c r="BB207" s="207"/>
      <c r="BC207" s="562"/>
      <c r="BD207" s="238"/>
      <c r="BE207" s="207"/>
      <c r="BF207" s="562"/>
      <c r="BG207" s="238"/>
      <c r="BH207" s="207"/>
      <c r="BI207" s="562"/>
      <c r="BJ207" s="238"/>
      <c r="BK207" s="205"/>
      <c r="BL207" s="568"/>
      <c r="BN207" s="562"/>
      <c r="BO207" s="238"/>
      <c r="BP207" s="207"/>
      <c r="BQ207" s="562"/>
      <c r="BR207" s="238"/>
      <c r="BS207" s="207"/>
      <c r="BT207" s="562"/>
      <c r="BU207" s="238"/>
      <c r="BV207" s="207"/>
      <c r="BW207" s="562"/>
      <c r="BX207" s="238"/>
      <c r="BY207" s="205"/>
      <c r="BZ207" s="568"/>
      <c r="CB207" s="562"/>
      <c r="CC207" s="238"/>
      <c r="CD207" s="207"/>
      <c r="CE207" s="562"/>
      <c r="CF207" s="238"/>
      <c r="CG207" s="207"/>
      <c r="CH207" s="562"/>
      <c r="CI207" s="238"/>
      <c r="CJ207" s="207"/>
      <c r="CK207" s="562"/>
      <c r="CL207" s="238"/>
      <c r="CM207" s="205"/>
      <c r="CN207" s="568"/>
    </row>
    <row r="208" spans="2:92" ht="20.25" thickBot="1" x14ac:dyDescent="0.3">
      <c r="B208" s="1357" t="s">
        <v>216</v>
      </c>
      <c r="C208" s="1392"/>
      <c r="D208" s="1393"/>
      <c r="E208" s="1358"/>
      <c r="F208" s="1359"/>
      <c r="G208" s="1359"/>
      <c r="H208" s="1360"/>
      <c r="J208" s="200" t="s">
        <v>204</v>
      </c>
      <c r="K208" s="199">
        <f>AVERAGE(K133,K138:K207)</f>
        <v>0.92512577569127219</v>
      </c>
      <c r="L208" s="199">
        <f t="shared" si="175"/>
        <v>0.92512577569127219</v>
      </c>
      <c r="M208" s="199">
        <f>AVERAGE(M133,M138:M207)</f>
        <v>0.22264593576361133</v>
      </c>
      <c r="N208" s="199">
        <f>IF(M208&gt;25%,25%,M208)</f>
        <v>0.22264593576361133</v>
      </c>
      <c r="O208" s="202">
        <f>AVERAGE(O133,O138:O207)</f>
        <v>0.34173562233484528</v>
      </c>
      <c r="P208" s="201"/>
      <c r="Q208" s="200" t="s">
        <v>204</v>
      </c>
      <c r="R208" s="203">
        <f>AVERAGE(R133:R207)</f>
        <v>0.9895068481563406</v>
      </c>
      <c r="S208" s="199">
        <f>IF(R208&gt;100%,100%,R208)</f>
        <v>0.9895068481563406</v>
      </c>
      <c r="T208" s="199">
        <f>AVERAGE(T133:T207)</f>
        <v>0.36574578253236795</v>
      </c>
      <c r="U208" s="199">
        <f>IF(T208&gt;50%,50%,T208)</f>
        <v>0.36574578253236795</v>
      </c>
      <c r="V208" s="799">
        <f>AVERAGE(V133:V207)</f>
        <v>0.49483252930849786</v>
      </c>
      <c r="W208" s="201"/>
      <c r="X208" s="200" t="s">
        <v>204</v>
      </c>
      <c r="Y208" s="203">
        <f>AVERAGE(Y133:Y207)</f>
        <v>0.93864889395612183</v>
      </c>
      <c r="Z208" s="199">
        <f>IF(Y208&gt;100%,100%,Y208)</f>
        <v>0.93864889395612183</v>
      </c>
      <c r="AA208" s="1025">
        <f>AVERAGE(AA133:AA207)</f>
        <v>0.60332058334490546</v>
      </c>
      <c r="AB208" s="1025">
        <f>IF(AA208&gt;75%,75%,AA208)</f>
        <v>0.60332058334490546</v>
      </c>
      <c r="AC208" s="1026">
        <f>AVERAGE(AC133:AC207)</f>
        <v>0.67681888334644824</v>
      </c>
      <c r="AD208" s="201"/>
      <c r="AE208" s="200" t="s">
        <v>204</v>
      </c>
      <c r="AF208" s="203">
        <f>AVERAGE(AF133:AF207)</f>
        <v>0</v>
      </c>
      <c r="AG208" s="199">
        <f>IF(AF208&gt;100%,100%,AF208)</f>
        <v>0</v>
      </c>
      <c r="AH208" s="203">
        <f>AVERAGE(AH133:AH207)</f>
        <v>0.75518882293173162</v>
      </c>
      <c r="AI208" s="202">
        <f>AVERAGE(AI133:AI207)</f>
        <v>0.57119506392507857</v>
      </c>
      <c r="AL208" s="196"/>
      <c r="AM208" s="195"/>
      <c r="AN208" s="197"/>
      <c r="AO208" s="196"/>
      <c r="AP208" s="195"/>
      <c r="AQ208" s="197"/>
      <c r="AR208" s="196"/>
      <c r="AS208" s="195"/>
      <c r="AT208" s="197"/>
      <c r="AU208" s="196"/>
      <c r="AV208" s="195"/>
      <c r="AZ208" s="196"/>
      <c r="BA208" s="195"/>
      <c r="BB208" s="197"/>
      <c r="BC208" s="196"/>
      <c r="BD208" s="195"/>
      <c r="BE208" s="197"/>
      <c r="BF208" s="196"/>
      <c r="BG208" s="195"/>
      <c r="BH208" s="197"/>
      <c r="BI208" s="196"/>
      <c r="BJ208" s="195"/>
      <c r="BN208" s="196"/>
      <c r="BO208" s="195"/>
      <c r="BP208" s="197"/>
      <c r="BQ208" s="196"/>
      <c r="BR208" s="195"/>
      <c r="BS208" s="197"/>
      <c r="BT208" s="196"/>
      <c r="BU208" s="195"/>
      <c r="BV208" s="197"/>
      <c r="BW208" s="196"/>
      <c r="BX208" s="195"/>
      <c r="CB208" s="196"/>
      <c r="CC208" s="195"/>
      <c r="CD208" s="197"/>
      <c r="CE208" s="196"/>
      <c r="CF208" s="195"/>
      <c r="CG208" s="197"/>
      <c r="CH208" s="196"/>
      <c r="CI208" s="195"/>
      <c r="CJ208" s="197"/>
      <c r="CK208" s="196"/>
      <c r="CL208" s="195"/>
    </row>
    <row r="209" spans="2:92" ht="89.25" customHeight="1" x14ac:dyDescent="0.2">
      <c r="B209" s="1454" t="s">
        <v>1158</v>
      </c>
      <c r="C209" s="1313" t="s">
        <v>1170</v>
      </c>
      <c r="D209" s="1364" t="s">
        <v>1152</v>
      </c>
      <c r="E209" s="1364" t="s">
        <v>13</v>
      </c>
      <c r="F209" s="1444" t="s">
        <v>330</v>
      </c>
      <c r="G209" s="297" t="str">
        <f>+'Plan de Accion Proyectos estrat'!K14</f>
        <v>Apoyos técnicos enviados a la OAJ en recobros y reclamaciones una vez son entregados los reportes a la DOP por la Dirección de Tecnología de la Información</v>
      </c>
      <c r="H209" s="223" t="str">
        <f>+'Plan de Accion Proyectos estrat'!X14</f>
        <v># Apoyos técnicos resueltos y entregados por la DOP a la OAJ / # apoyos técnicos entregados  a DOP por la Dirección de Tecnología, los cuales fueron solicitados por la OAJ</v>
      </c>
      <c r="J209" s="310">
        <f>+'Plan de Accion Proyectos estrat'!AG14</f>
        <v>0.25</v>
      </c>
      <c r="K209" s="483">
        <f>+'Plan de Accion Proyectos estrat'!AI14</f>
        <v>1</v>
      </c>
      <c r="L209" s="483">
        <f t="shared" si="175"/>
        <v>1</v>
      </c>
      <c r="M209" s="483">
        <f>+'Plan de Accion Proyectos estrat'!AK14</f>
        <v>0.25</v>
      </c>
      <c r="N209" s="483">
        <f t="shared" si="103"/>
        <v>0.25</v>
      </c>
      <c r="O209" s="485">
        <f>+N209</f>
        <v>0.25</v>
      </c>
      <c r="P209" s="216"/>
      <c r="Q209" s="310">
        <f>+'Plan de Accion Proyectos estrat'!AQ14</f>
        <v>0.25</v>
      </c>
      <c r="R209" s="311">
        <f>+'Plan de Accion Proyectos estrat'!AS14</f>
        <v>1</v>
      </c>
      <c r="S209" s="215">
        <f t="shared" ref="S209:S215" si="185">IF(R209&gt;100%,100%,R209)</f>
        <v>1</v>
      </c>
      <c r="T209" s="311">
        <f>+'Plan de Accion Proyectos estrat'!AU14</f>
        <v>0.5</v>
      </c>
      <c r="U209" s="311">
        <f t="shared" ref="U209:U215" si="186">IF(T209&gt;100%,100%,T209)</f>
        <v>0.5</v>
      </c>
      <c r="V209" s="214">
        <f t="shared" ref="V209:V215" si="187">+U209</f>
        <v>0.5</v>
      </c>
      <c r="W209" s="216"/>
      <c r="X209" s="310">
        <f>+'Plan de Accion Proyectos estrat'!BA14</f>
        <v>0.25</v>
      </c>
      <c r="Y209" s="311">
        <f>+'Plan de Accion Proyectos estrat'!BC14</f>
        <v>1</v>
      </c>
      <c r="Z209" s="215">
        <f t="shared" ref="Z209:Z214" si="188">IF(Y209&gt;100%,100%,Y209)</f>
        <v>1</v>
      </c>
      <c r="AA209" s="220">
        <f>+'Plan de Accion Proyectos estrat'!BE14</f>
        <v>0.75</v>
      </c>
      <c r="AB209" s="220">
        <f t="shared" ref="AB209:AB215" si="189">IF(AA209&gt;100%,100%,AA209)</f>
        <v>0.75</v>
      </c>
      <c r="AC209" s="219">
        <f t="shared" ref="AC209:AC214" si="190">+AB209</f>
        <v>0.75</v>
      </c>
      <c r="AD209" s="216"/>
      <c r="AE209" s="310">
        <f>+'Plan de Accion Proyectos estrat'!BK14</f>
        <v>0</v>
      </c>
      <c r="AF209" s="311">
        <f>+'Plan de Accion Proyectos estrat'!BM14</f>
        <v>0</v>
      </c>
      <c r="AG209" s="215">
        <f t="shared" ref="AG209:AG215" si="191">IF(AF209&gt;100%,100%,AF209)</f>
        <v>0</v>
      </c>
      <c r="AH209" s="311">
        <f>+'Plan de Accion Proyectos estrat'!BO14</f>
        <v>0.75</v>
      </c>
      <c r="AI209" s="214">
        <f t="shared" ref="AI209:AI215" si="192">IF(AH209&gt;100%,100%,AH209)</f>
        <v>0.75</v>
      </c>
      <c r="AJ209" s="1432"/>
      <c r="AL209" s="1435"/>
      <c r="AM209" s="1409"/>
      <c r="AN209" s="207"/>
      <c r="AO209" s="1438"/>
      <c r="AP209" s="1409"/>
      <c r="AQ209" s="207"/>
      <c r="AR209" s="1409"/>
      <c r="AS209" s="1409"/>
      <c r="AT209" s="207"/>
      <c r="AU209" s="1409"/>
      <c r="AV209" s="1409"/>
      <c r="AW209" s="205"/>
      <c r="AX209" s="1415"/>
      <c r="AZ209" s="1435"/>
      <c r="BA209" s="1409"/>
      <c r="BB209" s="207"/>
      <c r="BC209" s="1438"/>
      <c r="BD209" s="1409"/>
      <c r="BE209" s="207"/>
      <c r="BF209" s="1409"/>
      <c r="BG209" s="1409"/>
      <c r="BH209" s="207"/>
      <c r="BI209" s="1409"/>
      <c r="BJ209" s="1409"/>
      <c r="BK209" s="205"/>
      <c r="BL209" s="1415"/>
      <c r="BN209" s="1435"/>
      <c r="BO209" s="1409"/>
      <c r="BP209" s="207"/>
      <c r="BQ209" s="1438"/>
      <c r="BR209" s="1409"/>
      <c r="BS209" s="207"/>
      <c r="BT209" s="1409"/>
      <c r="BU209" s="1409"/>
      <c r="BV209" s="207"/>
      <c r="BW209" s="1409"/>
      <c r="BX209" s="1409"/>
      <c r="BY209" s="205"/>
      <c r="BZ209" s="1415"/>
      <c r="CB209" s="1435"/>
      <c r="CC209" s="1409"/>
      <c r="CD209" s="207"/>
      <c r="CE209" s="1438"/>
      <c r="CF209" s="1409"/>
      <c r="CG209" s="207"/>
      <c r="CH209" s="1409"/>
      <c r="CI209" s="1409"/>
      <c r="CJ209" s="207"/>
      <c r="CK209" s="1409"/>
      <c r="CL209" s="1409"/>
      <c r="CM209" s="205"/>
      <c r="CN209" s="1415"/>
    </row>
    <row r="210" spans="2:92" ht="85.5" customHeight="1" x14ac:dyDescent="0.2">
      <c r="B210" s="1455"/>
      <c r="C210" s="1329"/>
      <c r="D210" s="1321"/>
      <c r="E210" s="1320"/>
      <c r="F210" s="1317"/>
      <c r="G210" s="294" t="str">
        <f>+'Plan de Accion Proyectos estrat'!K15</f>
        <v>Informe de alternativas para optimizar y sistematizar el proceso de auditoria integral</v>
      </c>
      <c r="H210" s="223" t="str">
        <f>+'Plan de Accion Proyectos estrat'!X15</f>
        <v># Informes presentados en el periodo</v>
      </c>
      <c r="J210" s="221">
        <f>+'Plan de Accion Proyectos estrat'!AG15</f>
        <v>1</v>
      </c>
      <c r="K210" s="483">
        <f>+'Plan de Accion Proyectos estrat'!AI15</f>
        <v>1</v>
      </c>
      <c r="L210" s="483">
        <f t="shared" si="175"/>
        <v>1</v>
      </c>
      <c r="M210" s="483">
        <f>+'Plan de Accion Proyectos estrat'!AK15</f>
        <v>0.25</v>
      </c>
      <c r="N210" s="483">
        <f t="shared" si="103"/>
        <v>0.25</v>
      </c>
      <c r="O210" s="485">
        <f>+N210</f>
        <v>0.25</v>
      </c>
      <c r="P210" s="216"/>
      <c r="Q210" s="221">
        <f>+'Plan de Accion Proyectos estrat'!AQ15</f>
        <v>1</v>
      </c>
      <c r="R210" s="311">
        <f>+'Plan de Accion Proyectos estrat'!AS15</f>
        <v>1</v>
      </c>
      <c r="S210" s="215">
        <f t="shared" si="185"/>
        <v>1</v>
      </c>
      <c r="T210" s="311">
        <f>+'Plan de Accion Proyectos estrat'!AU15</f>
        <v>0.5</v>
      </c>
      <c r="U210" s="311">
        <f t="shared" si="186"/>
        <v>0.5</v>
      </c>
      <c r="V210" s="214">
        <f t="shared" si="187"/>
        <v>0.5</v>
      </c>
      <c r="W210" s="216"/>
      <c r="X210" s="221">
        <f>+'Plan de Accion Proyectos estrat'!BA15</f>
        <v>1</v>
      </c>
      <c r="Y210" s="311">
        <f>+'Plan de Accion Proyectos estrat'!BC15</f>
        <v>1</v>
      </c>
      <c r="Z210" s="215">
        <f t="shared" si="188"/>
        <v>1</v>
      </c>
      <c r="AA210" s="220">
        <f>+'Plan de Accion Proyectos estrat'!BE15</f>
        <v>0.75</v>
      </c>
      <c r="AB210" s="220">
        <f t="shared" si="189"/>
        <v>0.75</v>
      </c>
      <c r="AC210" s="219">
        <f t="shared" si="190"/>
        <v>0.75</v>
      </c>
      <c r="AD210" s="216"/>
      <c r="AE210" s="222">
        <f>+'Plan de Accion Proyectos estrat'!BK15</f>
        <v>0</v>
      </c>
      <c r="AF210" s="311">
        <f>+'Plan de Accion Proyectos estrat'!BM15</f>
        <v>0</v>
      </c>
      <c r="AG210" s="215">
        <f t="shared" si="191"/>
        <v>0</v>
      </c>
      <c r="AH210" s="311">
        <f>+'Plan de Accion Proyectos estrat'!BO15</f>
        <v>0.75</v>
      </c>
      <c r="AI210" s="214">
        <f t="shared" si="192"/>
        <v>0.75</v>
      </c>
      <c r="AJ210" s="1433"/>
      <c r="AL210" s="1436"/>
      <c r="AM210" s="1410"/>
      <c r="AN210" s="207"/>
      <c r="AO210" s="1439"/>
      <c r="AP210" s="1410"/>
      <c r="AQ210" s="207"/>
      <c r="AR210" s="1410"/>
      <c r="AS210" s="1410"/>
      <c r="AT210" s="207"/>
      <c r="AU210" s="1410"/>
      <c r="AV210" s="1410"/>
      <c r="AW210" s="205"/>
      <c r="AX210" s="1416"/>
      <c r="AZ210" s="1436"/>
      <c r="BA210" s="1410"/>
      <c r="BB210" s="207"/>
      <c r="BC210" s="1439"/>
      <c r="BD210" s="1410"/>
      <c r="BE210" s="207"/>
      <c r="BF210" s="1410"/>
      <c r="BG210" s="1410"/>
      <c r="BH210" s="207"/>
      <c r="BI210" s="1410"/>
      <c r="BJ210" s="1410"/>
      <c r="BK210" s="205"/>
      <c r="BL210" s="1416"/>
      <c r="BN210" s="1436"/>
      <c r="BO210" s="1410"/>
      <c r="BP210" s="207"/>
      <c r="BQ210" s="1439"/>
      <c r="BR210" s="1410"/>
      <c r="BS210" s="207"/>
      <c r="BT210" s="1410"/>
      <c r="BU210" s="1410"/>
      <c r="BV210" s="207"/>
      <c r="BW210" s="1410"/>
      <c r="BX210" s="1410"/>
      <c r="BY210" s="205"/>
      <c r="BZ210" s="1416"/>
      <c r="CB210" s="1436"/>
      <c r="CC210" s="1410"/>
      <c r="CD210" s="207"/>
      <c r="CE210" s="1439"/>
      <c r="CF210" s="1410"/>
      <c r="CG210" s="207"/>
      <c r="CH210" s="1410"/>
      <c r="CI210" s="1410"/>
      <c r="CJ210" s="207"/>
      <c r="CK210" s="1410"/>
      <c r="CL210" s="1410"/>
      <c r="CM210" s="205"/>
      <c r="CN210" s="1416"/>
    </row>
    <row r="211" spans="2:92" ht="156.75" x14ac:dyDescent="0.2">
      <c r="B211" s="1455"/>
      <c r="C211" s="343" t="s">
        <v>1171</v>
      </c>
      <c r="D211" s="315" t="s">
        <v>1173</v>
      </c>
      <c r="E211" s="322" t="s">
        <v>230</v>
      </c>
      <c r="F211" s="307" t="s">
        <v>330</v>
      </c>
      <c r="G211" s="322" t="str">
        <f>+'Plan de Accion Proyectos estrat'!K25</f>
        <v>Apoyo en soporte, desarrollo y mantenimiento e integración de aplicativos misionales</v>
      </c>
      <c r="H211" s="223" t="str">
        <f>+'Plan de Accion Proyectos estrat'!X25</f>
        <v xml:space="preserve"># Requerimientos de aplicaciones misionales atendidos en términos de ANS para el trimestre/ # Requerimientos de aplicaciones misionales programados para el trimestre conforme al ANS 
</v>
      </c>
      <c r="J211" s="310">
        <f>+'Plan de Accion Proyectos estrat'!AG25</f>
        <v>0.24837239583333334</v>
      </c>
      <c r="K211" s="483">
        <f>+'Plan de Accion Proyectos estrat'!AI25</f>
        <v>0.99348958333333337</v>
      </c>
      <c r="L211" s="483">
        <f t="shared" si="175"/>
        <v>0.99348958333333337</v>
      </c>
      <c r="M211" s="483">
        <f>+'Plan de Accion Proyectos estrat'!AK25</f>
        <v>0.24837239583333334</v>
      </c>
      <c r="N211" s="483">
        <f t="shared" si="103"/>
        <v>0.24837239583333334</v>
      </c>
      <c r="O211" s="485">
        <f>+N211</f>
        <v>0.24837239583333334</v>
      </c>
      <c r="P211" s="216"/>
      <c r="Q211" s="310">
        <f>+'Plan de Accion Proyectos estrat'!AQ25</f>
        <v>0.2494911804613297</v>
      </c>
      <c r="R211" s="311">
        <f>+'Plan de Accion Proyectos estrat'!AS25</f>
        <v>0.99796472184531881</v>
      </c>
      <c r="S211" s="215">
        <f t="shared" si="185"/>
        <v>0.99796472184531881</v>
      </c>
      <c r="T211" s="311">
        <f>+'Plan de Accion Proyectos estrat'!AU25</f>
        <v>0.49786357629466305</v>
      </c>
      <c r="U211" s="311">
        <f t="shared" si="186"/>
        <v>0.49786357629466305</v>
      </c>
      <c r="V211" s="214">
        <f t="shared" si="187"/>
        <v>0.49786357629466305</v>
      </c>
      <c r="W211" s="216"/>
      <c r="X211" s="310">
        <f>+'Plan de Accion Proyectos estrat'!BA25</f>
        <v>0.19372852233676977</v>
      </c>
      <c r="Y211" s="311">
        <f>+'Plan de Accion Proyectos estrat'!BC25</f>
        <v>0.77491408934707906</v>
      </c>
      <c r="Z211" s="215">
        <f t="shared" si="188"/>
        <v>0.77491408934707906</v>
      </c>
      <c r="AA211" s="220">
        <f>+'Plan de Accion Proyectos estrat'!BE25</f>
        <v>0.69159209863143278</v>
      </c>
      <c r="AB211" s="220">
        <f t="shared" si="189"/>
        <v>0.69159209863143278</v>
      </c>
      <c r="AC211" s="219">
        <f t="shared" si="190"/>
        <v>0.69159209863143278</v>
      </c>
      <c r="AD211" s="216"/>
      <c r="AE211" s="310">
        <f>+'Plan de Accion Proyectos estrat'!BK25</f>
        <v>0</v>
      </c>
      <c r="AF211" s="311">
        <f>+'Plan de Accion Proyectos estrat'!BM25</f>
        <v>0</v>
      </c>
      <c r="AG211" s="215">
        <f t="shared" si="191"/>
        <v>0</v>
      </c>
      <c r="AH211" s="311">
        <f>+'Plan de Accion Proyectos estrat'!BO25</f>
        <v>0.69159209863143278</v>
      </c>
      <c r="AI211" s="214">
        <f t="shared" si="192"/>
        <v>0.69159209863143278</v>
      </c>
      <c r="AJ211" s="1433"/>
      <c r="AL211" s="1436"/>
      <c r="AM211" s="1410"/>
      <c r="AN211" s="207"/>
      <c r="AO211" s="1439"/>
      <c r="AP211" s="1410"/>
      <c r="AQ211" s="207"/>
      <c r="AR211" s="1410"/>
      <c r="AS211" s="1410"/>
      <c r="AT211" s="207"/>
      <c r="AU211" s="1410"/>
      <c r="AV211" s="1410"/>
      <c r="AW211" s="205"/>
      <c r="AX211" s="1416"/>
      <c r="AZ211" s="1436"/>
      <c r="BA211" s="1410"/>
      <c r="BB211" s="207"/>
      <c r="BC211" s="1439"/>
      <c r="BD211" s="1410"/>
      <c r="BE211" s="207"/>
      <c r="BF211" s="1410"/>
      <c r="BG211" s="1410"/>
      <c r="BH211" s="207"/>
      <c r="BI211" s="1410"/>
      <c r="BJ211" s="1410"/>
      <c r="BK211" s="205"/>
      <c r="BL211" s="1416"/>
      <c r="BN211" s="1436"/>
      <c r="BO211" s="1410"/>
      <c r="BP211" s="207"/>
      <c r="BQ211" s="1439"/>
      <c r="BR211" s="1410"/>
      <c r="BS211" s="207"/>
      <c r="BT211" s="1410"/>
      <c r="BU211" s="1410"/>
      <c r="BV211" s="207"/>
      <c r="BW211" s="1410"/>
      <c r="BX211" s="1410"/>
      <c r="BY211" s="205"/>
      <c r="BZ211" s="1416"/>
      <c r="CB211" s="1436"/>
      <c r="CC211" s="1410"/>
      <c r="CD211" s="207"/>
      <c r="CE211" s="1439"/>
      <c r="CF211" s="1410"/>
      <c r="CG211" s="207"/>
      <c r="CH211" s="1410"/>
      <c r="CI211" s="1410"/>
      <c r="CJ211" s="207"/>
      <c r="CK211" s="1410"/>
      <c r="CL211" s="1410"/>
      <c r="CM211" s="205"/>
      <c r="CN211" s="1416"/>
    </row>
    <row r="212" spans="2:92" ht="57" customHeight="1" x14ac:dyDescent="0.2">
      <c r="B212" s="1455"/>
      <c r="C212" s="1356" t="s">
        <v>344</v>
      </c>
      <c r="D212" s="1322" t="s">
        <v>340</v>
      </c>
      <c r="E212" s="1319" t="s">
        <v>12</v>
      </c>
      <c r="F212" s="1316" t="s">
        <v>330</v>
      </c>
      <c r="G212" s="322" t="str">
        <f>+'Plan de Accion Proyectos estrat'!K27</f>
        <v>Procesos optimizados mediante desarrollos o ajustes tecnológicos</v>
      </c>
      <c r="H212" s="223" t="str">
        <f>+'Plan de Accion Proyectos estrat'!X27</f>
        <v># Procesos optimizados</v>
      </c>
      <c r="J212" s="221">
        <f>+'Plan de Accion Proyectos estrat'!AG27</f>
        <v>0</v>
      </c>
      <c r="K212" s="483">
        <v>0</v>
      </c>
      <c r="L212" s="483">
        <f t="shared" si="175"/>
        <v>0</v>
      </c>
      <c r="M212" s="483">
        <f>+'Plan de Accion Proyectos estrat'!AK27</f>
        <v>0</v>
      </c>
      <c r="N212" s="483">
        <f t="shared" si="103"/>
        <v>0</v>
      </c>
      <c r="O212" s="485">
        <f>+N212</f>
        <v>0</v>
      </c>
      <c r="P212" s="216"/>
      <c r="Q212" s="221">
        <f>+'Plan de Accion Proyectos estrat'!AQ27</f>
        <v>0</v>
      </c>
      <c r="R212" s="311" t="s">
        <v>180</v>
      </c>
      <c r="S212" s="215" t="s">
        <v>204</v>
      </c>
      <c r="T212" s="311">
        <f>+'Plan de Accion Proyectos estrat'!AU27</f>
        <v>0</v>
      </c>
      <c r="U212" s="311">
        <f t="shared" si="186"/>
        <v>0</v>
      </c>
      <c r="V212" s="214">
        <f t="shared" si="187"/>
        <v>0</v>
      </c>
      <c r="W212" s="216"/>
      <c r="X212" s="221">
        <f>+'Plan de Accion Proyectos estrat'!BA27</f>
        <v>0</v>
      </c>
      <c r="Y212" s="311" t="s">
        <v>180</v>
      </c>
      <c r="Z212" s="215" t="s">
        <v>204</v>
      </c>
      <c r="AA212" s="220">
        <f>+'Plan de Accion Proyectos estrat'!BE27</f>
        <v>0</v>
      </c>
      <c r="AB212" s="220">
        <f t="shared" si="189"/>
        <v>0</v>
      </c>
      <c r="AC212" s="219">
        <f t="shared" si="190"/>
        <v>0</v>
      </c>
      <c r="AD212" s="216"/>
      <c r="AE212" s="222">
        <f>+'Plan de Accion Proyectos estrat'!BK27</f>
        <v>0</v>
      </c>
      <c r="AF212" s="311">
        <f>+'Plan de Accion Proyectos estrat'!BM27</f>
        <v>0</v>
      </c>
      <c r="AG212" s="215">
        <f t="shared" si="191"/>
        <v>0</v>
      </c>
      <c r="AH212" s="311">
        <f>+'Plan de Accion Proyectos estrat'!BO27</f>
        <v>0</v>
      </c>
      <c r="AI212" s="214">
        <f t="shared" si="192"/>
        <v>0</v>
      </c>
      <c r="AJ212" s="1433"/>
      <c r="AL212" s="1436"/>
      <c r="AM212" s="1410"/>
      <c r="AN212" s="207"/>
      <c r="AO212" s="1439"/>
      <c r="AP212" s="1410"/>
      <c r="AQ212" s="207"/>
      <c r="AR212" s="1410"/>
      <c r="AS212" s="1410"/>
      <c r="AT212" s="207"/>
      <c r="AU212" s="1410"/>
      <c r="AV212" s="1410"/>
      <c r="AW212" s="205"/>
      <c r="AX212" s="1416"/>
      <c r="AZ212" s="1436"/>
      <c r="BA212" s="1410"/>
      <c r="BB212" s="207"/>
      <c r="BC212" s="1439"/>
      <c r="BD212" s="1410"/>
      <c r="BE212" s="207"/>
      <c r="BF212" s="1410"/>
      <c r="BG212" s="1410"/>
      <c r="BH212" s="207"/>
      <c r="BI212" s="1410"/>
      <c r="BJ212" s="1410"/>
      <c r="BK212" s="205"/>
      <c r="BL212" s="1416"/>
      <c r="BN212" s="1436"/>
      <c r="BO212" s="1410"/>
      <c r="BP212" s="207"/>
      <c r="BQ212" s="1439"/>
      <c r="BR212" s="1410"/>
      <c r="BS212" s="207"/>
      <c r="BT212" s="1410"/>
      <c r="BU212" s="1410"/>
      <c r="BV212" s="207"/>
      <c r="BW212" s="1410"/>
      <c r="BX212" s="1410"/>
      <c r="BY212" s="205"/>
      <c r="BZ212" s="1416"/>
      <c r="CB212" s="1436"/>
      <c r="CC212" s="1410"/>
      <c r="CD212" s="207"/>
      <c r="CE212" s="1439"/>
      <c r="CF212" s="1410"/>
      <c r="CG212" s="207"/>
      <c r="CH212" s="1410"/>
      <c r="CI212" s="1410"/>
      <c r="CJ212" s="207"/>
      <c r="CK212" s="1410"/>
      <c r="CL212" s="1410"/>
      <c r="CM212" s="205"/>
      <c r="CN212" s="1416"/>
    </row>
    <row r="213" spans="2:92" ht="78.75" customHeight="1" x14ac:dyDescent="0.2">
      <c r="B213" s="1455"/>
      <c r="C213" s="1356"/>
      <c r="D213" s="1322"/>
      <c r="E213" s="1320"/>
      <c r="F213" s="1317"/>
      <c r="G213" s="322" t="str">
        <f>+'Plan de Accion Proyectos estrat'!K28</f>
        <v>Controles de los procesos de liquidación y reconocimiento de UPC y de prestaciones económicas verificados y ajustados</v>
      </c>
      <c r="H213" s="223" t="str">
        <f>+'Plan de Accion Proyectos estrat'!X28</f>
        <v># Controles verificados y ajustados / # controles con ajuste requerido</v>
      </c>
      <c r="J213" s="310">
        <f>+'Plan de Accion Proyectos estrat'!AG28</f>
        <v>0.25</v>
      </c>
      <c r="K213" s="483">
        <f>+'Plan de Accion Proyectos estrat'!AI28</f>
        <v>1</v>
      </c>
      <c r="L213" s="483">
        <f t="shared" si="175"/>
        <v>1</v>
      </c>
      <c r="M213" s="483">
        <f>+'Plan de Accion Proyectos estrat'!AK28</f>
        <v>0.25</v>
      </c>
      <c r="N213" s="483">
        <f t="shared" si="103"/>
        <v>0.25</v>
      </c>
      <c r="O213" s="485">
        <f>+N213</f>
        <v>0.25</v>
      </c>
      <c r="P213" s="216"/>
      <c r="Q213" s="310">
        <f>+'Plan de Accion Proyectos estrat'!AQ28</f>
        <v>0.25</v>
      </c>
      <c r="R213" s="311">
        <f>+'Plan de Accion Proyectos estrat'!AS28</f>
        <v>1</v>
      </c>
      <c r="S213" s="215">
        <f t="shared" si="185"/>
        <v>1</v>
      </c>
      <c r="T213" s="311">
        <f>+'Plan de Accion Proyectos estrat'!AU28</f>
        <v>0.5</v>
      </c>
      <c r="U213" s="311">
        <f t="shared" si="186"/>
        <v>0.5</v>
      </c>
      <c r="V213" s="214">
        <f t="shared" si="187"/>
        <v>0.5</v>
      </c>
      <c r="W213" s="216"/>
      <c r="X213" s="310">
        <f>+'Plan de Accion Proyectos estrat'!BA28</f>
        <v>0.25</v>
      </c>
      <c r="Y213" s="311">
        <f>+'Plan de Accion Proyectos estrat'!BC28</f>
        <v>1</v>
      </c>
      <c r="Z213" s="215">
        <f t="shared" si="188"/>
        <v>1</v>
      </c>
      <c r="AA213" s="220">
        <f>+'Plan de Accion Proyectos estrat'!BE28</f>
        <v>0.75</v>
      </c>
      <c r="AB213" s="220">
        <f t="shared" si="189"/>
        <v>0.75</v>
      </c>
      <c r="AC213" s="219">
        <f t="shared" si="190"/>
        <v>0.75</v>
      </c>
      <c r="AD213" s="216"/>
      <c r="AE213" s="310">
        <f>+'Plan de Accion Proyectos estrat'!BK28</f>
        <v>0</v>
      </c>
      <c r="AF213" s="311">
        <f>+'Plan de Accion Proyectos estrat'!BM28</f>
        <v>0</v>
      </c>
      <c r="AG213" s="215">
        <f t="shared" si="191"/>
        <v>0</v>
      </c>
      <c r="AH213" s="311">
        <f>+'Plan de Accion Proyectos estrat'!BO28</f>
        <v>0.75</v>
      </c>
      <c r="AI213" s="214">
        <f t="shared" si="192"/>
        <v>0.75</v>
      </c>
      <c r="AJ213" s="1433"/>
      <c r="AL213" s="1436"/>
      <c r="AM213" s="1410"/>
      <c r="AN213" s="207"/>
      <c r="AO213" s="1439"/>
      <c r="AP213" s="1410"/>
      <c r="AQ213" s="207"/>
      <c r="AR213" s="1410"/>
      <c r="AS213" s="1410"/>
      <c r="AT213" s="207"/>
      <c r="AU213" s="1410"/>
      <c r="AV213" s="1410"/>
      <c r="AW213" s="205"/>
      <c r="AX213" s="1416"/>
      <c r="AZ213" s="1436"/>
      <c r="BA213" s="1410"/>
      <c r="BB213" s="207"/>
      <c r="BC213" s="1439"/>
      <c r="BD213" s="1410"/>
      <c r="BE213" s="207"/>
      <c r="BF213" s="1410"/>
      <c r="BG213" s="1410"/>
      <c r="BH213" s="207"/>
      <c r="BI213" s="1410"/>
      <c r="BJ213" s="1410"/>
      <c r="BK213" s="205"/>
      <c r="BL213" s="1416"/>
      <c r="BN213" s="1436"/>
      <c r="BO213" s="1410"/>
      <c r="BP213" s="207"/>
      <c r="BQ213" s="1439"/>
      <c r="BR213" s="1410"/>
      <c r="BS213" s="207"/>
      <c r="BT213" s="1410"/>
      <c r="BU213" s="1410"/>
      <c r="BV213" s="207"/>
      <c r="BW213" s="1410"/>
      <c r="BX213" s="1410"/>
      <c r="BY213" s="205"/>
      <c r="BZ213" s="1416"/>
      <c r="CB213" s="1436"/>
      <c r="CC213" s="1410"/>
      <c r="CD213" s="207"/>
      <c r="CE213" s="1439"/>
      <c r="CF213" s="1410"/>
      <c r="CG213" s="207"/>
      <c r="CH213" s="1410"/>
      <c r="CI213" s="1410"/>
      <c r="CJ213" s="207"/>
      <c r="CK213" s="1410"/>
      <c r="CL213" s="1410"/>
      <c r="CM213" s="205"/>
      <c r="CN213" s="1416"/>
    </row>
    <row r="214" spans="2:92" ht="77.25" customHeight="1" x14ac:dyDescent="0.2">
      <c r="B214" s="1455"/>
      <c r="C214" s="1356"/>
      <c r="D214" s="1322"/>
      <c r="E214" s="1321"/>
      <c r="F214" s="1318"/>
      <c r="G214" s="322" t="str">
        <f>+'Plan de Accion Proyectos estrat'!K34</f>
        <v>Informes de auditoría de los procesos de liquidación y reconocimiento de UPC de los afiliados al régimen contributivo y subsidiado</v>
      </c>
      <c r="H214" s="223" t="str">
        <f>+'Plan de Accion Proyectos estrat'!X34</f>
        <v># Informes de auditoría elaborados</v>
      </c>
      <c r="J214" s="221">
        <f>+'Plan de Accion Proyectos estrat'!AG34</f>
        <v>0</v>
      </c>
      <c r="K214" s="483" t="str">
        <f>+'Plan de Accion Proyectos estrat'!BR34</f>
        <v>No Prog ni Ejec</v>
      </c>
      <c r="L214" s="483" t="s">
        <v>204</v>
      </c>
      <c r="M214" s="483">
        <f>+'Plan de Accion Proyectos estrat'!AK34</f>
        <v>0</v>
      </c>
      <c r="N214" s="483">
        <f t="shared" si="103"/>
        <v>0</v>
      </c>
      <c r="O214" s="485" t="s">
        <v>204</v>
      </c>
      <c r="P214" s="216"/>
      <c r="Q214" s="221">
        <f>+'Plan de Accion Proyectos estrat'!AQ34</f>
        <v>2</v>
      </c>
      <c r="R214" s="311">
        <f>+'Plan de Accion Proyectos estrat'!AS34</f>
        <v>1</v>
      </c>
      <c r="S214" s="215">
        <f t="shared" si="185"/>
        <v>1</v>
      </c>
      <c r="T214" s="311">
        <f>+'Plan de Accion Proyectos estrat'!AU34</f>
        <v>0.33333333333333331</v>
      </c>
      <c r="U214" s="311">
        <f t="shared" si="186"/>
        <v>0.33333333333333331</v>
      </c>
      <c r="V214" s="214">
        <f t="shared" si="187"/>
        <v>0.33333333333333331</v>
      </c>
      <c r="W214" s="216"/>
      <c r="X214" s="221">
        <f>+'Plan de Accion Proyectos estrat'!BA34</f>
        <v>2</v>
      </c>
      <c r="Y214" s="311">
        <f>+'Plan de Accion Proyectos estrat'!BC34</f>
        <v>1</v>
      </c>
      <c r="Z214" s="215">
        <f t="shared" si="188"/>
        <v>1</v>
      </c>
      <c r="AA214" s="220">
        <f>+'Plan de Accion Proyectos estrat'!BE34</f>
        <v>0.66666666666666663</v>
      </c>
      <c r="AB214" s="220">
        <f t="shared" si="189"/>
        <v>0.66666666666666663</v>
      </c>
      <c r="AC214" s="219">
        <f t="shared" si="190"/>
        <v>0.66666666666666663</v>
      </c>
      <c r="AD214" s="216"/>
      <c r="AE214" s="222">
        <f>+'Plan de Accion Proyectos estrat'!BK34</f>
        <v>0</v>
      </c>
      <c r="AF214" s="311">
        <f>+'Plan de Accion Proyectos estrat'!BM34</f>
        <v>0</v>
      </c>
      <c r="AG214" s="215">
        <f t="shared" si="191"/>
        <v>0</v>
      </c>
      <c r="AH214" s="311">
        <f>+'Plan de Accion Proyectos estrat'!BO34</f>
        <v>0.66666666666666663</v>
      </c>
      <c r="AI214" s="214">
        <f t="shared" si="192"/>
        <v>0.66666666666666663</v>
      </c>
      <c r="AJ214" s="1433"/>
      <c r="AL214" s="1436"/>
      <c r="AM214" s="1410"/>
      <c r="AN214" s="207"/>
      <c r="AO214" s="1439"/>
      <c r="AP214" s="1410"/>
      <c r="AQ214" s="207"/>
      <c r="AR214" s="1410"/>
      <c r="AS214" s="1410"/>
      <c r="AT214" s="207"/>
      <c r="AU214" s="1410"/>
      <c r="AV214" s="1410"/>
      <c r="AW214" s="205"/>
      <c r="AX214" s="1416"/>
      <c r="AZ214" s="1436"/>
      <c r="BA214" s="1410"/>
      <c r="BB214" s="207"/>
      <c r="BC214" s="1439"/>
      <c r="BD214" s="1410"/>
      <c r="BE214" s="207"/>
      <c r="BF214" s="1410"/>
      <c r="BG214" s="1410"/>
      <c r="BH214" s="207"/>
      <c r="BI214" s="1410"/>
      <c r="BJ214" s="1410"/>
      <c r="BK214" s="205"/>
      <c r="BL214" s="1416"/>
      <c r="BN214" s="1436"/>
      <c r="BO214" s="1410"/>
      <c r="BP214" s="207"/>
      <c r="BQ214" s="1439"/>
      <c r="BR214" s="1410"/>
      <c r="BS214" s="207"/>
      <c r="BT214" s="1410"/>
      <c r="BU214" s="1410"/>
      <c r="BV214" s="207"/>
      <c r="BW214" s="1410"/>
      <c r="BX214" s="1410"/>
      <c r="BY214" s="205"/>
      <c r="BZ214" s="1416"/>
      <c r="CB214" s="1436"/>
      <c r="CC214" s="1410"/>
      <c r="CD214" s="207"/>
      <c r="CE214" s="1439"/>
      <c r="CF214" s="1410"/>
      <c r="CG214" s="207"/>
      <c r="CH214" s="1410"/>
      <c r="CI214" s="1410"/>
      <c r="CJ214" s="207"/>
      <c r="CK214" s="1410"/>
      <c r="CL214" s="1410"/>
      <c r="CM214" s="205"/>
      <c r="CN214" s="1416"/>
    </row>
    <row r="215" spans="2:92" ht="71.25" x14ac:dyDescent="0.2">
      <c r="B215" s="1455"/>
      <c r="C215" s="1313" t="s">
        <v>60</v>
      </c>
      <c r="D215" s="1354" t="s">
        <v>1175</v>
      </c>
      <c r="E215" s="1319" t="s">
        <v>125</v>
      </c>
      <c r="F215" s="1316" t="s">
        <v>330</v>
      </c>
      <c r="G215" s="322" t="str">
        <f>+'Plan de Accion Proyectos estrat'!K36</f>
        <v>Documentos de acercamiento con la rama judicial (Comunicaciones o actas de reuniones o actos administrativos)</v>
      </c>
      <c r="H215" s="223" t="str">
        <f>+'Plan de Accion Proyectos estrat'!X36</f>
        <v># Documentos de acercamiento con la rama judicial</v>
      </c>
      <c r="J215" s="221">
        <f>+'Plan de Accion Proyectos estrat'!AG36</f>
        <v>0</v>
      </c>
      <c r="K215" s="483" t="str">
        <f>+'Plan de Accion Proyectos estrat'!BR36</f>
        <v>No Prog ni Ejec</v>
      </c>
      <c r="L215" s="483" t="s">
        <v>204</v>
      </c>
      <c r="M215" s="483">
        <f>+'Plan de Accion Proyectos estrat'!AK36</f>
        <v>0</v>
      </c>
      <c r="N215" s="483">
        <f t="shared" si="103"/>
        <v>0</v>
      </c>
      <c r="O215" s="485" t="s">
        <v>204</v>
      </c>
      <c r="P215" s="216"/>
      <c r="Q215" s="221">
        <f>+'Plan de Accion Proyectos estrat'!AQ36</f>
        <v>0</v>
      </c>
      <c r="R215" s="311">
        <f>+'Plan de Accion Proyectos estrat'!BT36</f>
        <v>0</v>
      </c>
      <c r="S215" s="215">
        <f t="shared" si="185"/>
        <v>0</v>
      </c>
      <c r="T215" s="311">
        <f>+'Plan de Accion Proyectos estrat'!AU36</f>
        <v>0</v>
      </c>
      <c r="U215" s="311">
        <f t="shared" si="186"/>
        <v>0</v>
      </c>
      <c r="V215" s="214">
        <f t="shared" si="187"/>
        <v>0</v>
      </c>
      <c r="W215" s="216"/>
      <c r="X215" s="221">
        <f>+'Plan de Accion Proyectos estrat'!BA36</f>
        <v>0</v>
      </c>
      <c r="Y215" s="311" t="str">
        <f>+'Plan de Accion Proyectos estrat'!BV36</f>
        <v>No Prog ni Ejec</v>
      </c>
      <c r="Z215" s="215" t="s">
        <v>204</v>
      </c>
      <c r="AA215" s="220">
        <f>+'Plan de Accion Proyectos estrat'!BE36</f>
        <v>0</v>
      </c>
      <c r="AB215" s="220">
        <f t="shared" si="189"/>
        <v>0</v>
      </c>
      <c r="AC215" s="219">
        <f>+AB215</f>
        <v>0</v>
      </c>
      <c r="AD215" s="216"/>
      <c r="AE215" s="222">
        <f>+'Plan de Accion Proyectos estrat'!BK36</f>
        <v>0</v>
      </c>
      <c r="AF215" s="311">
        <f>+'Plan de Accion Proyectos estrat'!BX36</f>
        <v>0</v>
      </c>
      <c r="AG215" s="215">
        <f t="shared" si="191"/>
        <v>0</v>
      </c>
      <c r="AH215" s="311">
        <f>+'Plan de Accion Proyectos estrat'!BO36</f>
        <v>0</v>
      </c>
      <c r="AI215" s="214">
        <f t="shared" si="192"/>
        <v>0</v>
      </c>
      <c r="AJ215" s="1433"/>
      <c r="AL215" s="1436"/>
      <c r="AM215" s="1410"/>
      <c r="AN215" s="207"/>
      <c r="AO215" s="1439"/>
      <c r="AP215" s="1410"/>
      <c r="AQ215" s="207"/>
      <c r="AR215" s="1410"/>
      <c r="AS215" s="1410"/>
      <c r="AT215" s="207"/>
      <c r="AU215" s="1410"/>
      <c r="AV215" s="1410"/>
      <c r="AW215" s="205"/>
      <c r="AX215" s="1416"/>
      <c r="AZ215" s="1436"/>
      <c r="BA215" s="1410"/>
      <c r="BB215" s="207"/>
      <c r="BC215" s="1439"/>
      <c r="BD215" s="1410"/>
      <c r="BE215" s="207"/>
      <c r="BF215" s="1410"/>
      <c r="BG215" s="1410"/>
      <c r="BH215" s="207"/>
      <c r="BI215" s="1410"/>
      <c r="BJ215" s="1410"/>
      <c r="BK215" s="205"/>
      <c r="BL215" s="1416"/>
      <c r="BN215" s="1436"/>
      <c r="BO215" s="1410"/>
      <c r="BP215" s="207"/>
      <c r="BQ215" s="1439"/>
      <c r="BR215" s="1410"/>
      <c r="BS215" s="207"/>
      <c r="BT215" s="1410"/>
      <c r="BU215" s="1410"/>
      <c r="BV215" s="207"/>
      <c r="BW215" s="1410"/>
      <c r="BX215" s="1410"/>
      <c r="BY215" s="205"/>
      <c r="BZ215" s="1416"/>
      <c r="CB215" s="1436"/>
      <c r="CC215" s="1410"/>
      <c r="CD215" s="207"/>
      <c r="CE215" s="1439"/>
      <c r="CF215" s="1410"/>
      <c r="CG215" s="207"/>
      <c r="CH215" s="1410"/>
      <c r="CI215" s="1410"/>
      <c r="CJ215" s="207"/>
      <c r="CK215" s="1410"/>
      <c r="CL215" s="1410"/>
      <c r="CM215" s="205"/>
      <c r="CN215" s="1416"/>
    </row>
    <row r="216" spans="2:92" ht="57" x14ac:dyDescent="0.2">
      <c r="B216" s="1455"/>
      <c r="C216" s="1314"/>
      <c r="D216" s="1311"/>
      <c r="E216" s="1320"/>
      <c r="F216" s="1317"/>
      <c r="G216" s="322" t="str">
        <f>+'Plan de Accion Proyectos estrat'!K37</f>
        <v>Otro sí al convenio especificando las necesidades y acceso a la información</v>
      </c>
      <c r="H216" s="223" t="str">
        <f>+'Plan de Accion Proyectos estrat'!X37</f>
        <v># Otro si suscritos</v>
      </c>
      <c r="J216" s="221">
        <f>+'Plan de Accion Proyectos estrat'!AG37</f>
        <v>0</v>
      </c>
      <c r="K216" s="483" t="str">
        <f>+'Plan de Accion Proyectos estrat'!BR37</f>
        <v>No Prog ni Ejec</v>
      </c>
      <c r="L216" s="483" t="s">
        <v>204</v>
      </c>
      <c r="M216" s="483">
        <f>+'Plan de Accion Proyectos estrat'!AK37</f>
        <v>0</v>
      </c>
      <c r="N216" s="483">
        <f t="shared" si="103"/>
        <v>0</v>
      </c>
      <c r="O216" s="485" t="s">
        <v>204</v>
      </c>
      <c r="P216" s="216"/>
      <c r="Q216" s="221">
        <f>+'Plan de Accion Proyectos estrat'!AQ37</f>
        <v>0</v>
      </c>
      <c r="R216" s="311" t="str">
        <f>+'Plan de Accion Proyectos estrat'!BT37</f>
        <v>No Prog ni Ejec</v>
      </c>
      <c r="S216" s="215" t="s">
        <v>204</v>
      </c>
      <c r="T216" s="311">
        <f>+'Plan de Accion Proyectos estrat'!AU37</f>
        <v>0</v>
      </c>
      <c r="U216" s="311">
        <f t="shared" ref="U216:U223" si="193">IF(T216&gt;100%,100%,T216)</f>
        <v>0</v>
      </c>
      <c r="V216" s="214" t="s">
        <v>204</v>
      </c>
      <c r="W216" s="216"/>
      <c r="X216" s="221">
        <f>+'Plan de Accion Proyectos estrat'!BA37</f>
        <v>0</v>
      </c>
      <c r="Y216" s="311" t="str">
        <f>+'Plan de Accion Proyectos estrat'!BV37</f>
        <v>No Prog ni Ejec</v>
      </c>
      <c r="Z216" s="215" t="s">
        <v>204</v>
      </c>
      <c r="AA216" s="220">
        <f>+'Plan de Accion Proyectos estrat'!BE37</f>
        <v>0</v>
      </c>
      <c r="AB216" s="220">
        <f t="shared" ref="AB216:AB224" si="194">IF(AA216&gt;100%,100%,AA216)</f>
        <v>0</v>
      </c>
      <c r="AC216" s="219" t="s">
        <v>204</v>
      </c>
      <c r="AD216" s="216"/>
      <c r="AE216" s="222">
        <f>+'Plan de Accion Proyectos estrat'!BK37</f>
        <v>0</v>
      </c>
      <c r="AF216" s="311">
        <f>+'Plan de Accion Proyectos estrat'!BX37</f>
        <v>0</v>
      </c>
      <c r="AG216" s="215">
        <f t="shared" ref="AG216:AG224" si="195">IF(AF216&gt;100%,100%,AF216)</f>
        <v>0</v>
      </c>
      <c r="AH216" s="311">
        <f>+'Plan de Accion Proyectos estrat'!BO37</f>
        <v>0</v>
      </c>
      <c r="AI216" s="214">
        <f t="shared" ref="AI216:AI224" si="196">IF(AH216&gt;100%,100%,AH216)</f>
        <v>0</v>
      </c>
      <c r="AJ216" s="1433"/>
      <c r="AL216" s="1436"/>
      <c r="AM216" s="1410"/>
      <c r="AN216" s="207"/>
      <c r="AO216" s="1439"/>
      <c r="AP216" s="1410"/>
      <c r="AQ216" s="207"/>
      <c r="AR216" s="1410"/>
      <c r="AS216" s="1410"/>
      <c r="AT216" s="207"/>
      <c r="AU216" s="1410"/>
      <c r="AV216" s="1410"/>
      <c r="AW216" s="205"/>
      <c r="AX216" s="1416"/>
      <c r="AZ216" s="1436"/>
      <c r="BA216" s="1410"/>
      <c r="BB216" s="207"/>
      <c r="BC216" s="1439"/>
      <c r="BD216" s="1410"/>
      <c r="BE216" s="207"/>
      <c r="BF216" s="1410"/>
      <c r="BG216" s="1410"/>
      <c r="BH216" s="207"/>
      <c r="BI216" s="1410"/>
      <c r="BJ216" s="1410"/>
      <c r="BK216" s="205"/>
      <c r="BL216" s="1416"/>
      <c r="BN216" s="1436"/>
      <c r="BO216" s="1410"/>
      <c r="BP216" s="207"/>
      <c r="BQ216" s="1439"/>
      <c r="BR216" s="1410"/>
      <c r="BS216" s="207"/>
      <c r="BT216" s="1410"/>
      <c r="BU216" s="1410"/>
      <c r="BV216" s="207"/>
      <c r="BW216" s="1410"/>
      <c r="BX216" s="1410"/>
      <c r="BY216" s="205"/>
      <c r="BZ216" s="1416"/>
      <c r="CB216" s="1436"/>
      <c r="CC216" s="1410"/>
      <c r="CD216" s="207"/>
      <c r="CE216" s="1439"/>
      <c r="CF216" s="1410"/>
      <c r="CG216" s="207"/>
      <c r="CH216" s="1410"/>
      <c r="CI216" s="1410"/>
      <c r="CJ216" s="207"/>
      <c r="CK216" s="1410"/>
      <c r="CL216" s="1410"/>
      <c r="CM216" s="205"/>
      <c r="CN216" s="1416"/>
    </row>
    <row r="217" spans="2:92" ht="39.75" customHeight="1" thickBot="1" x14ac:dyDescent="0.25">
      <c r="B217" s="1455"/>
      <c r="C217" s="1329"/>
      <c r="D217" s="1312"/>
      <c r="E217" s="1321"/>
      <c r="F217" s="1318"/>
      <c r="G217" s="322" t="str">
        <f>+'Plan de Accion Proyectos estrat'!K38</f>
        <v>Convenios o contratos interadministrativos</v>
      </c>
      <c r="H217" s="223" t="str">
        <f>+'Plan de Accion Proyectos estrat'!X38</f>
        <v># Convenios o contratos interadministrativos suscritos</v>
      </c>
      <c r="J217" s="221">
        <f>+'Plan de Accion Proyectos estrat'!AG38</f>
        <v>0</v>
      </c>
      <c r="K217" s="483" t="str">
        <f>+'Plan de Accion Proyectos estrat'!BR38</f>
        <v>No Prog ni Ejec</v>
      </c>
      <c r="L217" s="483" t="s">
        <v>204</v>
      </c>
      <c r="M217" s="483">
        <f>+'Plan de Accion Proyectos estrat'!AK38</f>
        <v>0</v>
      </c>
      <c r="N217" s="483">
        <f t="shared" si="103"/>
        <v>0</v>
      </c>
      <c r="O217" s="485" t="s">
        <v>204</v>
      </c>
      <c r="P217" s="216"/>
      <c r="Q217" s="221">
        <f>+'Plan de Accion Proyectos estrat'!AQ38</f>
        <v>0</v>
      </c>
      <c r="R217" s="311" t="str">
        <f>+'Plan de Accion Proyectos estrat'!BT38</f>
        <v>No Prog ni Ejec</v>
      </c>
      <c r="S217" s="215" t="s">
        <v>204</v>
      </c>
      <c r="T217" s="311">
        <f>+'Plan de Accion Proyectos estrat'!AU38</f>
        <v>0</v>
      </c>
      <c r="U217" s="311">
        <f t="shared" si="193"/>
        <v>0</v>
      </c>
      <c r="V217" s="214" t="s">
        <v>204</v>
      </c>
      <c r="W217" s="216"/>
      <c r="X217" s="221">
        <f>+'Plan de Accion Proyectos estrat'!BA38</f>
        <v>0</v>
      </c>
      <c r="Y217" s="311" t="str">
        <f>+'Plan de Accion Proyectos estrat'!BV38</f>
        <v>No Prog ni Ejec</v>
      </c>
      <c r="Z217" s="215" t="s">
        <v>204</v>
      </c>
      <c r="AA217" s="220">
        <f>+'Plan de Accion Proyectos estrat'!BE38</f>
        <v>0</v>
      </c>
      <c r="AB217" s="220">
        <f t="shared" si="194"/>
        <v>0</v>
      </c>
      <c r="AC217" s="219" t="s">
        <v>204</v>
      </c>
      <c r="AD217" s="216"/>
      <c r="AE217" s="222">
        <f>+'Plan de Accion Proyectos estrat'!BK38</f>
        <v>0</v>
      </c>
      <c r="AF217" s="311">
        <f>+'Plan de Accion Proyectos estrat'!BX38</f>
        <v>0</v>
      </c>
      <c r="AG217" s="215">
        <f t="shared" si="195"/>
        <v>0</v>
      </c>
      <c r="AH217" s="311">
        <f>+'Plan de Accion Proyectos estrat'!BO38</f>
        <v>0</v>
      </c>
      <c r="AI217" s="214">
        <f t="shared" si="196"/>
        <v>0</v>
      </c>
      <c r="AJ217" s="1434"/>
      <c r="AL217" s="1437"/>
      <c r="AM217" s="1411"/>
      <c r="AN217" s="207"/>
      <c r="AO217" s="1440"/>
      <c r="AP217" s="1411"/>
      <c r="AQ217" s="207"/>
      <c r="AR217" s="1411"/>
      <c r="AS217" s="1411"/>
      <c r="AT217" s="207"/>
      <c r="AU217" s="1411"/>
      <c r="AV217" s="1411"/>
      <c r="AW217" s="205"/>
      <c r="AX217" s="1417"/>
      <c r="AZ217" s="1437"/>
      <c r="BA217" s="1411"/>
      <c r="BB217" s="207"/>
      <c r="BC217" s="1440"/>
      <c r="BD217" s="1411"/>
      <c r="BE217" s="207"/>
      <c r="BF217" s="1411"/>
      <c r="BG217" s="1411"/>
      <c r="BH217" s="207"/>
      <c r="BI217" s="1411"/>
      <c r="BJ217" s="1411"/>
      <c r="BK217" s="205"/>
      <c r="BL217" s="1417"/>
      <c r="BN217" s="1437"/>
      <c r="BO217" s="1411"/>
      <c r="BP217" s="207"/>
      <c r="BQ217" s="1440"/>
      <c r="BR217" s="1411"/>
      <c r="BS217" s="207"/>
      <c r="BT217" s="1411"/>
      <c r="BU217" s="1411"/>
      <c r="BV217" s="207"/>
      <c r="BW217" s="1411"/>
      <c r="BX217" s="1411"/>
      <c r="BY217" s="205"/>
      <c r="BZ217" s="1417"/>
      <c r="CB217" s="1437"/>
      <c r="CC217" s="1411"/>
      <c r="CD217" s="207"/>
      <c r="CE217" s="1440"/>
      <c r="CF217" s="1411"/>
      <c r="CG217" s="207"/>
      <c r="CH217" s="1411"/>
      <c r="CI217" s="1411"/>
      <c r="CJ217" s="207"/>
      <c r="CK217" s="1411"/>
      <c r="CL217" s="1411"/>
      <c r="CM217" s="205"/>
      <c r="CN217" s="1417"/>
    </row>
    <row r="218" spans="2:92" ht="99.75" customHeight="1" x14ac:dyDescent="0.2">
      <c r="B218" s="1455"/>
      <c r="C218" s="1356" t="s">
        <v>60</v>
      </c>
      <c r="D218" s="1365" t="s">
        <v>204</v>
      </c>
      <c r="E218" s="1319" t="s">
        <v>125</v>
      </c>
      <c r="F218" s="1316" t="s">
        <v>330</v>
      </c>
      <c r="G218" s="322" t="str">
        <f>+'Plan de Accion Misional'!K11</f>
        <v>Pagos registrados en el SII PRE Procesos de repetición</v>
      </c>
      <c r="H218" s="218" t="str">
        <f>+'Plan de Accion Misional'!X11</f>
        <v># Pagos registrados en SII PRE / # pagos conciliados</v>
      </c>
      <c r="J218" s="217">
        <f>+'Plan de Accion Misional'!AG11</f>
        <v>0</v>
      </c>
      <c r="K218" s="483" t="str">
        <f>+'Plan de Accion Misional'!BR11</f>
        <v>No Prog ni Ejec</v>
      </c>
      <c r="L218" s="483" t="s">
        <v>204</v>
      </c>
      <c r="M218" s="483">
        <f>+'Plan de Accion Misional'!AK11</f>
        <v>0</v>
      </c>
      <c r="N218" s="483">
        <f t="shared" si="103"/>
        <v>0</v>
      </c>
      <c r="O218" s="485" t="s">
        <v>204</v>
      </c>
      <c r="P218" s="216" t="s">
        <v>1176</v>
      </c>
      <c r="Q218" s="217">
        <f>+'Plan de Accion Misional'!AQ11</f>
        <v>0</v>
      </c>
      <c r="R218" s="253" t="str">
        <f>+'Plan de Accion Misional'!BT11</f>
        <v>No Prog ni Ejec</v>
      </c>
      <c r="S218" s="215" t="s">
        <v>204</v>
      </c>
      <c r="T218" s="311">
        <f>+'Plan de Accion Misional'!AU11</f>
        <v>0</v>
      </c>
      <c r="U218" s="311">
        <f t="shared" si="193"/>
        <v>0</v>
      </c>
      <c r="V218" s="214" t="s">
        <v>204</v>
      </c>
      <c r="W218" s="216"/>
      <c r="X218" s="310">
        <f>+'Plan de Accion Misional'!BA11</f>
        <v>0</v>
      </c>
      <c r="Y218" s="253" t="str">
        <f>+'Plan de Accion Misional'!BV11</f>
        <v>No Prog ni Ejec</v>
      </c>
      <c r="Z218" s="215" t="s">
        <v>204</v>
      </c>
      <c r="AA218" s="220">
        <f>+'Plan de Accion Misional'!BE11</f>
        <v>0</v>
      </c>
      <c r="AB218" s="220">
        <f t="shared" si="194"/>
        <v>0</v>
      </c>
      <c r="AC218" s="219" t="s">
        <v>204</v>
      </c>
      <c r="AD218" s="216"/>
      <c r="AE218" s="217">
        <f>+'Plan de Accion Misional'!BK11</f>
        <v>0</v>
      </c>
      <c r="AF218" s="253">
        <f>+'Plan de Accion Misional'!BX11</f>
        <v>0</v>
      </c>
      <c r="AG218" s="215">
        <f t="shared" si="195"/>
        <v>0</v>
      </c>
      <c r="AH218" s="253">
        <f>+'Plan de Accion Misional'!BO11</f>
        <v>0</v>
      </c>
      <c r="AI218" s="214">
        <f t="shared" si="196"/>
        <v>0</v>
      </c>
      <c r="AJ218" s="1433"/>
      <c r="AL218" s="1410"/>
      <c r="AM218" s="1410"/>
      <c r="AN218" s="207"/>
      <c r="AO218" s="1439"/>
      <c r="AP218" s="1410"/>
      <c r="AQ218" s="207"/>
      <c r="AR218" s="1410"/>
      <c r="AS218" s="1410"/>
      <c r="AT218" s="207"/>
      <c r="AU218" s="1410"/>
      <c r="AV218" s="1410"/>
      <c r="AW218" s="205"/>
      <c r="AX218" s="1416"/>
      <c r="AZ218" s="1410"/>
      <c r="BA218" s="1410"/>
      <c r="BB218" s="207"/>
      <c r="BC218" s="1439"/>
      <c r="BD218" s="1410"/>
      <c r="BE218" s="207"/>
      <c r="BF218" s="1410"/>
      <c r="BG218" s="1410"/>
      <c r="BH218" s="207"/>
      <c r="BI218" s="1410"/>
      <c r="BJ218" s="1410"/>
      <c r="BK218" s="205"/>
      <c r="BL218" s="1416"/>
      <c r="BN218" s="1410"/>
      <c r="BO218" s="1410"/>
      <c r="BP218" s="207"/>
      <c r="BQ218" s="1439"/>
      <c r="BR218" s="1410"/>
      <c r="BS218" s="207"/>
      <c r="BT218" s="1410"/>
      <c r="BU218" s="1410"/>
      <c r="BV218" s="207"/>
      <c r="BW218" s="1410"/>
      <c r="BX218" s="1410"/>
      <c r="BY218" s="205"/>
      <c r="BZ218" s="1416"/>
      <c r="CB218" s="1410"/>
      <c r="CC218" s="1410"/>
      <c r="CD218" s="207"/>
      <c r="CE218" s="1439"/>
      <c r="CF218" s="1410"/>
      <c r="CG218" s="207"/>
      <c r="CH218" s="1410"/>
      <c r="CI218" s="1410"/>
      <c r="CJ218" s="207"/>
      <c r="CK218" s="1410"/>
      <c r="CL218" s="1410"/>
      <c r="CM218" s="205"/>
      <c r="CN218" s="1416"/>
    </row>
    <row r="219" spans="2:92" ht="72.75" customHeight="1" x14ac:dyDescent="0.2">
      <c r="B219" s="1455"/>
      <c r="C219" s="1356"/>
      <c r="D219" s="1365"/>
      <c r="E219" s="1320"/>
      <c r="F219" s="1317"/>
      <c r="G219" s="322" t="str">
        <f>+'Plan de Accion Misional'!K12</f>
        <v>Reclamaciones depurables</v>
      </c>
      <c r="H219" s="218" t="str">
        <f>+'Plan de Accion Misional'!X12</f>
        <v># Reclamaciones depurables</v>
      </c>
      <c r="J219" s="217">
        <f>+'Plan de Accion Misional'!AG12</f>
        <v>0</v>
      </c>
      <c r="K219" s="483" t="str">
        <f>+'Plan de Accion Misional'!BR12</f>
        <v>No Prog ni Ejec</v>
      </c>
      <c r="L219" s="483" t="s">
        <v>204</v>
      </c>
      <c r="M219" s="483">
        <f>+'Plan de Accion Misional'!AK12</f>
        <v>0</v>
      </c>
      <c r="N219" s="483">
        <f t="shared" si="103"/>
        <v>0</v>
      </c>
      <c r="O219" s="485" t="s">
        <v>204</v>
      </c>
      <c r="P219" s="216"/>
      <c r="Q219" s="217">
        <f>+'Plan de Accion Misional'!AQ12</f>
        <v>0</v>
      </c>
      <c r="R219" s="253" t="str">
        <f>+'Plan de Accion Misional'!BT12</f>
        <v>No Prog ni Ejec</v>
      </c>
      <c r="S219" s="215" t="s">
        <v>204</v>
      </c>
      <c r="T219" s="311">
        <f>+'Plan de Accion Misional'!AU12</f>
        <v>0</v>
      </c>
      <c r="U219" s="311">
        <f t="shared" si="193"/>
        <v>0</v>
      </c>
      <c r="V219" s="214" t="s">
        <v>204</v>
      </c>
      <c r="W219" s="216"/>
      <c r="X219" s="217">
        <f>+'Plan de Accion Misional'!BA12</f>
        <v>0</v>
      </c>
      <c r="Y219" s="253" t="str">
        <f>+'Plan de Accion Misional'!BV12</f>
        <v>No Prog ni Ejec</v>
      </c>
      <c r="Z219" s="215" t="s">
        <v>204</v>
      </c>
      <c r="AA219" s="220">
        <f>+'Plan de Accion Misional'!BE12</f>
        <v>0</v>
      </c>
      <c r="AB219" s="220">
        <f t="shared" si="194"/>
        <v>0</v>
      </c>
      <c r="AC219" s="219" t="s">
        <v>204</v>
      </c>
      <c r="AD219" s="216"/>
      <c r="AE219" s="217">
        <f>+'Plan de Accion Misional'!BK12</f>
        <v>0</v>
      </c>
      <c r="AF219" s="253">
        <f>+'Plan de Accion Misional'!BX12</f>
        <v>0</v>
      </c>
      <c r="AG219" s="215">
        <f t="shared" si="195"/>
        <v>0</v>
      </c>
      <c r="AH219" s="253">
        <f>+'Plan de Accion Misional'!BO12</f>
        <v>0</v>
      </c>
      <c r="AI219" s="214">
        <f t="shared" si="196"/>
        <v>0</v>
      </c>
      <c r="AJ219" s="1433"/>
      <c r="AL219" s="1410"/>
      <c r="AM219" s="1410"/>
      <c r="AN219" s="207"/>
      <c r="AO219" s="1439"/>
      <c r="AP219" s="1410"/>
      <c r="AQ219" s="207"/>
      <c r="AR219" s="1410"/>
      <c r="AS219" s="1410"/>
      <c r="AT219" s="207"/>
      <c r="AU219" s="1410"/>
      <c r="AV219" s="1410"/>
      <c r="AW219" s="205"/>
      <c r="AX219" s="1416"/>
      <c r="AZ219" s="1410"/>
      <c r="BA219" s="1410"/>
      <c r="BB219" s="207"/>
      <c r="BC219" s="1439"/>
      <c r="BD219" s="1410"/>
      <c r="BE219" s="207"/>
      <c r="BF219" s="1410"/>
      <c r="BG219" s="1410"/>
      <c r="BH219" s="207"/>
      <c r="BI219" s="1410"/>
      <c r="BJ219" s="1410"/>
      <c r="BK219" s="205"/>
      <c r="BL219" s="1416"/>
      <c r="BN219" s="1410"/>
      <c r="BO219" s="1410"/>
      <c r="BP219" s="207"/>
      <c r="BQ219" s="1439"/>
      <c r="BR219" s="1410"/>
      <c r="BS219" s="207"/>
      <c r="BT219" s="1410"/>
      <c r="BU219" s="1410"/>
      <c r="BV219" s="207"/>
      <c r="BW219" s="1410"/>
      <c r="BX219" s="1410"/>
      <c r="BY219" s="205"/>
      <c r="BZ219" s="1416"/>
      <c r="CB219" s="1410"/>
      <c r="CC219" s="1410"/>
      <c r="CD219" s="207"/>
      <c r="CE219" s="1439"/>
      <c r="CF219" s="1410"/>
      <c r="CG219" s="207"/>
      <c r="CH219" s="1410"/>
      <c r="CI219" s="1410"/>
      <c r="CJ219" s="207"/>
      <c r="CK219" s="1410"/>
      <c r="CL219" s="1410"/>
      <c r="CM219" s="205"/>
      <c r="CN219" s="1416"/>
    </row>
    <row r="220" spans="2:92" ht="86.25" thickBot="1" x14ac:dyDescent="0.25">
      <c r="B220" s="1455"/>
      <c r="C220" s="1356"/>
      <c r="D220" s="1365"/>
      <c r="E220" s="1321"/>
      <c r="F220" s="1318"/>
      <c r="G220" s="322" t="str">
        <f>+'Plan de Accion Misional'!K13</f>
        <v>Bases de información actualizadas</v>
      </c>
      <c r="H220" s="218" t="str">
        <f>+'Plan de Accion Misional'!X13</f>
        <v># Actos administrativos y actuaciones actualizados en las bases de información / # expedientes entregados en reparto susceptibles de actualización</v>
      </c>
      <c r="J220" s="217">
        <f>+'Plan de Accion Misional'!AG13</f>
        <v>0.11191547642340051</v>
      </c>
      <c r="K220" s="483">
        <f>+'Plan de Accion Misional'!BR13</f>
        <v>0.44766190569360204</v>
      </c>
      <c r="L220" s="483">
        <f t="shared" ref="L220:L227" si="197">IF(K220&gt;100%,100%,K220)</f>
        <v>0.44766190569360204</v>
      </c>
      <c r="M220" s="483">
        <f>+'Plan de Accion Misional'!AK13</f>
        <v>0.11191547642340051</v>
      </c>
      <c r="N220" s="483">
        <f t="shared" si="103"/>
        <v>0.11191547642340051</v>
      </c>
      <c r="O220" s="485">
        <f t="shared" ref="O220:O227" si="198">+N220</f>
        <v>0.11191547642340051</v>
      </c>
      <c r="P220" s="216"/>
      <c r="Q220" s="217">
        <f>+'Plan de Accion Misional'!AQ13</f>
        <v>0.25</v>
      </c>
      <c r="R220" s="253">
        <f>+'Plan de Accion Misional'!BT13</f>
        <v>1</v>
      </c>
      <c r="S220" s="215">
        <f>IF(R220&gt;100%,100%,R220)</f>
        <v>1</v>
      </c>
      <c r="T220" s="311">
        <f>+'Plan de Accion Misional'!AU13</f>
        <v>0.3619154764234005</v>
      </c>
      <c r="U220" s="311">
        <f t="shared" si="193"/>
        <v>0.3619154764234005</v>
      </c>
      <c r="V220" s="214">
        <f>+U220</f>
        <v>0.3619154764234005</v>
      </c>
      <c r="W220" s="216"/>
      <c r="X220" s="217">
        <f>+'Plan de Accion Misional'!BA13</f>
        <v>0.25</v>
      </c>
      <c r="Y220" s="253">
        <f>+'Plan de Accion Misional'!BV13</f>
        <v>1</v>
      </c>
      <c r="Z220" s="215">
        <f>IF(Y220&gt;100%,100%,Y220)</f>
        <v>1</v>
      </c>
      <c r="AA220" s="220">
        <f>+'Plan de Accion Misional'!BE13</f>
        <v>0.6119154764234005</v>
      </c>
      <c r="AB220" s="220">
        <f t="shared" si="194"/>
        <v>0.6119154764234005</v>
      </c>
      <c r="AC220" s="219">
        <f>+AB220</f>
        <v>0.6119154764234005</v>
      </c>
      <c r="AD220" s="216"/>
      <c r="AE220" s="310">
        <f>+'Plan de Accion Misional'!BK13</f>
        <v>0</v>
      </c>
      <c r="AF220" s="253">
        <f>+'Plan de Accion Misional'!BX13</f>
        <v>0</v>
      </c>
      <c r="AG220" s="215">
        <f t="shared" si="195"/>
        <v>0</v>
      </c>
      <c r="AH220" s="253">
        <f>+'Plan de Accion Misional'!BO13</f>
        <v>0.6119154764234005</v>
      </c>
      <c r="AI220" s="214">
        <f t="shared" si="196"/>
        <v>0.6119154764234005</v>
      </c>
      <c r="AJ220" s="1434"/>
      <c r="AL220" s="1411"/>
      <c r="AM220" s="1411"/>
      <c r="AN220" s="207"/>
      <c r="AO220" s="1440"/>
      <c r="AP220" s="1411"/>
      <c r="AQ220" s="207"/>
      <c r="AR220" s="1411"/>
      <c r="AS220" s="1411"/>
      <c r="AT220" s="207"/>
      <c r="AU220" s="1411"/>
      <c r="AV220" s="1411"/>
      <c r="AW220" s="205"/>
      <c r="AX220" s="1417"/>
      <c r="AZ220" s="1411"/>
      <c r="BA220" s="1411"/>
      <c r="BB220" s="207"/>
      <c r="BC220" s="1440"/>
      <c r="BD220" s="1411"/>
      <c r="BE220" s="207"/>
      <c r="BF220" s="1411"/>
      <c r="BG220" s="1411"/>
      <c r="BH220" s="207"/>
      <c r="BI220" s="1411"/>
      <c r="BJ220" s="1411"/>
      <c r="BK220" s="205"/>
      <c r="BL220" s="1417"/>
      <c r="BN220" s="1411"/>
      <c r="BO220" s="1411"/>
      <c r="BP220" s="207"/>
      <c r="BQ220" s="1440"/>
      <c r="BR220" s="1411"/>
      <c r="BS220" s="207"/>
      <c r="BT220" s="1411"/>
      <c r="BU220" s="1411"/>
      <c r="BV220" s="207"/>
      <c r="BW220" s="1411"/>
      <c r="BX220" s="1411"/>
      <c r="BY220" s="205"/>
      <c r="BZ220" s="1417"/>
      <c r="CB220" s="1411"/>
      <c r="CC220" s="1411"/>
      <c r="CD220" s="207"/>
      <c r="CE220" s="1440"/>
      <c r="CF220" s="1411"/>
      <c r="CG220" s="207"/>
      <c r="CH220" s="1411"/>
      <c r="CI220" s="1411"/>
      <c r="CJ220" s="207"/>
      <c r="CK220" s="1411"/>
      <c r="CL220" s="1411"/>
      <c r="CM220" s="205"/>
      <c r="CN220" s="1417"/>
    </row>
    <row r="221" spans="2:92" ht="57" customHeight="1" x14ac:dyDescent="0.2">
      <c r="B221" s="1455"/>
      <c r="C221" s="1313" t="s">
        <v>59</v>
      </c>
      <c r="D221" s="1351" t="s">
        <v>204</v>
      </c>
      <c r="E221" s="1319" t="s">
        <v>1177</v>
      </c>
      <c r="F221" s="1316" t="s">
        <v>330</v>
      </c>
      <c r="G221" s="329" t="str">
        <f>+'Plan de Accion Misional'!K17</f>
        <v>Gestión de Recaudo</v>
      </c>
      <c r="H221" s="218" t="str">
        <f>+'Plan de Accion Misional'!X17</f>
        <v># Recaudos Identificados / # Total de Recaudo Recibido en el Trimestre</v>
      </c>
      <c r="J221" s="217">
        <f>+'Plan de Accion Misional'!AG17</f>
        <v>0.24984377122673551</v>
      </c>
      <c r="K221" s="483">
        <f>+'Plan de Accion Misional'!BR17</f>
        <v>0.99937508490694205</v>
      </c>
      <c r="L221" s="483">
        <f t="shared" si="197"/>
        <v>0.99937508490694205</v>
      </c>
      <c r="M221" s="483">
        <f>+'Plan de Accion Misional'!AK17</f>
        <v>0.24984377122673551</v>
      </c>
      <c r="N221" s="483">
        <f t="shared" ref="N221:N227" si="199">IF(M221&gt;100%,100%,M221)</f>
        <v>0.24984377122673551</v>
      </c>
      <c r="O221" s="485">
        <f t="shared" si="198"/>
        <v>0.24984377122673551</v>
      </c>
      <c r="P221" s="216"/>
      <c r="Q221" s="217">
        <f>+'Plan de Accion Misional'!AQ17</f>
        <v>0.24994903419805312</v>
      </c>
      <c r="R221" s="253">
        <f>+'Plan de Accion Misional'!BT17</f>
        <v>0.99979613679221246</v>
      </c>
      <c r="S221" s="215">
        <f>IF(R221&gt;100%,100%,R221)</f>
        <v>0.99979613679221246</v>
      </c>
      <c r="T221" s="332">
        <f>+'Plan de Accion Misional'!AU17</f>
        <v>0.49979280542478866</v>
      </c>
      <c r="U221" s="332">
        <f t="shared" si="193"/>
        <v>0.49979280542478866</v>
      </c>
      <c r="V221" s="214">
        <f>+U221</f>
        <v>0.49979280542478866</v>
      </c>
      <c r="W221" s="216"/>
      <c r="X221" s="217">
        <f>+'Plan de Accion Misional'!BA17</f>
        <v>0.24994659894621921</v>
      </c>
      <c r="Y221" s="253">
        <f>+'Plan de Accion Misional'!BV17</f>
        <v>0.99978639578487682</v>
      </c>
      <c r="Z221" s="215">
        <f>IF(Y221&gt;100%,100%,Y221)</f>
        <v>0.99978639578487682</v>
      </c>
      <c r="AA221" s="220">
        <f>+'Plan de Accion Misional'!BE17</f>
        <v>0.74973940437100783</v>
      </c>
      <c r="AB221" s="220">
        <f t="shared" si="194"/>
        <v>0.74973940437100783</v>
      </c>
      <c r="AC221" s="219">
        <f>+AB221</f>
        <v>0.74973940437100783</v>
      </c>
      <c r="AD221" s="216"/>
      <c r="AE221" s="337">
        <f>+'Plan de Accion Misional'!BK17</f>
        <v>0</v>
      </c>
      <c r="AF221" s="253">
        <f>+'Plan de Accion Misional'!BX17</f>
        <v>0</v>
      </c>
      <c r="AG221" s="215">
        <f t="shared" si="195"/>
        <v>0</v>
      </c>
      <c r="AH221" s="253">
        <f>+'Plan de Accion Misional'!BO17</f>
        <v>0.74973940437100783</v>
      </c>
      <c r="AI221" s="214">
        <f t="shared" si="196"/>
        <v>0.74973940437100783</v>
      </c>
      <c r="AJ221" s="335"/>
      <c r="AL221" s="333"/>
      <c r="AM221" s="333"/>
      <c r="AN221" s="207"/>
      <c r="AO221" s="336"/>
      <c r="AP221" s="333"/>
      <c r="AQ221" s="207"/>
      <c r="AR221" s="333"/>
      <c r="AS221" s="333"/>
      <c r="AT221" s="207"/>
      <c r="AU221" s="333"/>
      <c r="AV221" s="333"/>
      <c r="AW221" s="205"/>
      <c r="AX221" s="334"/>
      <c r="AZ221" s="333"/>
      <c r="BA221" s="333"/>
      <c r="BB221" s="207"/>
      <c r="BC221" s="336"/>
      <c r="BD221" s="333"/>
      <c r="BE221" s="207"/>
      <c r="BF221" s="333"/>
      <c r="BG221" s="333"/>
      <c r="BH221" s="207"/>
      <c r="BI221" s="333"/>
      <c r="BJ221" s="333"/>
      <c r="BK221" s="205"/>
      <c r="BL221" s="334"/>
      <c r="BN221" s="333"/>
      <c r="BO221" s="333"/>
      <c r="BP221" s="207"/>
      <c r="BQ221" s="336"/>
      <c r="BR221" s="333"/>
      <c r="BS221" s="207"/>
      <c r="BT221" s="333"/>
      <c r="BU221" s="333"/>
      <c r="BV221" s="207"/>
      <c r="BW221" s="333"/>
      <c r="BX221" s="333"/>
      <c r="BY221" s="205"/>
      <c r="BZ221" s="334"/>
      <c r="CB221" s="333"/>
      <c r="CC221" s="333"/>
      <c r="CD221" s="207"/>
      <c r="CE221" s="336"/>
      <c r="CF221" s="333"/>
      <c r="CG221" s="207"/>
      <c r="CH221" s="333"/>
      <c r="CI221" s="333"/>
      <c r="CJ221" s="207"/>
      <c r="CK221" s="333"/>
      <c r="CL221" s="333"/>
      <c r="CM221" s="205"/>
      <c r="CN221" s="334"/>
    </row>
    <row r="222" spans="2:92" ht="42.75" x14ac:dyDescent="0.2">
      <c r="B222" s="1455"/>
      <c r="C222" s="1329"/>
      <c r="D222" s="1353"/>
      <c r="E222" s="1321"/>
      <c r="F222" s="1318"/>
      <c r="G222" s="329" t="str">
        <f>+'Plan de Accion Misional'!K19</f>
        <v>Informes de Portafolio</v>
      </c>
      <c r="H222" s="218" t="str">
        <f>+'Plan de Accion Misional'!X19</f>
        <v># Boletines Realizados / # Boletines Proyectados del Periodo</v>
      </c>
      <c r="J222" s="217">
        <f>+'Plan de Accion Misional'!AG19</f>
        <v>0.25</v>
      </c>
      <c r="K222" s="483">
        <f>+'Plan de Accion Misional'!BR19</f>
        <v>1</v>
      </c>
      <c r="L222" s="483">
        <f t="shared" si="197"/>
        <v>1</v>
      </c>
      <c r="M222" s="483">
        <f>+'Plan de Accion Misional'!AK19</f>
        <v>0.25</v>
      </c>
      <c r="N222" s="483">
        <f t="shared" si="199"/>
        <v>0.25</v>
      </c>
      <c r="O222" s="485">
        <f t="shared" si="198"/>
        <v>0.25</v>
      </c>
      <c r="P222" s="216"/>
      <c r="Q222" s="217">
        <f>+'Plan de Accion Misional'!AQ19</f>
        <v>0.25</v>
      </c>
      <c r="R222" s="253">
        <f>+'Plan de Accion Misional'!BT19</f>
        <v>1</v>
      </c>
      <c r="S222" s="215">
        <f>IF(R222&gt;100%,100%,R222)</f>
        <v>1</v>
      </c>
      <c r="T222" s="332">
        <f>+'Plan de Accion Misional'!AU19</f>
        <v>0.5</v>
      </c>
      <c r="U222" s="332">
        <f t="shared" si="193"/>
        <v>0.5</v>
      </c>
      <c r="V222" s="214">
        <f>+U222</f>
        <v>0.5</v>
      </c>
      <c r="W222" s="216"/>
      <c r="X222" s="217">
        <f>+'Plan de Accion Misional'!BA19</f>
        <v>0.25</v>
      </c>
      <c r="Y222" s="253">
        <f>+'Plan de Accion Misional'!BV19</f>
        <v>1</v>
      </c>
      <c r="Z222" s="215">
        <f>IF(Y222&gt;100%,100%,Y222)</f>
        <v>1</v>
      </c>
      <c r="AA222" s="220">
        <f>+'Plan de Accion Misional'!BE19</f>
        <v>0.75</v>
      </c>
      <c r="AB222" s="220">
        <f t="shared" si="194"/>
        <v>0.75</v>
      </c>
      <c r="AC222" s="219">
        <f>+AB222</f>
        <v>0.75</v>
      </c>
      <c r="AD222" s="216"/>
      <c r="AE222" s="337">
        <f>+'Plan de Accion Misional'!BK19</f>
        <v>0</v>
      </c>
      <c r="AF222" s="253">
        <f>+'Plan de Accion Misional'!BX19</f>
        <v>0</v>
      </c>
      <c r="AG222" s="215">
        <f t="shared" si="195"/>
        <v>0</v>
      </c>
      <c r="AH222" s="253">
        <f>+'Plan de Accion Misional'!BO19</f>
        <v>0.75</v>
      </c>
      <c r="AI222" s="214">
        <f t="shared" si="196"/>
        <v>0.75</v>
      </c>
      <c r="AJ222" s="335"/>
      <c r="AL222" s="333"/>
      <c r="AM222" s="333"/>
      <c r="AN222" s="207"/>
      <c r="AO222" s="336"/>
      <c r="AP222" s="333"/>
      <c r="AQ222" s="207"/>
      <c r="AR222" s="333"/>
      <c r="AS222" s="333"/>
      <c r="AT222" s="207"/>
      <c r="AU222" s="333"/>
      <c r="AV222" s="333"/>
      <c r="AW222" s="205"/>
      <c r="AX222" s="334"/>
      <c r="AZ222" s="333"/>
      <c r="BA222" s="333"/>
      <c r="BB222" s="207"/>
      <c r="BC222" s="336"/>
      <c r="BD222" s="333"/>
      <c r="BE222" s="207"/>
      <c r="BF222" s="333"/>
      <c r="BG222" s="333"/>
      <c r="BH222" s="207"/>
      <c r="BI222" s="333"/>
      <c r="BJ222" s="333"/>
      <c r="BK222" s="205"/>
      <c r="BL222" s="334"/>
      <c r="BN222" s="333"/>
      <c r="BO222" s="333"/>
      <c r="BP222" s="207"/>
      <c r="BQ222" s="336"/>
      <c r="BR222" s="333"/>
      <c r="BS222" s="207"/>
      <c r="BT222" s="333"/>
      <c r="BU222" s="333"/>
      <c r="BV222" s="207"/>
      <c r="BW222" s="333"/>
      <c r="BX222" s="333"/>
      <c r="BY222" s="205"/>
      <c r="BZ222" s="334"/>
      <c r="CB222" s="333"/>
      <c r="CC222" s="333"/>
      <c r="CD222" s="207"/>
      <c r="CE222" s="336"/>
      <c r="CF222" s="333"/>
      <c r="CG222" s="207"/>
      <c r="CH222" s="333"/>
      <c r="CI222" s="333"/>
      <c r="CJ222" s="207"/>
      <c r="CK222" s="333"/>
      <c r="CL222" s="333"/>
      <c r="CM222" s="205"/>
      <c r="CN222" s="334"/>
    </row>
    <row r="223" spans="2:92" ht="99.75" customHeight="1" x14ac:dyDescent="0.2">
      <c r="B223" s="1455"/>
      <c r="C223" s="1313" t="s">
        <v>60</v>
      </c>
      <c r="D223" s="1351" t="s">
        <v>204</v>
      </c>
      <c r="E223" s="1319" t="s">
        <v>125</v>
      </c>
      <c r="F223" s="1316" t="s">
        <v>330</v>
      </c>
      <c r="G223" s="329" t="str">
        <f>+'Plan de Accion apoyo transversa'!X23</f>
        <v>Conceptos jurídicos</v>
      </c>
      <c r="H223" s="218" t="str">
        <f>+'Plan de Accion apoyo transversa'!AK23</f>
        <v># Conceptos jurídicos presentados en término legal / # Conceptos jurídicos requeridos con corte al mes anterior</v>
      </c>
      <c r="J223" s="221">
        <f>+'Plan de Accion apoyo transversa'!AT23</f>
        <v>0.19230769230769232</v>
      </c>
      <c r="K223" s="483">
        <f>+'Plan de Accion apoyo transversa'!CE23</f>
        <v>0.76923076923076927</v>
      </c>
      <c r="L223" s="483">
        <f t="shared" si="197"/>
        <v>0.76923076923076927</v>
      </c>
      <c r="M223" s="483">
        <f>+'Plan de Accion apoyo transversa'!AX23</f>
        <v>0.19230769230769232</v>
      </c>
      <c r="N223" s="483">
        <f t="shared" si="199"/>
        <v>0.19230769230769232</v>
      </c>
      <c r="O223" s="485">
        <f t="shared" si="198"/>
        <v>0.19230769230769232</v>
      </c>
      <c r="P223" s="216"/>
      <c r="Q223" s="221">
        <f>+'Plan de Accion apoyo transversa'!BD23</f>
        <v>0.21428571428571427</v>
      </c>
      <c r="R223" s="253">
        <f>+'Plan de Accion apoyo transversa'!CG23</f>
        <v>0.8571428571428571</v>
      </c>
      <c r="S223" s="215">
        <f>IF(R223&gt;100%,100%,R223)</f>
        <v>0.8571428571428571</v>
      </c>
      <c r="T223" s="332">
        <f>+'Plan de Accion apoyo transversa'!BH23</f>
        <v>0.40659340659340659</v>
      </c>
      <c r="U223" s="332">
        <f t="shared" si="193"/>
        <v>0.40659340659340659</v>
      </c>
      <c r="V223" s="214">
        <f>+U223</f>
        <v>0.40659340659340659</v>
      </c>
      <c r="W223" s="216"/>
      <c r="X223" s="221">
        <f>+'Plan de Accion apoyo transversa'!BN23</f>
        <v>0.25</v>
      </c>
      <c r="Y223" s="253">
        <f>+'Plan de Accion apoyo transversa'!CI23</f>
        <v>1</v>
      </c>
      <c r="Z223" s="215">
        <f>IF(Y223&gt;100%,100%,Y223)</f>
        <v>1</v>
      </c>
      <c r="AA223" s="220">
        <f>+'Plan de Accion apoyo transversa'!BR23</f>
        <v>0.65659340659340659</v>
      </c>
      <c r="AB223" s="220">
        <f t="shared" si="194"/>
        <v>0.65659340659340659</v>
      </c>
      <c r="AC223" s="219">
        <f>+AB223</f>
        <v>0.65659340659340659</v>
      </c>
      <c r="AD223" s="216"/>
      <c r="AE223" s="221">
        <f>+'Plan de Accion apoyo transversa'!BX23</f>
        <v>0</v>
      </c>
      <c r="AF223" s="253">
        <f>+'Plan de Accion apoyo transversa'!CK23</f>
        <v>0</v>
      </c>
      <c r="AG223" s="215">
        <f t="shared" si="195"/>
        <v>0</v>
      </c>
      <c r="AH223" s="253">
        <f>+'Plan de Accion apoyo transversa'!CB23</f>
        <v>0.65659340659340659</v>
      </c>
      <c r="AI223" s="214">
        <f t="shared" si="196"/>
        <v>0.65659340659340659</v>
      </c>
      <c r="AJ223" s="335"/>
      <c r="AL223" s="333"/>
      <c r="AM223" s="333"/>
      <c r="AN223" s="207"/>
      <c r="AO223" s="336"/>
      <c r="AP223" s="333"/>
      <c r="AQ223" s="207"/>
      <c r="AR223" s="333"/>
      <c r="AS223" s="333"/>
      <c r="AT223" s="207"/>
      <c r="AU223" s="333"/>
      <c r="AV223" s="333"/>
      <c r="AW223" s="205"/>
      <c r="AX223" s="334"/>
      <c r="AZ223" s="333"/>
      <c r="BA223" s="333"/>
      <c r="BB223" s="207"/>
      <c r="BC223" s="336"/>
      <c r="BD223" s="333"/>
      <c r="BE223" s="207"/>
      <c r="BF223" s="333"/>
      <c r="BG223" s="333"/>
      <c r="BH223" s="207"/>
      <c r="BI223" s="333"/>
      <c r="BJ223" s="333"/>
      <c r="BK223" s="205"/>
      <c r="BL223" s="334"/>
      <c r="BN223" s="333"/>
      <c r="BO223" s="333"/>
      <c r="BP223" s="207"/>
      <c r="BQ223" s="336"/>
      <c r="BR223" s="333"/>
      <c r="BS223" s="207"/>
      <c r="BT223" s="333"/>
      <c r="BU223" s="333"/>
      <c r="BV223" s="207"/>
      <c r="BW223" s="333"/>
      <c r="BX223" s="333"/>
      <c r="BY223" s="205"/>
      <c r="BZ223" s="334"/>
      <c r="CB223" s="333"/>
      <c r="CC223" s="333"/>
      <c r="CD223" s="207"/>
      <c r="CE223" s="336"/>
      <c r="CF223" s="333"/>
      <c r="CG223" s="207"/>
      <c r="CH223" s="333"/>
      <c r="CI223" s="333"/>
      <c r="CJ223" s="207"/>
      <c r="CK223" s="333"/>
      <c r="CL223" s="333"/>
      <c r="CM223" s="205"/>
      <c r="CN223" s="334"/>
    </row>
    <row r="224" spans="2:92" ht="45" customHeight="1" x14ac:dyDescent="0.2">
      <c r="B224" s="1455"/>
      <c r="C224" s="1314"/>
      <c r="D224" s="1352"/>
      <c r="E224" s="1320"/>
      <c r="F224" s="1317"/>
      <c r="G224" s="329" t="str">
        <f>+'Plan de Accion apoyo transversa'!X24</f>
        <v>Recursos de casación y representación judicial</v>
      </c>
      <c r="H224" s="218" t="str">
        <f>+'Plan de Accion apoyo transversa'!AK24</f>
        <v>Producto entregado en el trimestre/producto requerido en el trimestre</v>
      </c>
      <c r="J224" s="221">
        <f>+'Plan de Accion apoyo transversa'!AT24</f>
        <v>0</v>
      </c>
      <c r="K224" s="483">
        <f>+'Plan de Accion apoyo transversa'!CE24</f>
        <v>0</v>
      </c>
      <c r="L224" s="483">
        <f t="shared" si="197"/>
        <v>0</v>
      </c>
      <c r="M224" s="483">
        <f>+'Plan de Accion apoyo transversa'!AX24</f>
        <v>0</v>
      </c>
      <c r="N224" s="483">
        <f t="shared" si="199"/>
        <v>0</v>
      </c>
      <c r="O224" s="485">
        <f t="shared" si="198"/>
        <v>0</v>
      </c>
      <c r="P224" s="216"/>
      <c r="Q224" s="221" t="str">
        <f>+'Plan de Accion apoyo transversa'!BD24</f>
        <v>N.A</v>
      </c>
      <c r="R224" s="253" t="str">
        <f>+'Plan de Accion apoyo transversa'!CG24</f>
        <v>No Prog, Ejec=  N.A</v>
      </c>
      <c r="S224" s="215">
        <f>IF(R224&gt;100%,100%,R224)</f>
        <v>1</v>
      </c>
      <c r="T224" s="814">
        <f>+'Plan de Accion apoyo transversa'!BH24</f>
        <v>0</v>
      </c>
      <c r="U224" s="814">
        <f t="shared" ref="U224" si="200">IF(T224&gt;100%,100%,T224)</f>
        <v>0</v>
      </c>
      <c r="V224" s="214">
        <f>+U224</f>
        <v>0</v>
      </c>
      <c r="W224" s="216"/>
      <c r="X224" s="221" t="str">
        <f>+'Plan de Accion apoyo transversa'!BN24</f>
        <v>N.A</v>
      </c>
      <c r="Y224" s="253" t="str">
        <f>+'Plan de Accion apoyo transversa'!CI24</f>
        <v>No Prog, Ejec=  N.A</v>
      </c>
      <c r="Z224" s="215">
        <f>IF(Y224&gt;100%,100%,Y224)</f>
        <v>1</v>
      </c>
      <c r="AA224" s="220">
        <f>+'Plan de Accion apoyo transversa'!BR24</f>
        <v>0</v>
      </c>
      <c r="AB224" s="220">
        <f t="shared" si="194"/>
        <v>0</v>
      </c>
      <c r="AC224" s="219">
        <f>+AB224</f>
        <v>0</v>
      </c>
      <c r="AD224" s="216"/>
      <c r="AE224" s="221">
        <f>+'Plan de Accion apoyo transversa'!BX24</f>
        <v>0</v>
      </c>
      <c r="AF224" s="253">
        <f>+'Plan de Accion apoyo transversa'!CK24</f>
        <v>0</v>
      </c>
      <c r="AG224" s="215">
        <f t="shared" si="195"/>
        <v>0</v>
      </c>
      <c r="AH224" s="253" t="e">
        <f>+'Plan de Accion apoyo transversa'!CB24</f>
        <v>#VALUE!</v>
      </c>
      <c r="AI224" s="214" t="e">
        <f t="shared" si="196"/>
        <v>#VALUE!</v>
      </c>
      <c r="AJ224" s="335"/>
      <c r="AL224" s="333"/>
      <c r="AM224" s="333"/>
      <c r="AN224" s="207"/>
      <c r="AO224" s="336"/>
      <c r="AP224" s="333"/>
      <c r="AQ224" s="207"/>
      <c r="AR224" s="333"/>
      <c r="AS224" s="333"/>
      <c r="AT224" s="207"/>
      <c r="AU224" s="333"/>
      <c r="AV224" s="333"/>
      <c r="AW224" s="205"/>
      <c r="AX224" s="334"/>
      <c r="AZ224" s="333"/>
      <c r="BA224" s="333"/>
      <c r="BB224" s="207"/>
      <c r="BC224" s="336"/>
      <c r="BD224" s="333"/>
      <c r="BE224" s="207"/>
      <c r="BF224" s="333"/>
      <c r="BG224" s="333"/>
      <c r="BH224" s="207"/>
      <c r="BI224" s="333"/>
      <c r="BJ224" s="333"/>
      <c r="BK224" s="205"/>
      <c r="BL224" s="334"/>
      <c r="BN224" s="333"/>
      <c r="BO224" s="333"/>
      <c r="BP224" s="207"/>
      <c r="BQ224" s="336"/>
      <c r="BR224" s="333"/>
      <c r="BS224" s="207"/>
      <c r="BT224" s="333"/>
      <c r="BU224" s="333"/>
      <c r="BV224" s="207"/>
      <c r="BW224" s="333"/>
      <c r="BX224" s="333"/>
      <c r="BY224" s="205"/>
      <c r="BZ224" s="334"/>
      <c r="CB224" s="333"/>
      <c r="CC224" s="333"/>
      <c r="CD224" s="207"/>
      <c r="CE224" s="336"/>
      <c r="CF224" s="333"/>
      <c r="CG224" s="207"/>
      <c r="CH224" s="333"/>
      <c r="CI224" s="333"/>
      <c r="CJ224" s="207"/>
      <c r="CK224" s="333"/>
      <c r="CL224" s="333"/>
      <c r="CM224" s="205"/>
      <c r="CN224" s="334"/>
    </row>
    <row r="225" spans="2:92" ht="71.25" x14ac:dyDescent="0.2">
      <c r="B225" s="1455"/>
      <c r="C225" s="1314"/>
      <c r="D225" s="1352"/>
      <c r="E225" s="1320"/>
      <c r="F225" s="1317"/>
      <c r="G225" s="329" t="str">
        <f>+'Plan de Accion apoyo transversa'!X25</f>
        <v>Vigilancia judicial</v>
      </c>
      <c r="H225" s="218" t="str">
        <f>+'Plan de Accion apoyo transversa'!AK25</f>
        <v>#procesos vigilados por la firma de vigilancia / # procesos relacionados para vigilancia a la firma contratada</v>
      </c>
      <c r="J225" s="221">
        <f>+'Plan de Accion apoyo transversa'!AT25</f>
        <v>0</v>
      </c>
      <c r="K225" s="483">
        <f>+'Plan de Accion apoyo transversa'!CE25</f>
        <v>0</v>
      </c>
      <c r="L225" s="483">
        <f t="shared" si="197"/>
        <v>0</v>
      </c>
      <c r="M225" s="483">
        <f>+'Plan de Accion apoyo transversa'!AX25</f>
        <v>0</v>
      </c>
      <c r="N225" s="483">
        <f t="shared" si="199"/>
        <v>0</v>
      </c>
      <c r="O225" s="485">
        <f t="shared" si="198"/>
        <v>0</v>
      </c>
      <c r="P225" s="216"/>
      <c r="Q225" s="221">
        <f>+'Plan de Accion apoyo transversa'!BD25</f>
        <v>0.25</v>
      </c>
      <c r="R225" s="253">
        <f>+'Plan de Accion apoyo transversa'!CG25</f>
        <v>1</v>
      </c>
      <c r="S225" s="215">
        <f t="shared" ref="S225:S235" si="201">IF(R225&gt;100%,100%,R225)</f>
        <v>1</v>
      </c>
      <c r="T225" s="332">
        <f>+'Plan de Accion apoyo transversa'!BH25</f>
        <v>0.25</v>
      </c>
      <c r="U225" s="332">
        <f t="shared" ref="U225:U235" si="202">IF(T225&gt;100%,100%,T225)</f>
        <v>0.25</v>
      </c>
      <c r="V225" s="214">
        <f t="shared" ref="V225:V237" si="203">+U225</f>
        <v>0.25</v>
      </c>
      <c r="W225" s="216"/>
      <c r="X225" s="221">
        <f>+'Plan de Accion apoyo transversa'!BN25</f>
        <v>0.25</v>
      </c>
      <c r="Y225" s="253">
        <f>+'Plan de Accion apoyo transversa'!CI25</f>
        <v>1</v>
      </c>
      <c r="Z225" s="215">
        <f t="shared" ref="Z225:Z235" si="204">IF(Y225&gt;100%,100%,Y225)</f>
        <v>1</v>
      </c>
      <c r="AA225" s="220">
        <f>+'Plan de Accion apoyo transversa'!BR25</f>
        <v>0.5</v>
      </c>
      <c r="AB225" s="220">
        <f t="shared" ref="AB225:AB235" si="205">IF(AA225&gt;100%,100%,AA225)</f>
        <v>0.5</v>
      </c>
      <c r="AC225" s="219">
        <f t="shared" ref="AC225:AC237" si="206">+AB225</f>
        <v>0.5</v>
      </c>
      <c r="AD225" s="216"/>
      <c r="AE225" s="221">
        <f>+'Plan de Accion apoyo transversa'!BX25</f>
        <v>0</v>
      </c>
      <c r="AF225" s="253">
        <f>+'Plan de Accion apoyo transversa'!CK25</f>
        <v>0</v>
      </c>
      <c r="AG225" s="215">
        <f t="shared" ref="AG225:AG235" si="207">IF(AF225&gt;100%,100%,AF225)</f>
        <v>0</v>
      </c>
      <c r="AH225" s="253">
        <f>+'Plan de Accion apoyo transversa'!CB25</f>
        <v>0.5</v>
      </c>
      <c r="AI225" s="214">
        <f t="shared" ref="AI225:AI235" si="208">IF(AH225&gt;100%,100%,AH225)</f>
        <v>0.5</v>
      </c>
      <c r="AJ225" s="335"/>
      <c r="AL225" s="333"/>
      <c r="AM225" s="333"/>
      <c r="AN225" s="207"/>
      <c r="AO225" s="336"/>
      <c r="AP225" s="333"/>
      <c r="AQ225" s="207"/>
      <c r="AR225" s="333"/>
      <c r="AS225" s="333"/>
      <c r="AT225" s="207"/>
      <c r="AU225" s="333"/>
      <c r="AV225" s="333"/>
      <c r="AW225" s="205"/>
      <c r="AX225" s="334"/>
      <c r="AZ225" s="333"/>
      <c r="BA225" s="333"/>
      <c r="BB225" s="207"/>
      <c r="BC225" s="336"/>
      <c r="BD225" s="333"/>
      <c r="BE225" s="207"/>
      <c r="BF225" s="333"/>
      <c r="BG225" s="333"/>
      <c r="BH225" s="207"/>
      <c r="BI225" s="333"/>
      <c r="BJ225" s="333"/>
      <c r="BK225" s="205"/>
      <c r="BL225" s="334"/>
      <c r="BN225" s="333"/>
      <c r="BO225" s="333"/>
      <c r="BP225" s="207"/>
      <c r="BQ225" s="336"/>
      <c r="BR225" s="333"/>
      <c r="BS225" s="207"/>
      <c r="BT225" s="333"/>
      <c r="BU225" s="333"/>
      <c r="BV225" s="207"/>
      <c r="BW225" s="333"/>
      <c r="BX225" s="333"/>
      <c r="BY225" s="205"/>
      <c r="BZ225" s="334"/>
      <c r="CB225" s="333"/>
      <c r="CC225" s="333"/>
      <c r="CD225" s="207"/>
      <c r="CE225" s="336"/>
      <c r="CF225" s="333"/>
      <c r="CG225" s="207"/>
      <c r="CH225" s="333"/>
      <c r="CI225" s="333"/>
      <c r="CJ225" s="207"/>
      <c r="CK225" s="333"/>
      <c r="CL225" s="333"/>
      <c r="CM225" s="205"/>
      <c r="CN225" s="334"/>
    </row>
    <row r="226" spans="2:92" ht="28.5" customHeight="1" x14ac:dyDescent="0.2">
      <c r="B226" s="1455"/>
      <c r="C226" s="1314"/>
      <c r="D226" s="1352"/>
      <c r="E226" s="1320"/>
      <c r="F226" s="1317"/>
      <c r="G226" s="329" t="str">
        <f>+'Plan de Accion apoyo transversa'!X27</f>
        <v>Procesos radicados en Ekogui</v>
      </c>
      <c r="H226" s="218" t="str">
        <f>+'Plan de Accion apoyo transversa'!AK27</f>
        <v xml:space="preserve">#Procesos permitidos por la plataforma durante el Trimestre  / #procesos radicados en Ekogui por los apoderados </v>
      </c>
      <c r="J226" s="221">
        <f>+'Plan de Accion apoyo transversa'!AT27</f>
        <v>0.23670557717250323</v>
      </c>
      <c r="K226" s="483">
        <f>+'Plan de Accion apoyo transversa'!CE27</f>
        <v>0.94682230869001294</v>
      </c>
      <c r="L226" s="483">
        <f t="shared" si="197"/>
        <v>0.94682230869001294</v>
      </c>
      <c r="M226" s="483">
        <f>+'Plan de Accion apoyo transversa'!AX27</f>
        <v>0.23670557717250323</v>
      </c>
      <c r="N226" s="483">
        <f t="shared" si="199"/>
        <v>0.23670557717250323</v>
      </c>
      <c r="O226" s="485">
        <f t="shared" si="198"/>
        <v>0.23670557717250323</v>
      </c>
      <c r="P226" s="216"/>
      <c r="Q226" s="221">
        <f>+'Plan de Accion apoyo transversa'!BD27</f>
        <v>0.23458445040214476</v>
      </c>
      <c r="R226" s="253">
        <f>+'Plan de Accion apoyo transversa'!CG27</f>
        <v>0.93833780160857905</v>
      </c>
      <c r="S226" s="215">
        <f t="shared" si="201"/>
        <v>0.93833780160857905</v>
      </c>
      <c r="T226" s="332">
        <f>+'Plan de Accion apoyo transversa'!BH27</f>
        <v>0.471290027574648</v>
      </c>
      <c r="U226" s="332">
        <f t="shared" si="202"/>
        <v>0.471290027574648</v>
      </c>
      <c r="V226" s="214">
        <f t="shared" si="203"/>
        <v>0.471290027574648</v>
      </c>
      <c r="W226" s="216"/>
      <c r="X226" s="221">
        <f>+'Plan de Accion apoyo transversa'!BN27</f>
        <v>0.16224489795918368</v>
      </c>
      <c r="Y226" s="253">
        <f>+'Plan de Accion apoyo transversa'!CI27</f>
        <v>0.6489795918367347</v>
      </c>
      <c r="Z226" s="215">
        <f t="shared" si="204"/>
        <v>0.6489795918367347</v>
      </c>
      <c r="AA226" s="220">
        <f>+'Plan de Accion apoyo transversa'!BR27</f>
        <v>0.63353492553383162</v>
      </c>
      <c r="AB226" s="220">
        <f t="shared" si="205"/>
        <v>0.63353492553383162</v>
      </c>
      <c r="AC226" s="219">
        <f t="shared" si="206"/>
        <v>0.63353492553383162</v>
      </c>
      <c r="AD226" s="216"/>
      <c r="AE226" s="221">
        <f>+'Plan de Accion apoyo transversa'!BX27</f>
        <v>0</v>
      </c>
      <c r="AF226" s="253">
        <f>+'Plan de Accion apoyo transversa'!CK27</f>
        <v>0</v>
      </c>
      <c r="AG226" s="215">
        <f t="shared" si="207"/>
        <v>0</v>
      </c>
      <c r="AH226" s="253">
        <f>+'Plan de Accion apoyo transversa'!CB27</f>
        <v>0.63353492553383162</v>
      </c>
      <c r="AI226" s="214">
        <f t="shared" si="208"/>
        <v>0.63353492553383162</v>
      </c>
      <c r="AJ226" s="335"/>
      <c r="AL226" s="333"/>
      <c r="AM226" s="333"/>
      <c r="AN226" s="207"/>
      <c r="AO226" s="336"/>
      <c r="AP226" s="333"/>
      <c r="AQ226" s="207"/>
      <c r="AR226" s="333"/>
      <c r="AS226" s="333"/>
      <c r="AT226" s="207"/>
      <c r="AU226" s="333"/>
      <c r="AV226" s="333"/>
      <c r="AW226" s="205"/>
      <c r="AX226" s="334"/>
      <c r="AZ226" s="333"/>
      <c r="BA226" s="333"/>
      <c r="BB226" s="207"/>
      <c r="BC226" s="336"/>
      <c r="BD226" s="333"/>
      <c r="BE226" s="207"/>
      <c r="BF226" s="333"/>
      <c r="BG226" s="333"/>
      <c r="BH226" s="207"/>
      <c r="BI226" s="333"/>
      <c r="BJ226" s="333"/>
      <c r="BK226" s="205"/>
      <c r="BL226" s="334"/>
      <c r="BN226" s="333"/>
      <c r="BO226" s="333"/>
      <c r="BP226" s="207"/>
      <c r="BQ226" s="336"/>
      <c r="BR226" s="333"/>
      <c r="BS226" s="207"/>
      <c r="BT226" s="333"/>
      <c r="BU226" s="333"/>
      <c r="BV226" s="207"/>
      <c r="BW226" s="333"/>
      <c r="BX226" s="333"/>
      <c r="BY226" s="205"/>
      <c r="BZ226" s="334"/>
      <c r="CB226" s="333"/>
      <c r="CC226" s="333"/>
      <c r="CD226" s="207"/>
      <c r="CE226" s="336"/>
      <c r="CF226" s="333"/>
      <c r="CG226" s="207"/>
      <c r="CH226" s="333"/>
      <c r="CI226" s="333"/>
      <c r="CJ226" s="207"/>
      <c r="CK226" s="333"/>
      <c r="CL226" s="333"/>
      <c r="CM226" s="205"/>
      <c r="CN226" s="334"/>
    </row>
    <row r="227" spans="2:92" ht="71.25" customHeight="1" x14ac:dyDescent="0.2">
      <c r="B227" s="1455"/>
      <c r="C227" s="1314"/>
      <c r="D227" s="1352"/>
      <c r="E227" s="1320"/>
      <c r="F227" s="1317"/>
      <c r="G227" s="450" t="str">
        <f>+'Plan de Accion apoyo transversa'!X28</f>
        <v>Entrega de la provisión de contingencias judiciales al Grupo de Gestión Contable y Control de Recursos ET en la fecha pactada</v>
      </c>
      <c r="H227" s="218" t="str">
        <f>+'Plan de Accion apoyo transversa'!AK28</f>
        <v>Entrega de provisión contable según requerimiento para entrega de provisión por parte de la DGRFS</v>
      </c>
      <c r="J227" s="221">
        <f>+'Plan de Accion apoyo transversa'!AT28</f>
        <v>1</v>
      </c>
      <c r="K227" s="483">
        <f>+'Plan de Accion apoyo transversa'!CE28</f>
        <v>1</v>
      </c>
      <c r="L227" s="659">
        <f t="shared" si="197"/>
        <v>1</v>
      </c>
      <c r="M227" s="659">
        <f>+'Plan de Accion apoyo transversa'!AX28</f>
        <v>0.25</v>
      </c>
      <c r="N227" s="659">
        <f t="shared" si="199"/>
        <v>0.25</v>
      </c>
      <c r="O227" s="660">
        <f t="shared" si="198"/>
        <v>0.25</v>
      </c>
      <c r="P227" s="216"/>
      <c r="Q227" s="221">
        <f>+'Plan de Accion apoyo transversa'!BD28</f>
        <v>1</v>
      </c>
      <c r="R227" s="253">
        <f>+'Plan de Accion apoyo transversa'!CG28</f>
        <v>1</v>
      </c>
      <c r="S227" s="215">
        <f t="shared" ref="S227" si="209">IF(R227&gt;100%,100%,R227)</f>
        <v>1</v>
      </c>
      <c r="T227" s="659">
        <f>+'Plan de Accion apoyo transversa'!BH28</f>
        <v>0.5</v>
      </c>
      <c r="U227" s="659">
        <f t="shared" ref="U227" si="210">IF(T227&gt;100%,100%,T227)</f>
        <v>0.5</v>
      </c>
      <c r="V227" s="214">
        <f t="shared" ref="V227" si="211">+U227</f>
        <v>0.5</v>
      </c>
      <c r="W227" s="216"/>
      <c r="X227" s="221">
        <f>+'Plan de Accion apoyo transversa'!BN28</f>
        <v>1</v>
      </c>
      <c r="Y227" s="253">
        <f>+'Plan de Accion apoyo transversa'!CI28</f>
        <v>1</v>
      </c>
      <c r="Z227" s="215">
        <f t="shared" ref="Z227" si="212">IF(Y227&gt;100%,100%,Y227)</f>
        <v>1</v>
      </c>
      <c r="AA227" s="220">
        <f>+'Plan de Accion apoyo transversa'!BR28</f>
        <v>0.75</v>
      </c>
      <c r="AB227" s="220">
        <f t="shared" ref="AB227" si="213">IF(AA227&gt;100%,100%,AA227)</f>
        <v>0.75</v>
      </c>
      <c r="AC227" s="219">
        <f t="shared" ref="AC227" si="214">+AB227</f>
        <v>0.75</v>
      </c>
      <c r="AD227" s="216"/>
      <c r="AE227" s="221">
        <f>+'Plan de Accion apoyo transversa'!BX28</f>
        <v>0</v>
      </c>
      <c r="AF227" s="253">
        <f>+'Plan de Accion apoyo transversa'!CK28</f>
        <v>0</v>
      </c>
      <c r="AG227" s="215">
        <f t="shared" ref="AG227" si="215">IF(AF227&gt;100%,100%,AF227)</f>
        <v>0</v>
      </c>
      <c r="AH227" s="253">
        <f>+'Plan de Accion apoyo transversa'!CB28</f>
        <v>0.75</v>
      </c>
      <c r="AI227" s="214">
        <f t="shared" ref="AI227" si="216">IF(AH227&gt;100%,100%,AH227)</f>
        <v>0.75</v>
      </c>
      <c r="AJ227" s="335"/>
      <c r="AL227" s="333"/>
      <c r="AM227" s="333"/>
      <c r="AN227" s="207"/>
      <c r="AO227" s="336"/>
      <c r="AP227" s="333"/>
      <c r="AQ227" s="207"/>
      <c r="AR227" s="333"/>
      <c r="AS227" s="333"/>
      <c r="AT227" s="207"/>
      <c r="AU227" s="333"/>
      <c r="AV227" s="333"/>
      <c r="AW227" s="205"/>
      <c r="AX227" s="334"/>
      <c r="AZ227" s="333"/>
      <c r="BA227" s="333"/>
      <c r="BB227" s="207"/>
      <c r="BC227" s="336"/>
      <c r="BD227" s="333"/>
      <c r="BE227" s="207"/>
      <c r="BF227" s="333"/>
      <c r="BG227" s="333"/>
      <c r="BH227" s="207"/>
      <c r="BI227" s="333"/>
      <c r="BJ227" s="333"/>
      <c r="BK227" s="205"/>
      <c r="BL227" s="334"/>
      <c r="BN227" s="333"/>
      <c r="BO227" s="333"/>
      <c r="BP227" s="207"/>
      <c r="BQ227" s="336"/>
      <c r="BR227" s="333"/>
      <c r="BS227" s="207"/>
      <c r="BT227" s="333"/>
      <c r="BU227" s="333"/>
      <c r="BV227" s="207"/>
      <c r="BW227" s="333"/>
      <c r="BX227" s="333"/>
      <c r="BY227" s="205"/>
      <c r="BZ227" s="334"/>
      <c r="CB227" s="333"/>
      <c r="CC227" s="333"/>
      <c r="CD227" s="207"/>
      <c r="CE227" s="336"/>
      <c r="CF227" s="333"/>
      <c r="CG227" s="207"/>
      <c r="CH227" s="333"/>
      <c r="CI227" s="333"/>
      <c r="CJ227" s="207"/>
      <c r="CK227" s="333"/>
      <c r="CL227" s="333"/>
      <c r="CM227" s="205"/>
      <c r="CN227" s="334"/>
    </row>
    <row r="228" spans="2:92" ht="85.5" x14ac:dyDescent="0.2">
      <c r="B228" s="1455"/>
      <c r="C228" s="1314"/>
      <c r="D228" s="1352"/>
      <c r="E228" s="1320"/>
      <c r="F228" s="1317"/>
      <c r="G228" s="1319" t="str">
        <f>+'Plan de Accion apoyo transversa'!X29</f>
        <v>Intervención en los procesos e investigaciones penales</v>
      </c>
      <c r="H228" s="218" t="str">
        <f>+'Plan de Accion apoyo transversa'!AK29</f>
        <v>#Procesos Representados durante el Trimestre / #Procesos penales en los que ADRES requiere representación judicial durante el trimestre</v>
      </c>
      <c r="J228" s="221">
        <f>+'Plan de Accion apoyo transversa'!AT29</f>
        <v>7.1428571428571425E-2</v>
      </c>
      <c r="K228" s="1290">
        <f>AVERAGE('Plan de Accion apoyo transversa'!CE29:CE30)</f>
        <v>0.14285714285714285</v>
      </c>
      <c r="L228" s="1290">
        <f t="shared" ref="L228:L239" si="217">IF(K228&gt;100%,100%,K228)</f>
        <v>0.14285714285714285</v>
      </c>
      <c r="M228" s="1290">
        <f>AVERAGE('Plan de Accion apoyo transversa'!AX29:AX30)</f>
        <v>3.5714285714285712E-2</v>
      </c>
      <c r="N228" s="1290">
        <f t="shared" ref="N228:N235" si="218">IF(M228&gt;100%,100%,M228)</f>
        <v>3.5714285714285712E-2</v>
      </c>
      <c r="O228" s="1293">
        <f t="shared" ref="O228:O239" si="219">+N228</f>
        <v>3.5714285714285712E-2</v>
      </c>
      <c r="P228" s="216"/>
      <c r="Q228" s="221">
        <f>+'Plan de Accion apoyo transversa'!BD29</f>
        <v>0.234375</v>
      </c>
      <c r="R228" s="1290">
        <f>AVERAGE('Plan de Accion apoyo transversa'!CG29:CG30)</f>
        <v>0.96875</v>
      </c>
      <c r="S228" s="1290">
        <f t="shared" si="201"/>
        <v>0.96875</v>
      </c>
      <c r="T228" s="1290">
        <f>AVERAGE('Plan de Accion apoyo transversa'!BH29:BH30)</f>
        <v>0.2779017857142857</v>
      </c>
      <c r="U228" s="1290">
        <f t="shared" si="202"/>
        <v>0.2779017857142857</v>
      </c>
      <c r="V228" s="1293">
        <f t="shared" si="203"/>
        <v>0.2779017857142857</v>
      </c>
      <c r="W228" s="216"/>
      <c r="X228" s="221">
        <f>+'Plan de Accion apoyo transversa'!BN29</f>
        <v>0.25</v>
      </c>
      <c r="Y228" s="1290">
        <f>AVERAGE('Plan de Accion apoyo transversa'!CI29:CI30)</f>
        <v>1</v>
      </c>
      <c r="Z228" s="1290">
        <f t="shared" si="204"/>
        <v>1</v>
      </c>
      <c r="AA228" s="1296">
        <f>AVERAGE('Plan de Accion apoyo transversa'!BR29:BR30)</f>
        <v>0.5279017857142857</v>
      </c>
      <c r="AB228" s="1296">
        <f t="shared" si="205"/>
        <v>0.5279017857142857</v>
      </c>
      <c r="AC228" s="1299">
        <f t="shared" si="206"/>
        <v>0.5279017857142857</v>
      </c>
      <c r="AD228" s="216"/>
      <c r="AE228" s="221">
        <f>+'Plan de Accion apoyo transversa'!BX29</f>
        <v>0</v>
      </c>
      <c r="AF228" s="1290">
        <f>AVERAGE('Plan de Accion apoyo transversa'!CK29:CK30)</f>
        <v>0</v>
      </c>
      <c r="AG228" s="1290">
        <f t="shared" si="207"/>
        <v>0</v>
      </c>
      <c r="AH228" s="1290">
        <f>AVERAGE('Plan de Accion apoyo transversa'!CB29:CB30)</f>
        <v>0.5558035714285714</v>
      </c>
      <c r="AI228" s="1293">
        <f t="shared" si="208"/>
        <v>0.5558035714285714</v>
      </c>
      <c r="AJ228" s="335"/>
      <c r="AL228" s="333"/>
      <c r="AM228" s="333"/>
      <c r="AN228" s="207"/>
      <c r="AO228" s="336"/>
      <c r="AP228" s="333"/>
      <c r="AQ228" s="207"/>
      <c r="AR228" s="333"/>
      <c r="AS228" s="333"/>
      <c r="AT228" s="207"/>
      <c r="AU228" s="333"/>
      <c r="AV228" s="333"/>
      <c r="AW228" s="205"/>
      <c r="AX228" s="334"/>
      <c r="AZ228" s="333"/>
      <c r="BA228" s="333"/>
      <c r="BB228" s="207"/>
      <c r="BC228" s="336"/>
      <c r="BD228" s="333"/>
      <c r="BE228" s="207"/>
      <c r="BF228" s="333"/>
      <c r="BG228" s="333"/>
      <c r="BH228" s="207"/>
      <c r="BI228" s="333"/>
      <c r="BJ228" s="333"/>
      <c r="BK228" s="205"/>
      <c r="BL228" s="334"/>
      <c r="BN228" s="333"/>
      <c r="BO228" s="333"/>
      <c r="BP228" s="207"/>
      <c r="BQ228" s="336"/>
      <c r="BR228" s="333"/>
      <c r="BS228" s="207"/>
      <c r="BT228" s="333"/>
      <c r="BU228" s="333"/>
      <c r="BV228" s="207"/>
      <c r="BW228" s="333"/>
      <c r="BX228" s="333"/>
      <c r="BY228" s="205"/>
      <c r="BZ228" s="334"/>
      <c r="CB228" s="333"/>
      <c r="CC228" s="333"/>
      <c r="CD228" s="207"/>
      <c r="CE228" s="336"/>
      <c r="CF228" s="333"/>
      <c r="CG228" s="207"/>
      <c r="CH228" s="333"/>
      <c r="CI228" s="333"/>
      <c r="CJ228" s="207"/>
      <c r="CK228" s="333"/>
      <c r="CL228" s="333"/>
      <c r="CM228" s="205"/>
      <c r="CN228" s="334"/>
    </row>
    <row r="229" spans="2:92" ht="42.75" x14ac:dyDescent="0.2">
      <c r="B229" s="1455"/>
      <c r="C229" s="1314"/>
      <c r="D229" s="1352"/>
      <c r="E229" s="1320"/>
      <c r="F229" s="1317"/>
      <c r="G229" s="1321"/>
      <c r="H229" s="218" t="str">
        <f>+'Plan de Accion apoyo transversa'!AK30</f>
        <v>#informes entregados / #Informes pedidos sobre denuncias</v>
      </c>
      <c r="J229" s="221">
        <f>+'Plan de Accion apoyo transversa'!AT30</f>
        <v>0</v>
      </c>
      <c r="K229" s="1292"/>
      <c r="L229" s="1292"/>
      <c r="M229" s="1292"/>
      <c r="N229" s="1292"/>
      <c r="O229" s="1295"/>
      <c r="P229" s="216"/>
      <c r="Q229" s="221">
        <f>+'Plan de Accion apoyo transversa'!BD30</f>
        <v>0.25</v>
      </c>
      <c r="R229" s="1292"/>
      <c r="S229" s="1292"/>
      <c r="T229" s="1292"/>
      <c r="U229" s="1292"/>
      <c r="V229" s="1295"/>
      <c r="W229" s="216"/>
      <c r="X229" s="221">
        <f>+'Plan de Accion apoyo transversa'!BN30</f>
        <v>0.25</v>
      </c>
      <c r="Y229" s="1292"/>
      <c r="Z229" s="1292"/>
      <c r="AA229" s="1298"/>
      <c r="AB229" s="1298"/>
      <c r="AC229" s="1301"/>
      <c r="AD229" s="216"/>
      <c r="AE229" s="221">
        <f>+'Plan de Accion apoyo transversa'!BX30</f>
        <v>0</v>
      </c>
      <c r="AF229" s="1292"/>
      <c r="AG229" s="1292"/>
      <c r="AH229" s="1292"/>
      <c r="AI229" s="1295"/>
      <c r="AJ229" s="335"/>
      <c r="AL229" s="333"/>
      <c r="AM229" s="333"/>
      <c r="AN229" s="207"/>
      <c r="AO229" s="336"/>
      <c r="AP229" s="333"/>
      <c r="AQ229" s="207"/>
      <c r="AR229" s="333"/>
      <c r="AS229" s="333"/>
      <c r="AT229" s="207"/>
      <c r="AU229" s="333"/>
      <c r="AV229" s="333"/>
      <c r="AW229" s="205"/>
      <c r="AX229" s="334"/>
      <c r="AZ229" s="333"/>
      <c r="BA229" s="333"/>
      <c r="BB229" s="207"/>
      <c r="BC229" s="336"/>
      <c r="BD229" s="333"/>
      <c r="BE229" s="207"/>
      <c r="BF229" s="333"/>
      <c r="BG229" s="333"/>
      <c r="BH229" s="207"/>
      <c r="BI229" s="333"/>
      <c r="BJ229" s="333"/>
      <c r="BK229" s="205"/>
      <c r="BL229" s="334"/>
      <c r="BN229" s="333"/>
      <c r="BO229" s="333"/>
      <c r="BP229" s="207"/>
      <c r="BQ229" s="336"/>
      <c r="BR229" s="333"/>
      <c r="BS229" s="207"/>
      <c r="BT229" s="333"/>
      <c r="BU229" s="333"/>
      <c r="BV229" s="207"/>
      <c r="BW229" s="333"/>
      <c r="BX229" s="333"/>
      <c r="BY229" s="205"/>
      <c r="BZ229" s="334"/>
      <c r="CB229" s="333"/>
      <c r="CC229" s="333"/>
      <c r="CD229" s="207"/>
      <c r="CE229" s="336"/>
      <c r="CF229" s="333"/>
      <c r="CG229" s="207"/>
      <c r="CH229" s="333"/>
      <c r="CI229" s="333"/>
      <c r="CJ229" s="207"/>
      <c r="CK229" s="333"/>
      <c r="CL229" s="333"/>
      <c r="CM229" s="205"/>
      <c r="CN229" s="334"/>
    </row>
    <row r="230" spans="2:92" ht="42.75" x14ac:dyDescent="0.2">
      <c r="B230" s="1455"/>
      <c r="C230" s="1314"/>
      <c r="D230" s="1352"/>
      <c r="E230" s="1320"/>
      <c r="F230" s="1317"/>
      <c r="G230" s="329" t="str">
        <f>+'Plan de Accion apoyo transversa'!X33</f>
        <v xml:space="preserve">Fichas técnicas  </v>
      </c>
      <c r="H230" s="218" t="str">
        <f>+'Plan de Accion apoyo transversa'!AK33</f>
        <v># Fichas técnicas  / # Audiencias a la conciliación notificadas a la entidad</v>
      </c>
      <c r="J230" s="221">
        <f>+'Plan de Accion apoyo transversa'!AT33</f>
        <v>0.10372340425531915</v>
      </c>
      <c r="K230" s="483">
        <f>+'Plan de Accion apoyo transversa'!CE33</f>
        <v>0.41489361702127658</v>
      </c>
      <c r="L230" s="483">
        <f t="shared" si="217"/>
        <v>0.41489361702127658</v>
      </c>
      <c r="M230" s="483">
        <f>+'Plan de Accion apoyo transversa'!AX33</f>
        <v>0.10372340425531915</v>
      </c>
      <c r="N230" s="483">
        <f t="shared" si="218"/>
        <v>0.10372340425531915</v>
      </c>
      <c r="O230" s="485">
        <f t="shared" si="219"/>
        <v>0.10372340425531915</v>
      </c>
      <c r="P230" s="216"/>
      <c r="Q230" s="221">
        <f>+'Plan de Accion apoyo transversa'!BD33</f>
        <v>0.11290322580645161</v>
      </c>
      <c r="R230" s="253">
        <f>+'Plan de Accion apoyo transversa'!CG33</f>
        <v>0.45161290322580644</v>
      </c>
      <c r="S230" s="215">
        <f t="shared" si="201"/>
        <v>0.45161290322580644</v>
      </c>
      <c r="T230" s="332">
        <f>+'Plan de Accion apoyo transversa'!BH33</f>
        <v>0.21662663006177074</v>
      </c>
      <c r="U230" s="332">
        <f t="shared" si="202"/>
        <v>0.21662663006177074</v>
      </c>
      <c r="V230" s="214">
        <f t="shared" si="203"/>
        <v>0.21662663006177074</v>
      </c>
      <c r="W230" s="216"/>
      <c r="X230" s="221">
        <f>+'Plan de Accion apoyo transversa'!BN33</f>
        <v>0.25</v>
      </c>
      <c r="Y230" s="253">
        <f>+'Plan de Accion apoyo transversa'!CI33</f>
        <v>1</v>
      </c>
      <c r="Z230" s="215">
        <f t="shared" si="204"/>
        <v>1</v>
      </c>
      <c r="AA230" s="220">
        <f>+'Plan de Accion apoyo transversa'!BR33</f>
        <v>0.46662663006177074</v>
      </c>
      <c r="AB230" s="220">
        <f t="shared" si="205"/>
        <v>0.46662663006177074</v>
      </c>
      <c r="AC230" s="219">
        <f t="shared" si="206"/>
        <v>0.46662663006177074</v>
      </c>
      <c r="AD230" s="216"/>
      <c r="AE230" s="221">
        <f>+'Plan de Accion apoyo transversa'!BX33</f>
        <v>0</v>
      </c>
      <c r="AF230" s="253">
        <f>+'Plan de Accion apoyo transversa'!CK33</f>
        <v>0</v>
      </c>
      <c r="AG230" s="215">
        <f t="shared" si="207"/>
        <v>0</v>
      </c>
      <c r="AH230" s="253">
        <f>+'Plan de Accion apoyo transversa'!CB33</f>
        <v>0.46662663006177074</v>
      </c>
      <c r="AI230" s="214">
        <f t="shared" si="208"/>
        <v>0.46662663006177074</v>
      </c>
      <c r="AJ230" s="335"/>
      <c r="AL230" s="333"/>
      <c r="AM230" s="333"/>
      <c r="AN230" s="207"/>
      <c r="AO230" s="336"/>
      <c r="AP230" s="333"/>
      <c r="AQ230" s="207"/>
      <c r="AR230" s="333"/>
      <c r="AS230" s="333"/>
      <c r="AT230" s="207"/>
      <c r="AU230" s="333"/>
      <c r="AV230" s="333"/>
      <c r="AW230" s="205"/>
      <c r="AX230" s="334"/>
      <c r="AZ230" s="333"/>
      <c r="BA230" s="333"/>
      <c r="BB230" s="207"/>
      <c r="BC230" s="336"/>
      <c r="BD230" s="333"/>
      <c r="BE230" s="207"/>
      <c r="BF230" s="333"/>
      <c r="BG230" s="333"/>
      <c r="BH230" s="207"/>
      <c r="BI230" s="333"/>
      <c r="BJ230" s="333"/>
      <c r="BK230" s="205"/>
      <c r="BL230" s="334"/>
      <c r="BN230" s="333"/>
      <c r="BO230" s="333"/>
      <c r="BP230" s="207"/>
      <c r="BQ230" s="336"/>
      <c r="BR230" s="333"/>
      <c r="BS230" s="207"/>
      <c r="BT230" s="333"/>
      <c r="BU230" s="333"/>
      <c r="BV230" s="207"/>
      <c r="BW230" s="333"/>
      <c r="BX230" s="333"/>
      <c r="BY230" s="205"/>
      <c r="BZ230" s="334"/>
      <c r="CB230" s="333"/>
      <c r="CC230" s="333"/>
      <c r="CD230" s="207"/>
      <c r="CE230" s="336"/>
      <c r="CF230" s="333"/>
      <c r="CG230" s="207"/>
      <c r="CH230" s="333"/>
      <c r="CI230" s="333"/>
      <c r="CJ230" s="207"/>
      <c r="CK230" s="333"/>
      <c r="CL230" s="333"/>
      <c r="CM230" s="205"/>
      <c r="CN230" s="334"/>
    </row>
    <row r="231" spans="2:92" ht="42.75" x14ac:dyDescent="0.2">
      <c r="B231" s="1455"/>
      <c r="C231" s="1314"/>
      <c r="D231" s="1352"/>
      <c r="E231" s="1320"/>
      <c r="F231" s="1317"/>
      <c r="G231" s="329" t="str">
        <f>+'Plan de Accion apoyo transversa'!X34</f>
        <v xml:space="preserve">Fichas técnicas demandas </v>
      </c>
      <c r="H231" s="218" t="str">
        <f>+'Plan de Accion apoyo transversa'!AK34</f>
        <v># Fichas técnicas demandas próximas a audiencia inicial / # audiencias iniciales</v>
      </c>
      <c r="J231" s="221">
        <f>+'Plan de Accion apoyo transversa'!AT34</f>
        <v>0.24786324786324787</v>
      </c>
      <c r="K231" s="483">
        <f>+'Plan de Accion apoyo transversa'!CE34</f>
        <v>0.99145299145299148</v>
      </c>
      <c r="L231" s="483">
        <f t="shared" si="217"/>
        <v>0.99145299145299148</v>
      </c>
      <c r="M231" s="483">
        <f>+'Plan de Accion apoyo transversa'!AX34</f>
        <v>0.24786324786324787</v>
      </c>
      <c r="N231" s="483">
        <f t="shared" si="218"/>
        <v>0.24786324786324787</v>
      </c>
      <c r="O231" s="485">
        <f t="shared" si="219"/>
        <v>0.24786324786324787</v>
      </c>
      <c r="P231" s="216"/>
      <c r="Q231" s="221">
        <f>+'Plan de Accion apoyo transversa'!BD34</f>
        <v>0.25</v>
      </c>
      <c r="R231" s="253">
        <f>+'Plan de Accion apoyo transversa'!CG34</f>
        <v>1</v>
      </c>
      <c r="S231" s="215">
        <f t="shared" si="201"/>
        <v>1</v>
      </c>
      <c r="T231" s="332">
        <f>+'Plan de Accion apoyo transversa'!BH34</f>
        <v>0.49786324786324787</v>
      </c>
      <c r="U231" s="332">
        <f t="shared" si="202"/>
        <v>0.49786324786324787</v>
      </c>
      <c r="V231" s="214">
        <f t="shared" si="203"/>
        <v>0.49786324786324787</v>
      </c>
      <c r="W231" s="216"/>
      <c r="X231" s="221">
        <f>+'Plan de Accion apoyo transversa'!BN34</f>
        <v>0.25</v>
      </c>
      <c r="Y231" s="253">
        <f>+'Plan de Accion apoyo transversa'!CI34</f>
        <v>1</v>
      </c>
      <c r="Z231" s="215">
        <f t="shared" si="204"/>
        <v>1</v>
      </c>
      <c r="AA231" s="220">
        <f>+'Plan de Accion apoyo transversa'!BR34</f>
        <v>0.74786324786324787</v>
      </c>
      <c r="AB231" s="220">
        <f t="shared" si="205"/>
        <v>0.74786324786324787</v>
      </c>
      <c r="AC231" s="219">
        <f t="shared" si="206"/>
        <v>0.74786324786324787</v>
      </c>
      <c r="AD231" s="216"/>
      <c r="AE231" s="221">
        <f>+'Plan de Accion apoyo transversa'!BX34</f>
        <v>0</v>
      </c>
      <c r="AF231" s="253">
        <f>+'Plan de Accion apoyo transversa'!CK34</f>
        <v>0</v>
      </c>
      <c r="AG231" s="215">
        <f t="shared" si="207"/>
        <v>0</v>
      </c>
      <c r="AH231" s="253">
        <f>+'Plan de Accion apoyo transversa'!CB34</f>
        <v>0.74786324786324787</v>
      </c>
      <c r="AI231" s="214">
        <f t="shared" si="208"/>
        <v>0.74786324786324787</v>
      </c>
      <c r="AJ231" s="335"/>
      <c r="AL231" s="333"/>
      <c r="AM231" s="333"/>
      <c r="AN231" s="207"/>
      <c r="AO231" s="336"/>
      <c r="AP231" s="333"/>
      <c r="AQ231" s="207"/>
      <c r="AR231" s="333"/>
      <c r="AS231" s="333"/>
      <c r="AT231" s="207"/>
      <c r="AU231" s="333"/>
      <c r="AV231" s="333"/>
      <c r="AW231" s="205"/>
      <c r="AX231" s="334"/>
      <c r="AZ231" s="333"/>
      <c r="BA231" s="333"/>
      <c r="BB231" s="207"/>
      <c r="BC231" s="336"/>
      <c r="BD231" s="333"/>
      <c r="BE231" s="207"/>
      <c r="BF231" s="333"/>
      <c r="BG231" s="333"/>
      <c r="BH231" s="207"/>
      <c r="BI231" s="333"/>
      <c r="BJ231" s="333"/>
      <c r="BK231" s="205"/>
      <c r="BL231" s="334"/>
      <c r="BN231" s="333"/>
      <c r="BO231" s="333"/>
      <c r="BP231" s="207"/>
      <c r="BQ231" s="336"/>
      <c r="BR231" s="333"/>
      <c r="BS231" s="207"/>
      <c r="BT231" s="333"/>
      <c r="BU231" s="333"/>
      <c r="BV231" s="207"/>
      <c r="BW231" s="333"/>
      <c r="BX231" s="333"/>
      <c r="BY231" s="205"/>
      <c r="BZ231" s="334"/>
      <c r="CB231" s="333"/>
      <c r="CC231" s="333"/>
      <c r="CD231" s="207"/>
      <c r="CE231" s="336"/>
      <c r="CF231" s="333"/>
      <c r="CG231" s="207"/>
      <c r="CH231" s="333"/>
      <c r="CI231" s="333"/>
      <c r="CJ231" s="207"/>
      <c r="CK231" s="333"/>
      <c r="CL231" s="333"/>
      <c r="CM231" s="205"/>
      <c r="CN231" s="334"/>
    </row>
    <row r="232" spans="2:92" ht="42.75" x14ac:dyDescent="0.2">
      <c r="B232" s="1455"/>
      <c r="C232" s="1314"/>
      <c r="D232" s="1352"/>
      <c r="E232" s="1320"/>
      <c r="F232" s="1317"/>
      <c r="G232" s="672" t="str">
        <f>+'Plan de Accion apoyo transversa'!X37</f>
        <v>Actas del Comité de Conciliación debidamente firmadas</v>
      </c>
      <c r="H232" s="218" t="str">
        <f>+'Plan de Accion apoyo transversa'!AK37</f>
        <v># Actas debidamente firmadas / # sesiones del Comité de Conciliación</v>
      </c>
      <c r="J232" s="663">
        <f>+'Plan de Accion apoyo transversa'!AT37</f>
        <v>0.05</v>
      </c>
      <c r="K232" s="659">
        <f>+'Plan de Accion apoyo transversa'!CE37</f>
        <v>0.2</v>
      </c>
      <c r="L232" s="659">
        <f t="shared" ref="L232" si="220">IF(K232&gt;100%,100%,K232)</f>
        <v>0.2</v>
      </c>
      <c r="M232" s="659">
        <f>+'Plan de Accion apoyo transversa'!AX37</f>
        <v>0.2</v>
      </c>
      <c r="N232" s="659">
        <f t="shared" ref="N232" si="221">IF(M232&gt;100%,100%,M232)</f>
        <v>0.2</v>
      </c>
      <c r="O232" s="660">
        <f t="shared" ref="O232" si="222">+N232</f>
        <v>0.2</v>
      </c>
      <c r="P232" s="216"/>
      <c r="Q232" s="221">
        <f>+'Plan de Accion apoyo transversa'!BD37</f>
        <v>0</v>
      </c>
      <c r="R232" s="253" t="s">
        <v>180</v>
      </c>
      <c r="S232" s="215" t="s">
        <v>204</v>
      </c>
      <c r="T232" s="659">
        <f>+'Plan de Accion apoyo transversa'!BH37</f>
        <v>0.2</v>
      </c>
      <c r="U232" s="659">
        <f t="shared" ref="U232" si="223">IF(T232&gt;100%,100%,T232)</f>
        <v>0.2</v>
      </c>
      <c r="V232" s="214">
        <f t="shared" ref="V232" si="224">+U232</f>
        <v>0.2</v>
      </c>
      <c r="W232" s="216"/>
      <c r="X232" s="221">
        <f>+'Plan de Accion apoyo transversa'!BN37</f>
        <v>0</v>
      </c>
      <c r="Y232" s="253" t="s">
        <v>180</v>
      </c>
      <c r="Z232" s="215" t="s">
        <v>204</v>
      </c>
      <c r="AA232" s="220">
        <f>+'Plan de Accion apoyo transversa'!BR37</f>
        <v>0.2</v>
      </c>
      <c r="AB232" s="220">
        <f t="shared" ref="AB232" si="225">IF(AA232&gt;100%,100%,AA232)</f>
        <v>0.2</v>
      </c>
      <c r="AC232" s="219">
        <f t="shared" ref="AC232" si="226">+AB232</f>
        <v>0.2</v>
      </c>
      <c r="AD232" s="216"/>
      <c r="AE232" s="221">
        <f>+'Plan de Accion apoyo transversa'!BX37</f>
        <v>0</v>
      </c>
      <c r="AF232" s="253" t="s">
        <v>180</v>
      </c>
      <c r="AG232" s="215" t="s">
        <v>204</v>
      </c>
      <c r="AH232" s="253">
        <f>+'Plan de Accion apoyo transversa'!CB37</f>
        <v>0.2</v>
      </c>
      <c r="AI232" s="214">
        <f t="shared" ref="AI232" si="227">IF(AH232&gt;100%,100%,AH232)</f>
        <v>0.2</v>
      </c>
      <c r="AJ232" s="664"/>
      <c r="AL232" s="665"/>
      <c r="AM232" s="665"/>
      <c r="AN232" s="207"/>
      <c r="AO232" s="666"/>
      <c r="AP232" s="665"/>
      <c r="AQ232" s="207"/>
      <c r="AR232" s="665"/>
      <c r="AS232" s="665"/>
      <c r="AT232" s="207"/>
      <c r="AU232" s="665"/>
      <c r="AV232" s="665"/>
      <c r="AW232" s="205"/>
      <c r="AX232" s="669"/>
      <c r="AZ232" s="665"/>
      <c r="BA232" s="665"/>
      <c r="BB232" s="207"/>
      <c r="BC232" s="666"/>
      <c r="BD232" s="665"/>
      <c r="BE232" s="207"/>
      <c r="BF232" s="665"/>
      <c r="BG232" s="665"/>
      <c r="BH232" s="207"/>
      <c r="BI232" s="665"/>
      <c r="BJ232" s="665"/>
      <c r="BK232" s="205"/>
      <c r="BL232" s="669"/>
      <c r="BN232" s="665"/>
      <c r="BO232" s="665"/>
      <c r="BP232" s="207"/>
      <c r="BQ232" s="666"/>
      <c r="BR232" s="665"/>
      <c r="BS232" s="207"/>
      <c r="BT232" s="665"/>
      <c r="BU232" s="665"/>
      <c r="BV232" s="207"/>
      <c r="BW232" s="665"/>
      <c r="BX232" s="665"/>
      <c r="BY232" s="205"/>
      <c r="BZ232" s="669"/>
      <c r="CB232" s="665"/>
      <c r="CC232" s="665"/>
      <c r="CD232" s="207"/>
      <c r="CE232" s="666"/>
      <c r="CF232" s="665"/>
      <c r="CG232" s="207"/>
      <c r="CH232" s="665"/>
      <c r="CI232" s="665"/>
      <c r="CJ232" s="207"/>
      <c r="CK232" s="665"/>
      <c r="CL232" s="665"/>
      <c r="CM232" s="205"/>
      <c r="CN232" s="669"/>
    </row>
    <row r="233" spans="2:92" ht="42.75" customHeight="1" x14ac:dyDescent="0.2">
      <c r="B233" s="1455"/>
      <c r="C233" s="1314"/>
      <c r="D233" s="1352"/>
      <c r="E233" s="1320"/>
      <c r="F233" s="1317"/>
      <c r="G233" s="329" t="str">
        <f>+'Plan de Accion apoyo transversa'!X38</f>
        <v>Actas del Comité de Conciliación debidamente firmadas</v>
      </c>
      <c r="H233" s="218" t="str">
        <f>+'Plan de Accion apoyo transversa'!AK38</f>
        <v>#actas proyectadas durante el trimestre/#Sesiones llevadas a cabo en el trimestre</v>
      </c>
      <c r="J233" s="221" t="str">
        <f>+'Plan de Accion apoyo transversa'!AT38</f>
        <v>N.A</v>
      </c>
      <c r="K233" s="659" t="s">
        <v>180</v>
      </c>
      <c r="L233" s="483" t="s">
        <v>204</v>
      </c>
      <c r="M233" s="483" t="s">
        <v>204</v>
      </c>
      <c r="N233" s="483" t="s">
        <v>204</v>
      </c>
      <c r="O233" s="485" t="s">
        <v>204</v>
      </c>
      <c r="P233" s="216"/>
      <c r="Q233" s="221">
        <f>+'Plan de Accion apoyo transversa'!BD38</f>
        <v>0.25</v>
      </c>
      <c r="R233" s="253">
        <f>+'Plan de Accion apoyo transversa'!CG38</f>
        <v>1</v>
      </c>
      <c r="S233" s="215">
        <f t="shared" si="201"/>
        <v>1</v>
      </c>
      <c r="T233" s="332">
        <f>+'Plan de Accion apoyo transversa'!BH38</f>
        <v>0.33333333333333331</v>
      </c>
      <c r="U233" s="332">
        <f t="shared" si="202"/>
        <v>0.33333333333333331</v>
      </c>
      <c r="V233" s="214">
        <f t="shared" si="203"/>
        <v>0.33333333333333331</v>
      </c>
      <c r="W233" s="216"/>
      <c r="X233" s="221">
        <f>+'Plan de Accion apoyo transversa'!BN38</f>
        <v>0.1111111111111111</v>
      </c>
      <c r="Y233" s="253">
        <f>+'Plan de Accion apoyo transversa'!CI38</f>
        <v>0.44444444444444442</v>
      </c>
      <c r="Z233" s="215">
        <f t="shared" si="204"/>
        <v>0.44444444444444442</v>
      </c>
      <c r="AA233" s="220">
        <f>+'Plan de Accion apoyo transversa'!BR38</f>
        <v>0.48148148148148145</v>
      </c>
      <c r="AB233" s="220">
        <f t="shared" si="205"/>
        <v>0.48148148148148145</v>
      </c>
      <c r="AC233" s="219">
        <f t="shared" si="206"/>
        <v>0.48148148148148145</v>
      </c>
      <c r="AD233" s="216"/>
      <c r="AE233" s="221">
        <f>+'Plan de Accion apoyo transversa'!BX38</f>
        <v>0</v>
      </c>
      <c r="AF233" s="253">
        <f>+'Plan de Accion apoyo transversa'!CK38</f>
        <v>0</v>
      </c>
      <c r="AG233" s="215">
        <f t="shared" si="207"/>
        <v>0</v>
      </c>
      <c r="AH233" s="253">
        <f>+'Plan de Accion apoyo transversa'!CB38</f>
        <v>0.48148148148148145</v>
      </c>
      <c r="AI233" s="214">
        <f t="shared" si="208"/>
        <v>0.48148148148148145</v>
      </c>
      <c r="AJ233" s="335"/>
      <c r="AL233" s="333"/>
      <c r="AM233" s="333"/>
      <c r="AN233" s="207"/>
      <c r="AO233" s="336"/>
      <c r="AP233" s="333"/>
      <c r="AQ233" s="207"/>
      <c r="AR233" s="333"/>
      <c r="AS233" s="333"/>
      <c r="AT233" s="207"/>
      <c r="AU233" s="333"/>
      <c r="AV233" s="333"/>
      <c r="AW233" s="205"/>
      <c r="AX233" s="334"/>
      <c r="AZ233" s="333"/>
      <c r="BA233" s="333"/>
      <c r="BB233" s="207"/>
      <c r="BC233" s="336"/>
      <c r="BD233" s="333"/>
      <c r="BE233" s="207"/>
      <c r="BF233" s="333"/>
      <c r="BG233" s="333"/>
      <c r="BH233" s="207"/>
      <c r="BI233" s="333"/>
      <c r="BJ233" s="333"/>
      <c r="BK233" s="205"/>
      <c r="BL233" s="334"/>
      <c r="BN233" s="333"/>
      <c r="BO233" s="333"/>
      <c r="BP233" s="207"/>
      <c r="BQ233" s="336"/>
      <c r="BR233" s="333"/>
      <c r="BS233" s="207"/>
      <c r="BT233" s="333"/>
      <c r="BU233" s="333"/>
      <c r="BV233" s="207"/>
      <c r="BW233" s="333"/>
      <c r="BX233" s="333"/>
      <c r="BY233" s="205"/>
      <c r="BZ233" s="334"/>
      <c r="CB233" s="333"/>
      <c r="CC233" s="333"/>
      <c r="CD233" s="207"/>
      <c r="CE233" s="336"/>
      <c r="CF233" s="333"/>
      <c r="CG233" s="207"/>
      <c r="CH233" s="333"/>
      <c r="CI233" s="333"/>
      <c r="CJ233" s="207"/>
      <c r="CK233" s="333"/>
      <c r="CL233" s="333"/>
      <c r="CM233" s="205"/>
      <c r="CN233" s="334"/>
    </row>
    <row r="234" spans="2:92" ht="42.75" x14ac:dyDescent="0.2">
      <c r="B234" s="1455"/>
      <c r="C234" s="1314"/>
      <c r="D234" s="1352"/>
      <c r="E234" s="1320"/>
      <c r="F234" s="1317"/>
      <c r="G234" s="329" t="str">
        <f>+'Plan de Accion apoyo transversa'!X39</f>
        <v xml:space="preserve">Reparto </v>
      </c>
      <c r="H234" s="218" t="str">
        <f>+'Plan de Accion apoyo transversa'!AK39</f>
        <v># asignaciones realizadas / # de radicados de correspondencia</v>
      </c>
      <c r="J234" s="221">
        <f>+'Plan de Accion apoyo transversa'!AT39</f>
        <v>0.25</v>
      </c>
      <c r="K234" s="483">
        <f>+'Plan de Accion apoyo transversa'!CE39</f>
        <v>1</v>
      </c>
      <c r="L234" s="483">
        <f t="shared" si="217"/>
        <v>1</v>
      </c>
      <c r="M234" s="483">
        <f>+'Plan de Accion apoyo transversa'!AX39</f>
        <v>0.25</v>
      </c>
      <c r="N234" s="483">
        <f t="shared" si="218"/>
        <v>0.25</v>
      </c>
      <c r="O234" s="485">
        <f t="shared" si="219"/>
        <v>0.25</v>
      </c>
      <c r="P234" s="216"/>
      <c r="Q234" s="221">
        <f>+'Plan de Accion apoyo transversa'!BD39</f>
        <v>0.25</v>
      </c>
      <c r="R234" s="253">
        <f>+'Plan de Accion apoyo transversa'!CG39</f>
        <v>1</v>
      </c>
      <c r="S234" s="215">
        <f t="shared" si="201"/>
        <v>1</v>
      </c>
      <c r="T234" s="332">
        <f>+'Plan de Accion apoyo transversa'!BH39</f>
        <v>0.5</v>
      </c>
      <c r="U234" s="332">
        <f t="shared" si="202"/>
        <v>0.5</v>
      </c>
      <c r="V234" s="214">
        <f t="shared" si="203"/>
        <v>0.5</v>
      </c>
      <c r="W234" s="216"/>
      <c r="X234" s="221">
        <f>+'Plan de Accion apoyo transversa'!BN39</f>
        <v>0.25</v>
      </c>
      <c r="Y234" s="253">
        <f>+'Plan de Accion apoyo transversa'!CI39</f>
        <v>1</v>
      </c>
      <c r="Z234" s="215">
        <f t="shared" si="204"/>
        <v>1</v>
      </c>
      <c r="AA234" s="220">
        <f>+'Plan de Accion apoyo transversa'!BR39</f>
        <v>0.75</v>
      </c>
      <c r="AB234" s="220">
        <f t="shared" si="205"/>
        <v>0.75</v>
      </c>
      <c r="AC234" s="219">
        <f t="shared" si="206"/>
        <v>0.75</v>
      </c>
      <c r="AD234" s="216"/>
      <c r="AE234" s="221">
        <f>+'Plan de Accion apoyo transversa'!BX39</f>
        <v>0</v>
      </c>
      <c r="AF234" s="253">
        <f>+'Plan de Accion apoyo transversa'!CK39</f>
        <v>0</v>
      </c>
      <c r="AG234" s="215">
        <f t="shared" si="207"/>
        <v>0</v>
      </c>
      <c r="AH234" s="253">
        <f>+'Plan de Accion apoyo transversa'!CB39</f>
        <v>0.75</v>
      </c>
      <c r="AI234" s="214">
        <f t="shared" si="208"/>
        <v>0.75</v>
      </c>
      <c r="AJ234" s="335"/>
      <c r="AL234" s="333"/>
      <c r="AM234" s="333"/>
      <c r="AN234" s="207"/>
      <c r="AO234" s="336"/>
      <c r="AP234" s="333"/>
      <c r="AQ234" s="207"/>
      <c r="AR234" s="333"/>
      <c r="AS234" s="333"/>
      <c r="AT234" s="207"/>
      <c r="AU234" s="333"/>
      <c r="AV234" s="333"/>
      <c r="AW234" s="205"/>
      <c r="AX234" s="334"/>
      <c r="AZ234" s="333"/>
      <c r="BA234" s="333"/>
      <c r="BB234" s="207"/>
      <c r="BC234" s="336"/>
      <c r="BD234" s="333"/>
      <c r="BE234" s="207"/>
      <c r="BF234" s="333"/>
      <c r="BG234" s="333"/>
      <c r="BH234" s="207"/>
      <c r="BI234" s="333"/>
      <c r="BJ234" s="333"/>
      <c r="BK234" s="205"/>
      <c r="BL234" s="334"/>
      <c r="BN234" s="333"/>
      <c r="BO234" s="333"/>
      <c r="BP234" s="207"/>
      <c r="BQ234" s="336"/>
      <c r="BR234" s="333"/>
      <c r="BS234" s="207"/>
      <c r="BT234" s="333"/>
      <c r="BU234" s="333"/>
      <c r="BV234" s="207"/>
      <c r="BW234" s="333"/>
      <c r="BX234" s="333"/>
      <c r="BY234" s="205"/>
      <c r="BZ234" s="334"/>
      <c r="CB234" s="333"/>
      <c r="CC234" s="333"/>
      <c r="CD234" s="207"/>
      <c r="CE234" s="336"/>
      <c r="CF234" s="333"/>
      <c r="CG234" s="207"/>
      <c r="CH234" s="333"/>
      <c r="CI234" s="333"/>
      <c r="CJ234" s="207"/>
      <c r="CK234" s="333"/>
      <c r="CL234" s="333"/>
      <c r="CM234" s="205"/>
      <c r="CN234" s="334"/>
    </row>
    <row r="235" spans="2:92" ht="42.75" x14ac:dyDescent="0.2">
      <c r="B235" s="1455"/>
      <c r="C235" s="1329"/>
      <c r="D235" s="1353"/>
      <c r="E235" s="1321"/>
      <c r="F235" s="1318"/>
      <c r="G235" s="329" t="str">
        <f>+'Plan de Accion apoyo transversa'!X40</f>
        <v>Poderes</v>
      </c>
      <c r="H235" s="218" t="str">
        <f>+'Plan de Accion apoyo transversa'!AK40</f>
        <v># Poderes elaborados / # demandas asignadas a los apoderados</v>
      </c>
      <c r="J235" s="221">
        <f>+'Plan de Accion apoyo transversa'!AT40</f>
        <v>0.25</v>
      </c>
      <c r="K235" s="483">
        <f>+'Plan de Accion apoyo transversa'!CE40</f>
        <v>1</v>
      </c>
      <c r="L235" s="483">
        <f t="shared" si="217"/>
        <v>1</v>
      </c>
      <c r="M235" s="483">
        <f>+'Plan de Accion apoyo transversa'!AX40</f>
        <v>0.25</v>
      </c>
      <c r="N235" s="483">
        <f t="shared" si="218"/>
        <v>0.25</v>
      </c>
      <c r="O235" s="485">
        <f t="shared" si="219"/>
        <v>0.25</v>
      </c>
      <c r="P235" s="216"/>
      <c r="Q235" s="221">
        <f>+'Plan de Accion apoyo transversa'!BD40</f>
        <v>0.25</v>
      </c>
      <c r="R235" s="253">
        <f>+'Plan de Accion apoyo transversa'!CG40</f>
        <v>1</v>
      </c>
      <c r="S235" s="215">
        <f t="shared" si="201"/>
        <v>1</v>
      </c>
      <c r="T235" s="332">
        <f>+'Plan de Accion apoyo transversa'!BH40</f>
        <v>0.5</v>
      </c>
      <c r="U235" s="332">
        <f t="shared" si="202"/>
        <v>0.5</v>
      </c>
      <c r="V235" s="214">
        <f t="shared" si="203"/>
        <v>0.5</v>
      </c>
      <c r="W235" s="216"/>
      <c r="X235" s="221">
        <f>+'Plan de Accion apoyo transversa'!BN40</f>
        <v>0.25</v>
      </c>
      <c r="Y235" s="253">
        <f>+'Plan de Accion apoyo transversa'!CI40</f>
        <v>1</v>
      </c>
      <c r="Z235" s="215">
        <f t="shared" si="204"/>
        <v>1</v>
      </c>
      <c r="AA235" s="220">
        <f>+'Plan de Accion apoyo transversa'!BR40</f>
        <v>0.75</v>
      </c>
      <c r="AB235" s="220">
        <f t="shared" si="205"/>
        <v>0.75</v>
      </c>
      <c r="AC235" s="219">
        <f t="shared" si="206"/>
        <v>0.75</v>
      </c>
      <c r="AD235" s="216"/>
      <c r="AE235" s="221">
        <f>+'Plan de Accion apoyo transversa'!BX40</f>
        <v>0</v>
      </c>
      <c r="AF235" s="253">
        <f>+'Plan de Accion apoyo transversa'!CK40</f>
        <v>0</v>
      </c>
      <c r="AG235" s="215">
        <f t="shared" si="207"/>
        <v>0</v>
      </c>
      <c r="AH235" s="253">
        <f>+'Plan de Accion apoyo transversa'!CB40</f>
        <v>0.75</v>
      </c>
      <c r="AI235" s="214">
        <f t="shared" si="208"/>
        <v>0.75</v>
      </c>
      <c r="AJ235" s="335"/>
      <c r="AL235" s="333"/>
      <c r="AM235" s="333"/>
      <c r="AN235" s="207"/>
      <c r="AO235" s="336"/>
      <c r="AP235" s="333"/>
      <c r="AQ235" s="207"/>
      <c r="AR235" s="333"/>
      <c r="AS235" s="333"/>
      <c r="AT235" s="207"/>
      <c r="AU235" s="333"/>
      <c r="AV235" s="333"/>
      <c r="AW235" s="205"/>
      <c r="AX235" s="334"/>
      <c r="AZ235" s="333"/>
      <c r="BA235" s="333"/>
      <c r="BB235" s="207"/>
      <c r="BC235" s="336"/>
      <c r="BD235" s="333"/>
      <c r="BE235" s="207"/>
      <c r="BF235" s="333"/>
      <c r="BG235" s="333"/>
      <c r="BH235" s="207"/>
      <c r="BI235" s="333"/>
      <c r="BJ235" s="333"/>
      <c r="BK235" s="205"/>
      <c r="BL235" s="334"/>
      <c r="BN235" s="333"/>
      <c r="BO235" s="333"/>
      <c r="BP235" s="207"/>
      <c r="BQ235" s="336"/>
      <c r="BR235" s="333"/>
      <c r="BS235" s="207"/>
      <c r="BT235" s="333"/>
      <c r="BU235" s="333"/>
      <c r="BV235" s="207"/>
      <c r="BW235" s="333"/>
      <c r="BX235" s="333"/>
      <c r="BY235" s="205"/>
      <c r="BZ235" s="334"/>
      <c r="CB235" s="333"/>
      <c r="CC235" s="333"/>
      <c r="CD235" s="207"/>
      <c r="CE235" s="336"/>
      <c r="CF235" s="333"/>
      <c r="CG235" s="207"/>
      <c r="CH235" s="333"/>
      <c r="CI235" s="333"/>
      <c r="CJ235" s="207"/>
      <c r="CK235" s="333"/>
      <c r="CL235" s="333"/>
      <c r="CM235" s="205"/>
      <c r="CN235" s="334"/>
    </row>
    <row r="236" spans="2:92" ht="71.25" x14ac:dyDescent="0.2">
      <c r="B236" s="1455"/>
      <c r="C236" s="1356" t="s">
        <v>60</v>
      </c>
      <c r="D236" s="1365" t="s">
        <v>204</v>
      </c>
      <c r="E236" s="1370" t="s">
        <v>125</v>
      </c>
      <c r="F236" s="1355" t="s">
        <v>330</v>
      </c>
      <c r="G236" s="322" t="str">
        <f>+'Plan de Accion ajustes normativ'!I8</f>
        <v>Propuesta de articulado para inclusión en el proyecto del Plan Nacional de Desarrollo aprobada por Min Salud</v>
      </c>
      <c r="H236" s="218" t="str">
        <f>+'Plan de Accion ajustes normativ'!V8</f>
        <v># Propuestas aprobadas por el Min Salud</v>
      </c>
      <c r="I236" s="173"/>
      <c r="J236" s="221">
        <f>+'Plan de Accion ajustes normativ'!AE8</f>
        <v>1</v>
      </c>
      <c r="K236" s="483">
        <f>+'Plan de Accion ajustes normativ'!BP8</f>
        <v>1</v>
      </c>
      <c r="L236" s="483">
        <f t="shared" si="217"/>
        <v>1</v>
      </c>
      <c r="M236" s="483">
        <f>+'Plan de Accion ajustes normativ'!AI8</f>
        <v>1</v>
      </c>
      <c r="N236" s="483">
        <f t="shared" si="103"/>
        <v>1</v>
      </c>
      <c r="O236" s="485">
        <f t="shared" si="219"/>
        <v>1</v>
      </c>
      <c r="P236" s="347"/>
      <c r="Q236" s="222">
        <f>+'Plan de Accion ajustes normativ'!AO8</f>
        <v>0</v>
      </c>
      <c r="R236" s="253" t="str">
        <f>+'Plan de Accion ajustes normativ'!BR8</f>
        <v>No Prog ni Ejec</v>
      </c>
      <c r="S236" s="215" t="s">
        <v>204</v>
      </c>
      <c r="T236" s="311">
        <f>+'Plan de Accion ajustes normativ'!AS8</f>
        <v>1</v>
      </c>
      <c r="U236" s="311">
        <f t="shared" ref="U236:U249" si="228">IF(T236&gt;100%,100%,T236)</f>
        <v>1</v>
      </c>
      <c r="V236" s="214">
        <f t="shared" si="203"/>
        <v>1</v>
      </c>
      <c r="W236" s="805"/>
      <c r="X236" s="222">
        <f>+'Plan de Accion ajustes normativ'!AY8</f>
        <v>0</v>
      </c>
      <c r="Y236" s="253" t="str">
        <f>+'Plan de Accion ajustes normativ'!BT8</f>
        <v>No Prog ni Ejec</v>
      </c>
      <c r="Z236" s="215" t="s">
        <v>204</v>
      </c>
      <c r="AA236" s="220">
        <f>+'Plan de Accion ajustes normativ'!BC8</f>
        <v>1</v>
      </c>
      <c r="AB236" s="220">
        <f t="shared" ref="AB236:AB249" si="229">IF(AA236&gt;100%,100%,AA236)</f>
        <v>1</v>
      </c>
      <c r="AC236" s="219">
        <f t="shared" si="206"/>
        <v>1</v>
      </c>
      <c r="AD236" s="347"/>
      <c r="AE236" s="222">
        <f>+'Plan de Accion ajustes normativ'!BI8</f>
        <v>0</v>
      </c>
      <c r="AF236" s="253" t="str">
        <f>+'Plan de Accion ajustes normativ'!BV8</f>
        <v>No Prog ni Ejec</v>
      </c>
      <c r="AG236" s="215" t="s">
        <v>204</v>
      </c>
      <c r="AH236" s="253">
        <f>+'Plan de Accion ajustes normativ'!BM8</f>
        <v>1</v>
      </c>
      <c r="AI236" s="214">
        <f t="shared" ref="AI236:AI249" si="230">IF(AH236&gt;100%,100%,AH236)</f>
        <v>1</v>
      </c>
      <c r="AJ236" s="213"/>
      <c r="AL236" s="210"/>
      <c r="AM236" s="210"/>
      <c r="AN236" s="207"/>
      <c r="AO236" s="211"/>
      <c r="AP236" s="210"/>
      <c r="AQ236" s="207"/>
      <c r="AR236" s="210"/>
      <c r="AS236" s="210"/>
      <c r="AT236" s="207"/>
      <c r="AU236" s="210"/>
      <c r="AV236" s="210"/>
      <c r="AW236" s="205"/>
      <c r="AX236" s="209"/>
      <c r="AZ236" s="210"/>
      <c r="BA236" s="210"/>
      <c r="BB236" s="207"/>
      <c r="BC236" s="211"/>
      <c r="BD236" s="210"/>
      <c r="BE236" s="207"/>
      <c r="BF236" s="210"/>
      <c r="BG236" s="210"/>
      <c r="BH236" s="207"/>
      <c r="BI236" s="210"/>
      <c r="BJ236" s="210"/>
      <c r="BK236" s="205"/>
      <c r="BL236" s="209"/>
      <c r="BN236" s="210"/>
      <c r="BO236" s="210"/>
      <c r="BP236" s="207"/>
      <c r="BQ236" s="211"/>
      <c r="BR236" s="210"/>
      <c r="BS236" s="207"/>
      <c r="BT236" s="210"/>
      <c r="BU236" s="210"/>
      <c r="BV236" s="207"/>
      <c r="BW236" s="210"/>
      <c r="BX236" s="210"/>
      <c r="BY236" s="205"/>
      <c r="BZ236" s="209"/>
      <c r="CB236" s="210"/>
      <c r="CC236" s="210"/>
      <c r="CD236" s="207"/>
      <c r="CE236" s="211"/>
      <c r="CF236" s="210"/>
      <c r="CG236" s="207"/>
      <c r="CH236" s="210"/>
      <c r="CI236" s="210"/>
      <c r="CJ236" s="207"/>
      <c r="CK236" s="210"/>
      <c r="CL236" s="210"/>
      <c r="CM236" s="205"/>
      <c r="CN236" s="209"/>
    </row>
    <row r="237" spans="2:92" ht="64.5" customHeight="1" x14ac:dyDescent="0.2">
      <c r="B237" s="1455"/>
      <c r="C237" s="1356"/>
      <c r="D237" s="1365"/>
      <c r="E237" s="1370"/>
      <c r="F237" s="1355"/>
      <c r="G237" s="322" t="str">
        <f>+'Plan de Accion ajustes normativ'!I9</f>
        <v>Propuesta de articulado para inclusión en el proyecto del Plan Nacional de Desarrollo aprobada por Min Salud</v>
      </c>
      <c r="H237" s="218" t="str">
        <f>+'Plan de Accion ajustes normativ'!V9</f>
        <v># Propuestas aprobadas por el Min Salud</v>
      </c>
      <c r="I237" s="173"/>
      <c r="J237" s="221">
        <f>+'Plan de Accion ajustes normativ'!AE9</f>
        <v>1</v>
      </c>
      <c r="K237" s="483">
        <f>+'Plan de Accion ajustes normativ'!BP9</f>
        <v>1</v>
      </c>
      <c r="L237" s="483">
        <f t="shared" si="217"/>
        <v>1</v>
      </c>
      <c r="M237" s="483">
        <f>+'Plan de Accion ajustes normativ'!AI9</f>
        <v>1</v>
      </c>
      <c r="N237" s="483">
        <f t="shared" si="103"/>
        <v>1</v>
      </c>
      <c r="O237" s="485">
        <f t="shared" si="219"/>
        <v>1</v>
      </c>
      <c r="P237" s="347"/>
      <c r="Q237" s="221">
        <f>+'Plan de Accion ajustes normativ'!AO9</f>
        <v>0</v>
      </c>
      <c r="R237" s="253" t="str">
        <f>+'Plan de Accion ajustes normativ'!BR9</f>
        <v>No Prog ni Ejec</v>
      </c>
      <c r="S237" s="215" t="s">
        <v>204</v>
      </c>
      <c r="T237" s="311">
        <f>+'Plan de Accion ajustes normativ'!AS9</f>
        <v>1</v>
      </c>
      <c r="U237" s="311">
        <f t="shared" si="228"/>
        <v>1</v>
      </c>
      <c r="V237" s="214">
        <f t="shared" si="203"/>
        <v>1</v>
      </c>
      <c r="W237" s="805"/>
      <c r="X237" s="222">
        <f>+'Plan de Accion ajustes normativ'!AY9</f>
        <v>0</v>
      </c>
      <c r="Y237" s="253" t="str">
        <f>+'Plan de Accion ajustes normativ'!BT9</f>
        <v>No Prog ni Ejec</v>
      </c>
      <c r="Z237" s="215" t="s">
        <v>204</v>
      </c>
      <c r="AA237" s="220">
        <f>+'Plan de Accion ajustes normativ'!BC9</f>
        <v>1</v>
      </c>
      <c r="AB237" s="220">
        <f t="shared" si="229"/>
        <v>1</v>
      </c>
      <c r="AC237" s="219">
        <f t="shared" si="206"/>
        <v>1</v>
      </c>
      <c r="AD237" s="347"/>
      <c r="AE237" s="222">
        <f>+'Plan de Accion ajustes normativ'!BI9</f>
        <v>0</v>
      </c>
      <c r="AF237" s="253" t="str">
        <f>+'Plan de Accion ajustes normativ'!BV9</f>
        <v>No Prog ni Ejec</v>
      </c>
      <c r="AG237" s="215" t="s">
        <v>204</v>
      </c>
      <c r="AH237" s="253">
        <f>+'Plan de Accion ajustes normativ'!BM9</f>
        <v>1</v>
      </c>
      <c r="AI237" s="214">
        <f t="shared" si="230"/>
        <v>1</v>
      </c>
      <c r="AJ237" s="213"/>
      <c r="AL237" s="210"/>
      <c r="AM237" s="210"/>
      <c r="AN237" s="207"/>
      <c r="AO237" s="211"/>
      <c r="AP237" s="210"/>
      <c r="AQ237" s="207"/>
      <c r="AR237" s="210"/>
      <c r="AS237" s="210"/>
      <c r="AT237" s="207"/>
      <c r="AU237" s="210"/>
      <c r="AV237" s="210"/>
      <c r="AW237" s="205"/>
      <c r="AX237" s="209"/>
      <c r="AZ237" s="210"/>
      <c r="BA237" s="210"/>
      <c r="BB237" s="207"/>
      <c r="BC237" s="211"/>
      <c r="BD237" s="210"/>
      <c r="BE237" s="207"/>
      <c r="BF237" s="210"/>
      <c r="BG237" s="210"/>
      <c r="BH237" s="207"/>
      <c r="BI237" s="210"/>
      <c r="BJ237" s="210"/>
      <c r="BK237" s="205"/>
      <c r="BL237" s="209"/>
      <c r="BN237" s="210"/>
      <c r="BO237" s="210"/>
      <c r="BP237" s="207"/>
      <c r="BQ237" s="211"/>
      <c r="BR237" s="210"/>
      <c r="BS237" s="207"/>
      <c r="BT237" s="210"/>
      <c r="BU237" s="210"/>
      <c r="BV237" s="207"/>
      <c r="BW237" s="210"/>
      <c r="BX237" s="210"/>
      <c r="BY237" s="205"/>
      <c r="BZ237" s="209"/>
      <c r="CB237" s="210"/>
      <c r="CC237" s="210"/>
      <c r="CD237" s="207"/>
      <c r="CE237" s="211"/>
      <c r="CF237" s="210"/>
      <c r="CG237" s="207"/>
      <c r="CH237" s="210"/>
      <c r="CI237" s="210"/>
      <c r="CJ237" s="207"/>
      <c r="CK237" s="210"/>
      <c r="CL237" s="210"/>
      <c r="CM237" s="205"/>
      <c r="CN237" s="209"/>
    </row>
    <row r="238" spans="2:92" ht="64.5" customHeight="1" thickBot="1" x14ac:dyDescent="0.25">
      <c r="B238" s="1455"/>
      <c r="C238" s="1449" t="s">
        <v>94</v>
      </c>
      <c r="D238" s="1351" t="s">
        <v>204</v>
      </c>
      <c r="E238" s="1316" t="s">
        <v>1</v>
      </c>
      <c r="F238" s="1316" t="s">
        <v>330</v>
      </c>
      <c r="G238" s="322" t="str">
        <f>+'Plan de Accion apoyo transversa'!X10</f>
        <v>Informe mensual de monitoreo de la actividad en redes sociales y medios de comunicación asociados a la ADRES.</v>
      </c>
      <c r="H238" s="218" t="str">
        <f>+'Plan de Accion apoyo transversa'!AK10</f>
        <v># Informes sobre las actividades en redes sociales y medios de comunicación asociada a la ADRES presentados.</v>
      </c>
      <c r="J238" s="221">
        <f>+'Plan de Accion apoyo transversa'!AT10</f>
        <v>3</v>
      </c>
      <c r="K238" s="483">
        <f>+'Plan de Accion apoyo transversa'!CE10</f>
        <v>1</v>
      </c>
      <c r="L238" s="483">
        <f t="shared" si="217"/>
        <v>1</v>
      </c>
      <c r="M238" s="483">
        <f>+'Plan de Accion apoyo transversa'!AX10</f>
        <v>0.25</v>
      </c>
      <c r="N238" s="483">
        <f t="shared" si="103"/>
        <v>0.25</v>
      </c>
      <c r="O238" s="485">
        <f t="shared" si="219"/>
        <v>0.25</v>
      </c>
      <c r="P238" s="216"/>
      <c r="Q238" s="221">
        <f>+'Plan de Accion apoyo transversa'!BD10</f>
        <v>3</v>
      </c>
      <c r="R238" s="253">
        <f>+'Plan de Accion apoyo transversa'!CG10</f>
        <v>1</v>
      </c>
      <c r="S238" s="215">
        <f t="shared" ref="S238:S247" si="231">IF(R238&gt;100%,100%,R238)</f>
        <v>1</v>
      </c>
      <c r="T238" s="311">
        <f>+'Plan de Accion apoyo transversa'!BH10</f>
        <v>0.5</v>
      </c>
      <c r="U238" s="311">
        <f t="shared" si="228"/>
        <v>0.5</v>
      </c>
      <c r="V238" s="214">
        <f t="shared" ref="V238:V247" si="232">+U238</f>
        <v>0.5</v>
      </c>
      <c r="W238" s="216"/>
      <c r="X238" s="221">
        <f>+'Plan de Accion apoyo transversa'!BN10</f>
        <v>3</v>
      </c>
      <c r="Y238" s="253">
        <f>+'Plan de Accion apoyo transversa'!CI10</f>
        <v>1</v>
      </c>
      <c r="Z238" s="215">
        <f t="shared" ref="Z238:Z247" si="233">IF(Y238&gt;100%,100%,Y238)</f>
        <v>1</v>
      </c>
      <c r="AA238" s="220">
        <f>+'Plan de Accion apoyo transversa'!BR10</f>
        <v>0.75</v>
      </c>
      <c r="AB238" s="220">
        <f t="shared" si="229"/>
        <v>0.75</v>
      </c>
      <c r="AC238" s="219">
        <f t="shared" ref="AC238:AC247" si="234">+AB238</f>
        <v>0.75</v>
      </c>
      <c r="AD238" s="216"/>
      <c r="AE238" s="221">
        <f>+'Plan de Accion apoyo transversa'!BX10</f>
        <v>0</v>
      </c>
      <c r="AF238" s="253">
        <f>+'Plan de Accion apoyo transversa'!CK10</f>
        <v>0</v>
      </c>
      <c r="AG238" s="215">
        <f t="shared" ref="AG238:AG245" si="235">IF(AF238&gt;100%,100%,AF238)</f>
        <v>0</v>
      </c>
      <c r="AH238" s="253">
        <f>+'Plan de Accion apoyo transversa'!CB10</f>
        <v>0.75</v>
      </c>
      <c r="AI238" s="214">
        <f t="shared" si="230"/>
        <v>0.75</v>
      </c>
      <c r="AJ238" s="213"/>
      <c r="AL238" s="210"/>
      <c r="AM238" s="210"/>
      <c r="AN238" s="207"/>
      <c r="AO238" s="211"/>
      <c r="AP238" s="210"/>
      <c r="AQ238" s="207"/>
      <c r="AR238" s="210"/>
      <c r="AS238" s="210"/>
      <c r="AT238" s="207"/>
      <c r="AU238" s="210"/>
      <c r="AV238" s="210"/>
      <c r="AW238" s="205"/>
      <c r="AX238" s="209"/>
      <c r="AZ238" s="210"/>
      <c r="BA238" s="210"/>
      <c r="BB238" s="207"/>
      <c r="BC238" s="211"/>
      <c r="BD238" s="210"/>
      <c r="BE238" s="207"/>
      <c r="BF238" s="210"/>
      <c r="BG238" s="210"/>
      <c r="BH238" s="207"/>
      <c r="BI238" s="210"/>
      <c r="BJ238" s="210"/>
      <c r="BK238" s="205"/>
      <c r="BL238" s="209"/>
      <c r="BN238" s="210"/>
      <c r="BO238" s="210"/>
      <c r="BP238" s="207"/>
      <c r="BQ238" s="211"/>
      <c r="BR238" s="210"/>
      <c r="BS238" s="207"/>
      <c r="BT238" s="210"/>
      <c r="BU238" s="210"/>
      <c r="BV238" s="207"/>
      <c r="BW238" s="210"/>
      <c r="BX238" s="210"/>
      <c r="BY238" s="205"/>
      <c r="BZ238" s="209"/>
      <c r="CB238" s="210"/>
      <c r="CC238" s="210"/>
      <c r="CD238" s="207"/>
      <c r="CE238" s="211"/>
      <c r="CF238" s="210"/>
      <c r="CG238" s="207"/>
      <c r="CH238" s="210"/>
      <c r="CI238" s="210"/>
      <c r="CJ238" s="207"/>
      <c r="CK238" s="210"/>
      <c r="CL238" s="210"/>
      <c r="CM238" s="205"/>
      <c r="CN238" s="209"/>
    </row>
    <row r="239" spans="2:92" ht="71.25" x14ac:dyDescent="0.2">
      <c r="B239" s="1455"/>
      <c r="C239" s="1450"/>
      <c r="D239" s="1352"/>
      <c r="E239" s="1317"/>
      <c r="F239" s="1317"/>
      <c r="G239" s="1319" t="str">
        <f>+'Plan de Accion apoyo transversa'!X11</f>
        <v>Correos electrónicos con el monitoreo de noticias</v>
      </c>
      <c r="H239" s="218" t="str">
        <f>+'Plan de Accion apoyo transversa'!AK11</f>
        <v>((# de seguidores en Twitter periodo actual - # de seguidores en Twitter periodo anterior)/ # de seguidores en Twitter periodo anterior)</v>
      </c>
      <c r="J239" s="217">
        <f>+'Plan de Accion apoyo transversa'!AT11</f>
        <v>0.16063675832127353</v>
      </c>
      <c r="K239" s="1290">
        <f>AVERAGE('Plan de Accion apoyo transversa'!CE11:CE13)</f>
        <v>0.2141823444283647</v>
      </c>
      <c r="L239" s="1290">
        <f t="shared" si="217"/>
        <v>0.2141823444283647</v>
      </c>
      <c r="M239" s="1290">
        <f>AVERAGE('Plan de Accion apoyo transversa'!AX11:AX13)</f>
        <v>5.3545586107091175E-2</v>
      </c>
      <c r="N239" s="1290">
        <f t="shared" si="103"/>
        <v>5.3545586107091175E-2</v>
      </c>
      <c r="O239" s="1293">
        <f t="shared" si="219"/>
        <v>5.3545586107091175E-2</v>
      </c>
      <c r="P239" s="216"/>
      <c r="Q239" s="217" t="s">
        <v>204</v>
      </c>
      <c r="R239" s="1290" t="s">
        <v>180</v>
      </c>
      <c r="S239" s="1290" t="s">
        <v>204</v>
      </c>
      <c r="T239" s="1290">
        <f>AVERAGE('Plan de Accion apoyo transversa'!BH11:BH13)</f>
        <v>5.3545586107091175E-2</v>
      </c>
      <c r="U239" s="1290">
        <f t="shared" si="228"/>
        <v>5.3545586107091175E-2</v>
      </c>
      <c r="V239" s="1293">
        <f t="shared" si="232"/>
        <v>5.3545586107091175E-2</v>
      </c>
      <c r="W239" s="216"/>
      <c r="X239" s="217" t="s">
        <v>204</v>
      </c>
      <c r="Y239" s="1290" t="s">
        <v>180</v>
      </c>
      <c r="Z239" s="1290" t="s">
        <v>204</v>
      </c>
      <c r="AA239" s="1290">
        <f>AVERAGE('Plan de Accion apoyo transversa'!BR11:BR13)</f>
        <v>5.3545586107091175E-2</v>
      </c>
      <c r="AB239" s="1290">
        <f t="shared" si="229"/>
        <v>5.3545586107091175E-2</v>
      </c>
      <c r="AC239" s="1293">
        <f t="shared" si="234"/>
        <v>5.3545586107091175E-2</v>
      </c>
      <c r="AD239" s="216"/>
      <c r="AE239" s="217" t="s">
        <v>204</v>
      </c>
      <c r="AF239" s="1290" t="s">
        <v>180</v>
      </c>
      <c r="AG239" s="1290" t="s">
        <v>204</v>
      </c>
      <c r="AH239" s="1290">
        <f>AVERAGE('Plan de Accion apoyo transversa'!CB11:CB13)</f>
        <v>5.3545586107091175E-2</v>
      </c>
      <c r="AI239" s="1290">
        <f>IF(AH239&gt;100%,100%,AH239)</f>
        <v>5.3545586107091175E-2</v>
      </c>
      <c r="AJ239" s="235"/>
      <c r="AL239" s="1409"/>
      <c r="AM239" s="1409"/>
      <c r="AN239" s="207"/>
      <c r="AO239" s="1438"/>
      <c r="AP239" s="1409"/>
      <c r="AQ239" s="207"/>
      <c r="AR239" s="1409"/>
      <c r="AS239" s="1409"/>
      <c r="AT239" s="207"/>
      <c r="AU239" s="1409"/>
      <c r="AV239" s="1409"/>
      <c r="AW239" s="205"/>
      <c r="AX239" s="234"/>
      <c r="AZ239" s="1409"/>
      <c r="BA239" s="1409"/>
      <c r="BB239" s="207"/>
      <c r="BC239" s="1438"/>
      <c r="BD239" s="1409"/>
      <c r="BE239" s="207"/>
      <c r="BF239" s="1409"/>
      <c r="BG239" s="1409"/>
      <c r="BH239" s="207"/>
      <c r="BI239" s="1409"/>
      <c r="BJ239" s="1409"/>
      <c r="BK239" s="205"/>
      <c r="BL239" s="234"/>
      <c r="BN239" s="1409"/>
      <c r="BO239" s="1409"/>
      <c r="BP239" s="207"/>
      <c r="BQ239" s="1438"/>
      <c r="BR239" s="1409"/>
      <c r="BS239" s="207"/>
      <c r="BT239" s="1409"/>
      <c r="BU239" s="1409"/>
      <c r="BV239" s="207"/>
      <c r="BW239" s="1409"/>
      <c r="BX239" s="1409"/>
      <c r="BY239" s="205"/>
      <c r="BZ239" s="234"/>
      <c r="CB239" s="1409"/>
      <c r="CC239" s="1409"/>
      <c r="CD239" s="207"/>
      <c r="CE239" s="1438"/>
      <c r="CF239" s="1409"/>
      <c r="CG239" s="207"/>
      <c r="CH239" s="1409"/>
      <c r="CI239" s="1409"/>
      <c r="CJ239" s="207"/>
      <c r="CK239" s="1409"/>
      <c r="CL239" s="1409"/>
      <c r="CM239" s="205"/>
      <c r="CN239" s="234"/>
    </row>
    <row r="240" spans="2:92" ht="71.25" x14ac:dyDescent="0.2">
      <c r="B240" s="1455"/>
      <c r="C240" s="1450"/>
      <c r="D240" s="1352"/>
      <c r="E240" s="1317"/>
      <c r="F240" s="1317"/>
      <c r="G240" s="1320"/>
      <c r="H240" s="218" t="str">
        <f>+'Plan de Accion apoyo transversa'!AK12</f>
        <v>((#Visitas Página WEB periodo actual - # Visitas Página WEB periodo anterior) / # Visitas Página WEB periodo anterior)</v>
      </c>
      <c r="J240" s="217">
        <f>+'Plan de Accion apoyo transversa'!AT12</f>
        <v>0</v>
      </c>
      <c r="K240" s="1291"/>
      <c r="L240" s="1291"/>
      <c r="M240" s="1291"/>
      <c r="N240" s="1291"/>
      <c r="O240" s="1294"/>
      <c r="P240" s="216"/>
      <c r="Q240" s="217" t="s">
        <v>204</v>
      </c>
      <c r="R240" s="1291"/>
      <c r="S240" s="1291"/>
      <c r="T240" s="1291"/>
      <c r="U240" s="1291"/>
      <c r="V240" s="1294"/>
      <c r="W240" s="216"/>
      <c r="X240" s="217" t="s">
        <v>204</v>
      </c>
      <c r="Y240" s="1291"/>
      <c r="Z240" s="1291"/>
      <c r="AA240" s="1291"/>
      <c r="AB240" s="1291"/>
      <c r="AC240" s="1294"/>
      <c r="AD240" s="216"/>
      <c r="AE240" s="217" t="s">
        <v>204</v>
      </c>
      <c r="AF240" s="1291"/>
      <c r="AG240" s="1291"/>
      <c r="AH240" s="1291"/>
      <c r="AI240" s="1291"/>
      <c r="AJ240" s="233"/>
      <c r="AL240" s="1410"/>
      <c r="AM240" s="1410"/>
      <c r="AN240" s="207"/>
      <c r="AO240" s="1439"/>
      <c r="AP240" s="1410"/>
      <c r="AQ240" s="207"/>
      <c r="AR240" s="1410"/>
      <c r="AS240" s="1410"/>
      <c r="AT240" s="207"/>
      <c r="AU240" s="1410"/>
      <c r="AV240" s="1410"/>
      <c r="AW240" s="205"/>
      <c r="AX240" s="232"/>
      <c r="AZ240" s="1410"/>
      <c r="BA240" s="1410"/>
      <c r="BB240" s="207"/>
      <c r="BC240" s="1439"/>
      <c r="BD240" s="1410"/>
      <c r="BE240" s="207"/>
      <c r="BF240" s="1410"/>
      <c r="BG240" s="1410"/>
      <c r="BH240" s="207"/>
      <c r="BI240" s="1410"/>
      <c r="BJ240" s="1410"/>
      <c r="BK240" s="205"/>
      <c r="BL240" s="232"/>
      <c r="BN240" s="1410"/>
      <c r="BO240" s="1410"/>
      <c r="BP240" s="207"/>
      <c r="BQ240" s="1439"/>
      <c r="BR240" s="1410"/>
      <c r="BS240" s="207"/>
      <c r="BT240" s="1410"/>
      <c r="BU240" s="1410"/>
      <c r="BV240" s="207"/>
      <c r="BW240" s="1410"/>
      <c r="BX240" s="1410"/>
      <c r="BY240" s="205"/>
      <c r="BZ240" s="232"/>
      <c r="CB240" s="1410"/>
      <c r="CC240" s="1410"/>
      <c r="CD240" s="207"/>
      <c r="CE240" s="1439"/>
      <c r="CF240" s="1410"/>
      <c r="CG240" s="207"/>
      <c r="CH240" s="1410"/>
      <c r="CI240" s="1410"/>
      <c r="CJ240" s="207"/>
      <c r="CK240" s="1410"/>
      <c r="CL240" s="1410"/>
      <c r="CM240" s="205"/>
      <c r="CN240" s="232"/>
    </row>
    <row r="241" spans="2:92" ht="53.25" customHeight="1" thickBot="1" x14ac:dyDescent="0.25">
      <c r="B241" s="1455"/>
      <c r="C241" s="1450"/>
      <c r="D241" s="1353"/>
      <c r="E241" s="1317"/>
      <c r="F241" s="1317"/>
      <c r="G241" s="1321"/>
      <c r="H241" s="218" t="str">
        <f>+'Plan de Accion apoyo transversa'!AK13</f>
        <v>#Noticias Positivas en el periodo/#Noticias Negativas en el mismo periodo.</v>
      </c>
      <c r="J241" s="221">
        <f>+'Plan de Accion apoyo transversa'!AT13</f>
        <v>0</v>
      </c>
      <c r="K241" s="1292"/>
      <c r="L241" s="1292"/>
      <c r="M241" s="1292"/>
      <c r="N241" s="1292"/>
      <c r="O241" s="1295"/>
      <c r="P241" s="216"/>
      <c r="Q241" s="221" t="s">
        <v>204</v>
      </c>
      <c r="R241" s="1292"/>
      <c r="S241" s="1292"/>
      <c r="T241" s="1292"/>
      <c r="U241" s="1292"/>
      <c r="V241" s="1295"/>
      <c r="W241" s="216"/>
      <c r="X241" s="221" t="s">
        <v>204</v>
      </c>
      <c r="Y241" s="1292"/>
      <c r="Z241" s="1292"/>
      <c r="AA241" s="1292"/>
      <c r="AB241" s="1292"/>
      <c r="AC241" s="1295"/>
      <c r="AD241" s="216"/>
      <c r="AE241" s="221" t="s">
        <v>204</v>
      </c>
      <c r="AF241" s="1292"/>
      <c r="AG241" s="1292"/>
      <c r="AH241" s="1292"/>
      <c r="AI241" s="1292"/>
      <c r="AJ241" s="231"/>
      <c r="AL241" s="1411"/>
      <c r="AM241" s="1411"/>
      <c r="AN241" s="207"/>
      <c r="AO241" s="1440"/>
      <c r="AP241" s="1411"/>
      <c r="AQ241" s="207"/>
      <c r="AR241" s="1411"/>
      <c r="AS241" s="1411"/>
      <c r="AT241" s="207"/>
      <c r="AU241" s="1411"/>
      <c r="AV241" s="1411"/>
      <c r="AW241" s="205"/>
      <c r="AX241" s="230"/>
      <c r="AZ241" s="1411"/>
      <c r="BA241" s="1411"/>
      <c r="BB241" s="207"/>
      <c r="BC241" s="1440"/>
      <c r="BD241" s="1411"/>
      <c r="BE241" s="207"/>
      <c r="BF241" s="1411"/>
      <c r="BG241" s="1411"/>
      <c r="BH241" s="207"/>
      <c r="BI241" s="1411"/>
      <c r="BJ241" s="1411"/>
      <c r="BK241" s="205"/>
      <c r="BL241" s="230"/>
      <c r="BN241" s="1411"/>
      <c r="BO241" s="1411"/>
      <c r="BP241" s="207"/>
      <c r="BQ241" s="1440"/>
      <c r="BR241" s="1411"/>
      <c r="BS241" s="207"/>
      <c r="BT241" s="1411"/>
      <c r="BU241" s="1411"/>
      <c r="BV241" s="207"/>
      <c r="BW241" s="1411"/>
      <c r="BX241" s="1411"/>
      <c r="BY241" s="205"/>
      <c r="BZ241" s="230"/>
      <c r="CB241" s="1411"/>
      <c r="CC241" s="1411"/>
      <c r="CD241" s="207"/>
      <c r="CE241" s="1440"/>
      <c r="CF241" s="1411"/>
      <c r="CG241" s="207"/>
      <c r="CH241" s="1411"/>
      <c r="CI241" s="1411"/>
      <c r="CJ241" s="207"/>
      <c r="CK241" s="1411"/>
      <c r="CL241" s="1411"/>
      <c r="CM241" s="205"/>
      <c r="CN241" s="230"/>
    </row>
    <row r="242" spans="2:92" ht="53.25" customHeight="1" x14ac:dyDescent="0.2">
      <c r="B242" s="1455"/>
      <c r="C242" s="1450"/>
      <c r="D242" s="555" t="s">
        <v>204</v>
      </c>
      <c r="E242" s="1317"/>
      <c r="F242" s="1317"/>
      <c r="G242" s="558" t="str">
        <f>+'Plan de Accion apoyo transversa'!X185</f>
        <v>Estrategia de comunicación Interna de la ADRES.</v>
      </c>
      <c r="H242" s="218" t="str">
        <f>+'Plan de Accion apoyo transversa'!AK185</f>
        <v># Documentos estrategia de comunicación Interna de la ADRES.</v>
      </c>
      <c r="J242" s="221">
        <f>+'Plan de Accion apoyo transversa'!AT185</f>
        <v>0</v>
      </c>
      <c r="K242" s="552" t="str">
        <f>+'Plan de Accion apoyo transversa'!CE185</f>
        <v>No Prog ni Ejec</v>
      </c>
      <c r="L242" s="552" t="s">
        <v>204</v>
      </c>
      <c r="M242" s="552" t="s">
        <v>204</v>
      </c>
      <c r="N242" s="552" t="s">
        <v>204</v>
      </c>
      <c r="O242" s="554" t="s">
        <v>204</v>
      </c>
      <c r="P242" s="216"/>
      <c r="Q242" s="221">
        <f>+'Plan de Accion apoyo transversa'!BD185</f>
        <v>0</v>
      </c>
      <c r="R242" s="253" t="str">
        <f>+'Plan de Accion apoyo transversa'!CG185</f>
        <v>No Prog ni Ejec</v>
      </c>
      <c r="S242" s="215" t="s">
        <v>204</v>
      </c>
      <c r="T242" s="659">
        <f>+'Plan de Accion apoyo transversa'!BH185</f>
        <v>0</v>
      </c>
      <c r="U242" s="659">
        <f t="shared" ref="U242:U243" si="236">IF(T242&gt;100%,100%,T242)</f>
        <v>0</v>
      </c>
      <c r="V242" s="214" t="s">
        <v>204</v>
      </c>
      <c r="W242" s="216"/>
      <c r="X242" s="221">
        <f>+'Plan de Accion apoyo transversa'!BN185</f>
        <v>0</v>
      </c>
      <c r="Y242" s="253" t="str">
        <f>+'Plan de Accion apoyo transversa'!CI185</f>
        <v>No Prog ni Ejec</v>
      </c>
      <c r="Z242" s="215" t="s">
        <v>204</v>
      </c>
      <c r="AA242" s="220">
        <f>+'Plan de Accion apoyo transversa'!BR185</f>
        <v>0</v>
      </c>
      <c r="AB242" s="220">
        <f t="shared" ref="AB242" si="237">IF(AA242&gt;100%,100%,AA242)</f>
        <v>0</v>
      </c>
      <c r="AC242" s="219" t="s">
        <v>204</v>
      </c>
      <c r="AD242" s="216"/>
      <c r="AE242" s="221">
        <f>+'Plan de Accion apoyo transversa'!BX185</f>
        <v>0</v>
      </c>
      <c r="AF242" s="253">
        <f>+'Plan de Accion apoyo transversa'!CK185</f>
        <v>0</v>
      </c>
      <c r="AG242" s="215">
        <f t="shared" ref="AG242" si="238">IF(AF242&gt;100%,100%,AF242)</f>
        <v>0</v>
      </c>
      <c r="AH242" s="253">
        <f>+'Plan de Accion apoyo transversa'!CB185</f>
        <v>0</v>
      </c>
      <c r="AI242" s="214">
        <f t="shared" ref="AI242" si="239">IF(AH242&gt;100%,100%,AH242)</f>
        <v>0</v>
      </c>
      <c r="AJ242" s="233"/>
      <c r="AL242" s="559"/>
      <c r="AM242" s="559"/>
      <c r="AN242" s="207"/>
      <c r="AO242" s="562"/>
      <c r="AP242" s="559"/>
      <c r="AQ242" s="207"/>
      <c r="AR242" s="559"/>
      <c r="AS242" s="559"/>
      <c r="AT242" s="207"/>
      <c r="AU242" s="559"/>
      <c r="AV242" s="559"/>
      <c r="AW242" s="205"/>
      <c r="AX242" s="232"/>
      <c r="AZ242" s="559"/>
      <c r="BA242" s="559"/>
      <c r="BB242" s="207"/>
      <c r="BC242" s="562"/>
      <c r="BD242" s="559"/>
      <c r="BE242" s="207"/>
      <c r="BF242" s="559"/>
      <c r="BG242" s="559"/>
      <c r="BH242" s="207"/>
      <c r="BI242" s="559"/>
      <c r="BJ242" s="559"/>
      <c r="BK242" s="205"/>
      <c r="BL242" s="232"/>
      <c r="BN242" s="559"/>
      <c r="BO242" s="559"/>
      <c r="BP242" s="207"/>
      <c r="BQ242" s="562"/>
      <c r="BR242" s="559"/>
      <c r="BS242" s="207"/>
      <c r="BT242" s="559"/>
      <c r="BU242" s="559"/>
      <c r="BV242" s="207"/>
      <c r="BW242" s="559"/>
      <c r="BX242" s="559"/>
      <c r="BY242" s="205"/>
      <c r="BZ242" s="232"/>
      <c r="CB242" s="559"/>
      <c r="CC242" s="559"/>
      <c r="CD242" s="207"/>
      <c r="CE242" s="562"/>
      <c r="CF242" s="559"/>
      <c r="CG242" s="207"/>
      <c r="CH242" s="559"/>
      <c r="CI242" s="559"/>
      <c r="CJ242" s="207"/>
      <c r="CK242" s="559"/>
      <c r="CL242" s="559"/>
      <c r="CM242" s="205"/>
      <c r="CN242" s="232"/>
    </row>
    <row r="243" spans="2:92" ht="53.25" customHeight="1" thickBot="1" x14ac:dyDescent="0.25">
      <c r="B243" s="1455"/>
      <c r="C243" s="1450"/>
      <c r="D243" s="555" t="s">
        <v>204</v>
      </c>
      <c r="E243" s="1318"/>
      <c r="F243" s="1318"/>
      <c r="G243" s="558" t="str">
        <f>+'Plan de Accion apoyo transversa'!X186</f>
        <v>Estrategia de comunicación digital de la ADRES.</v>
      </c>
      <c r="H243" s="218" t="str">
        <f>+'Plan de Accion apoyo transversa'!AK186</f>
        <v># Documentos estrategia de comunicación digital de la ADRES..</v>
      </c>
      <c r="J243" s="221">
        <f>+'Plan de Accion apoyo transversa'!AT186</f>
        <v>0</v>
      </c>
      <c r="K243" s="552" t="str">
        <f>+'Plan de Accion apoyo transversa'!CE186</f>
        <v>No Prog ni Ejec</v>
      </c>
      <c r="L243" s="552" t="s">
        <v>204</v>
      </c>
      <c r="M243" s="552" t="s">
        <v>204</v>
      </c>
      <c r="N243" s="552" t="s">
        <v>204</v>
      </c>
      <c r="O243" s="554" t="s">
        <v>204</v>
      </c>
      <c r="P243" s="216"/>
      <c r="Q243" s="221">
        <f>+'Plan de Accion apoyo transversa'!BD186</f>
        <v>0</v>
      </c>
      <c r="R243" s="253" t="str">
        <f>+'Plan de Accion apoyo transversa'!CG186</f>
        <v>No Prog ni Ejec</v>
      </c>
      <c r="S243" s="215" t="s">
        <v>204</v>
      </c>
      <c r="T243" s="659">
        <f>+'Plan de Accion apoyo transversa'!BH186</f>
        <v>0</v>
      </c>
      <c r="U243" s="659">
        <f t="shared" si="236"/>
        <v>0</v>
      </c>
      <c r="V243" s="214" t="s">
        <v>204</v>
      </c>
      <c r="W243" s="216"/>
      <c r="X243" s="221">
        <f>+'Plan de Accion apoyo transversa'!BN186</f>
        <v>1</v>
      </c>
      <c r="Y243" s="253">
        <f>+'Plan de Accion apoyo transversa'!CI186</f>
        <v>1</v>
      </c>
      <c r="Z243" s="215">
        <f t="shared" si="233"/>
        <v>1</v>
      </c>
      <c r="AA243" s="220">
        <f>+'Plan de Accion apoyo transversa'!BR186</f>
        <v>1</v>
      </c>
      <c r="AB243" s="220">
        <f t="shared" ref="AB243" si="240">IF(AA243&gt;100%,100%,AA243)</f>
        <v>1</v>
      </c>
      <c r="AC243" s="219">
        <f t="shared" ref="AC243" si="241">+AB243</f>
        <v>1</v>
      </c>
      <c r="AD243" s="216"/>
      <c r="AE243" s="221">
        <f>+'Plan de Accion apoyo transversa'!BX186</f>
        <v>0</v>
      </c>
      <c r="AF243" s="253" t="str">
        <f>+'Plan de Accion apoyo transversa'!CK186</f>
        <v>No Prog ni Ejec</v>
      </c>
      <c r="AG243" s="215" t="s">
        <v>204</v>
      </c>
      <c r="AH243" s="253">
        <f>+'Plan de Accion apoyo transversa'!CB186</f>
        <v>1</v>
      </c>
      <c r="AI243" s="214">
        <f t="shared" ref="AI243" si="242">IF(AH243&gt;100%,100%,AH243)</f>
        <v>1</v>
      </c>
      <c r="AJ243" s="233"/>
      <c r="AL243" s="559"/>
      <c r="AM243" s="559"/>
      <c r="AN243" s="207"/>
      <c r="AO243" s="562"/>
      <c r="AP243" s="559"/>
      <c r="AQ243" s="207"/>
      <c r="AR243" s="559"/>
      <c r="AS243" s="559"/>
      <c r="AT243" s="207"/>
      <c r="AU243" s="559"/>
      <c r="AV243" s="559"/>
      <c r="AW243" s="205"/>
      <c r="AX243" s="232"/>
      <c r="AZ243" s="559"/>
      <c r="BA243" s="559"/>
      <c r="BB243" s="207"/>
      <c r="BC243" s="562"/>
      <c r="BD243" s="559"/>
      <c r="BE243" s="207"/>
      <c r="BF243" s="559"/>
      <c r="BG243" s="559"/>
      <c r="BH243" s="207"/>
      <c r="BI243" s="559"/>
      <c r="BJ243" s="559"/>
      <c r="BK243" s="205"/>
      <c r="BL243" s="232"/>
      <c r="BN243" s="559"/>
      <c r="BO243" s="559"/>
      <c r="BP243" s="207"/>
      <c r="BQ243" s="562"/>
      <c r="BR243" s="559"/>
      <c r="BS243" s="207"/>
      <c r="BT243" s="559"/>
      <c r="BU243" s="559"/>
      <c r="BV243" s="207"/>
      <c r="BW243" s="559"/>
      <c r="BX243" s="559"/>
      <c r="BY243" s="205"/>
      <c r="BZ243" s="232"/>
      <c r="CB243" s="559"/>
      <c r="CC243" s="559"/>
      <c r="CD243" s="207"/>
      <c r="CE243" s="562"/>
      <c r="CF243" s="559"/>
      <c r="CG243" s="207"/>
      <c r="CH243" s="559"/>
      <c r="CI243" s="559"/>
      <c r="CJ243" s="207"/>
      <c r="CK243" s="559"/>
      <c r="CL243" s="559"/>
      <c r="CM243" s="205"/>
      <c r="CN243" s="232"/>
    </row>
    <row r="244" spans="2:92" ht="42.75" customHeight="1" x14ac:dyDescent="0.2">
      <c r="B244" s="1455"/>
      <c r="C244" s="1450"/>
      <c r="D244" s="305" t="s">
        <v>204</v>
      </c>
      <c r="E244" s="322" t="s">
        <v>1177</v>
      </c>
      <c r="F244" s="341" t="s">
        <v>336</v>
      </c>
      <c r="G244" s="322" t="str">
        <f>+'Plan de Accion apoyo transversa'!X18</f>
        <v>Reuniones de autocontrol y seguimiento a  los procesos que evidencien monitoreo a los riesgos, indicadores, planes de mejoramiento, manuales y documentos asociados</v>
      </c>
      <c r="H244" s="218" t="str">
        <f>+'Plan de Accion apoyo transversa'!AK18</f>
        <v># reuniones realizadas</v>
      </c>
      <c r="J244" s="221">
        <f>+'Plan de Accion apoyo transversa'!AT18</f>
        <v>0</v>
      </c>
      <c r="K244" s="483" t="str">
        <f>+'Plan de Accion apoyo transversa'!CE18</f>
        <v>No Prog ni Ejec</v>
      </c>
      <c r="L244" s="483" t="s">
        <v>204</v>
      </c>
      <c r="M244" s="483">
        <f>+'Plan de Accion apoyo transversa'!AX18</f>
        <v>0</v>
      </c>
      <c r="N244" s="483">
        <f t="shared" ref="N244:N307" si="243">IF(M244&gt;100%,100%,M244)</f>
        <v>0</v>
      </c>
      <c r="O244" s="485" t="s">
        <v>204</v>
      </c>
      <c r="P244" s="216"/>
      <c r="Q244" s="221">
        <f>+'Plan de Accion apoyo transversa'!BD18</f>
        <v>1</v>
      </c>
      <c r="R244" s="253">
        <f>+'Plan de Accion apoyo transversa'!CG18</f>
        <v>1</v>
      </c>
      <c r="S244" s="215">
        <f t="shared" si="231"/>
        <v>1</v>
      </c>
      <c r="T244" s="311">
        <f>+'Plan de Accion apoyo transversa'!BH18</f>
        <v>0.33333333333333331</v>
      </c>
      <c r="U244" s="311">
        <f t="shared" si="228"/>
        <v>0.33333333333333331</v>
      </c>
      <c r="V244" s="214">
        <f t="shared" si="232"/>
        <v>0.33333333333333331</v>
      </c>
      <c r="W244" s="216"/>
      <c r="X244" s="221">
        <f>+'Plan de Accion apoyo transversa'!BN18</f>
        <v>1</v>
      </c>
      <c r="Y244" s="253">
        <f>+'Plan de Accion apoyo transversa'!CI18</f>
        <v>1</v>
      </c>
      <c r="Z244" s="215">
        <f t="shared" si="233"/>
        <v>1</v>
      </c>
      <c r="AA244" s="220">
        <f>+'Plan de Accion apoyo transversa'!BR18</f>
        <v>0.66666666666666663</v>
      </c>
      <c r="AB244" s="220">
        <f t="shared" si="229"/>
        <v>0.66666666666666663</v>
      </c>
      <c r="AC244" s="219">
        <f t="shared" si="234"/>
        <v>0.66666666666666663</v>
      </c>
      <c r="AD244" s="216"/>
      <c r="AE244" s="221">
        <f>+'Plan de Accion apoyo transversa'!BX18</f>
        <v>0</v>
      </c>
      <c r="AF244" s="253">
        <f>+'Plan de Accion apoyo transversa'!CK18</f>
        <v>0</v>
      </c>
      <c r="AG244" s="215">
        <f t="shared" si="235"/>
        <v>0</v>
      </c>
      <c r="AH244" s="253">
        <f>+'Plan de Accion apoyo transversa'!CB18</f>
        <v>0.66666666666666663</v>
      </c>
      <c r="AI244" s="214">
        <f t="shared" si="230"/>
        <v>0.66666666666666663</v>
      </c>
      <c r="AJ244" s="213"/>
      <c r="AL244" s="1410"/>
      <c r="AM244" s="1409"/>
      <c r="AN244" s="207"/>
      <c r="AO244" s="1439"/>
      <c r="AP244" s="1409"/>
      <c r="AQ244" s="207"/>
      <c r="AR244" s="1410"/>
      <c r="AS244" s="1409"/>
      <c r="AT244" s="207"/>
      <c r="AU244" s="1410"/>
      <c r="AV244" s="1409"/>
      <c r="AW244" s="205"/>
      <c r="AX244" s="209"/>
      <c r="AZ244" s="1410"/>
      <c r="BA244" s="1409"/>
      <c r="BB244" s="207"/>
      <c r="BC244" s="1439"/>
      <c r="BD244" s="1409"/>
      <c r="BE244" s="207"/>
      <c r="BF244" s="1410"/>
      <c r="BG244" s="1409"/>
      <c r="BH244" s="207"/>
      <c r="BI244" s="1410"/>
      <c r="BJ244" s="1409"/>
      <c r="BK244" s="205"/>
      <c r="BL244" s="209"/>
      <c r="BN244" s="1410"/>
      <c r="BO244" s="1409"/>
      <c r="BP244" s="207"/>
      <c r="BQ244" s="1439"/>
      <c r="BR244" s="1409"/>
      <c r="BS244" s="207"/>
      <c r="BT244" s="1410"/>
      <c r="BU244" s="1409"/>
      <c r="BV244" s="207"/>
      <c r="BW244" s="1410"/>
      <c r="BX244" s="1409"/>
      <c r="BY244" s="205"/>
      <c r="BZ244" s="209"/>
      <c r="CB244" s="1410"/>
      <c r="CC244" s="1409"/>
      <c r="CD244" s="207"/>
      <c r="CE244" s="1439"/>
      <c r="CF244" s="1409"/>
      <c r="CG244" s="207"/>
      <c r="CH244" s="1410"/>
      <c r="CI244" s="1409"/>
      <c r="CJ244" s="207"/>
      <c r="CK244" s="1410"/>
      <c r="CL244" s="1409"/>
      <c r="CM244" s="205"/>
      <c r="CN244" s="209"/>
    </row>
    <row r="245" spans="2:92" ht="99.75" x14ac:dyDescent="0.2">
      <c r="B245" s="1455"/>
      <c r="C245" s="1450"/>
      <c r="D245" s="305" t="s">
        <v>204</v>
      </c>
      <c r="E245" s="322" t="s">
        <v>1178</v>
      </c>
      <c r="F245" s="341" t="s">
        <v>330</v>
      </c>
      <c r="G245" s="322" t="str">
        <f>+'Plan de Accion apoyo transversa'!X17</f>
        <v>SARL, SARC y SARM implementados</v>
      </c>
      <c r="H245" s="218" t="str">
        <f>+'Plan de Accion apoyo transversa'!AK17</f>
        <v># Actividades ejecutadas / # actividades programadas</v>
      </c>
      <c r="J245" s="217">
        <f>+'Plan de Accion apoyo transversa'!AT17</f>
        <v>0</v>
      </c>
      <c r="K245" s="483" t="str">
        <f>+'Plan de Accion apoyo transversa'!CE17</f>
        <v>No Prog ni Ejec</v>
      </c>
      <c r="L245" s="483" t="s">
        <v>204</v>
      </c>
      <c r="M245" s="483">
        <f>+'Plan de Accion apoyo transversa'!AX17</f>
        <v>0</v>
      </c>
      <c r="N245" s="483">
        <f t="shared" si="243"/>
        <v>0</v>
      </c>
      <c r="O245" s="485" t="s">
        <v>204</v>
      </c>
      <c r="P245" s="216"/>
      <c r="Q245" s="217">
        <f>+'Plan de Accion apoyo transversa'!BD17</f>
        <v>0</v>
      </c>
      <c r="R245" s="253" t="str">
        <f>+'Plan de Accion apoyo transversa'!CG17</f>
        <v>No Prog ni Ejec</v>
      </c>
      <c r="S245" s="215" t="s">
        <v>204</v>
      </c>
      <c r="T245" s="311">
        <f>+'Plan de Accion apoyo transversa'!BH17</f>
        <v>0</v>
      </c>
      <c r="U245" s="311">
        <f t="shared" si="228"/>
        <v>0</v>
      </c>
      <c r="V245" s="214" t="s">
        <v>204</v>
      </c>
      <c r="W245" s="216"/>
      <c r="X245" s="217">
        <f>+'Plan de Accion apoyo transversa'!BN17</f>
        <v>0.5</v>
      </c>
      <c r="Y245" s="253">
        <f>+'Plan de Accion apoyo transversa'!CI17</f>
        <v>1</v>
      </c>
      <c r="Z245" s="215">
        <f t="shared" si="233"/>
        <v>1</v>
      </c>
      <c r="AA245" s="220">
        <f>+'Plan de Accion apoyo transversa'!BR17</f>
        <v>0.5</v>
      </c>
      <c r="AB245" s="220">
        <f t="shared" si="229"/>
        <v>0.5</v>
      </c>
      <c r="AC245" s="219">
        <f t="shared" si="234"/>
        <v>0.5</v>
      </c>
      <c r="AD245" s="216"/>
      <c r="AE245" s="217">
        <f>+'Plan de Accion apoyo transversa'!BX17</f>
        <v>0</v>
      </c>
      <c r="AF245" s="253">
        <f>+'Plan de Accion apoyo transversa'!CK17</f>
        <v>0</v>
      </c>
      <c r="AG245" s="215">
        <f t="shared" si="235"/>
        <v>0</v>
      </c>
      <c r="AH245" s="253">
        <f>+'Plan de Accion apoyo transversa'!CB17</f>
        <v>0.5</v>
      </c>
      <c r="AI245" s="214">
        <f t="shared" si="230"/>
        <v>0.5</v>
      </c>
      <c r="AJ245" s="213"/>
      <c r="AL245" s="1410"/>
      <c r="AM245" s="1410"/>
      <c r="AN245" s="207"/>
      <c r="AO245" s="1439"/>
      <c r="AP245" s="1410"/>
      <c r="AQ245" s="207"/>
      <c r="AR245" s="1410"/>
      <c r="AS245" s="1410"/>
      <c r="AT245" s="207"/>
      <c r="AU245" s="1410"/>
      <c r="AV245" s="1410"/>
      <c r="AW245" s="205"/>
      <c r="AX245" s="209"/>
      <c r="AZ245" s="1410"/>
      <c r="BA245" s="1410"/>
      <c r="BB245" s="207"/>
      <c r="BC245" s="1439"/>
      <c r="BD245" s="1410"/>
      <c r="BE245" s="207"/>
      <c r="BF245" s="1410"/>
      <c r="BG245" s="1410"/>
      <c r="BH245" s="207"/>
      <c r="BI245" s="1410"/>
      <c r="BJ245" s="1410"/>
      <c r="BK245" s="205"/>
      <c r="BL245" s="209"/>
      <c r="BN245" s="1410"/>
      <c r="BO245" s="1410"/>
      <c r="BP245" s="207"/>
      <c r="BQ245" s="1439"/>
      <c r="BR245" s="1410"/>
      <c r="BS245" s="207"/>
      <c r="BT245" s="1410"/>
      <c r="BU245" s="1410"/>
      <c r="BV245" s="207"/>
      <c r="BW245" s="1410"/>
      <c r="BX245" s="1410"/>
      <c r="BY245" s="205"/>
      <c r="BZ245" s="209"/>
      <c r="CB245" s="1410"/>
      <c r="CC245" s="1410"/>
      <c r="CD245" s="207"/>
      <c r="CE245" s="1439"/>
      <c r="CF245" s="1410"/>
      <c r="CG245" s="207"/>
      <c r="CH245" s="1410"/>
      <c r="CI245" s="1410"/>
      <c r="CJ245" s="207"/>
      <c r="CK245" s="1410"/>
      <c r="CL245" s="1410"/>
      <c r="CM245" s="205"/>
      <c r="CN245" s="209"/>
    </row>
    <row r="246" spans="2:92" ht="57.75" customHeight="1" thickBot="1" x14ac:dyDescent="0.25">
      <c r="B246" s="1455"/>
      <c r="C246" s="1450"/>
      <c r="D246" s="1316" t="s">
        <v>204</v>
      </c>
      <c r="E246" s="1319" t="s">
        <v>1179</v>
      </c>
      <c r="F246" s="680" t="s">
        <v>336</v>
      </c>
      <c r="G246" s="322" t="str">
        <f>+'Plan de Accion apoyo transversa'!X19</f>
        <v>SARLAFT implementado</v>
      </c>
      <c r="H246" s="218" t="str">
        <f>+'Plan de Accion apoyo transversa'!AK19</f>
        <v># Actividades ejecutadas / # actividades programadas</v>
      </c>
      <c r="J246" s="217">
        <f>+'Plan de Accion apoyo transversa'!AT19</f>
        <v>0.2</v>
      </c>
      <c r="K246" s="483">
        <f>+'Plan de Accion apoyo transversa'!CE19</f>
        <v>0.44444444444444448</v>
      </c>
      <c r="L246" s="483">
        <f>IF(K246&gt;100%,100%,K246)</f>
        <v>0.44444444444444448</v>
      </c>
      <c r="M246" s="483">
        <f>+'Plan de Accion apoyo transversa'!AX19</f>
        <v>0.2</v>
      </c>
      <c r="N246" s="483">
        <f t="shared" si="243"/>
        <v>0.2</v>
      </c>
      <c r="O246" s="485">
        <f>+N246</f>
        <v>0.2</v>
      </c>
      <c r="P246" s="216"/>
      <c r="Q246" s="217">
        <f>+'Plan de Accion apoyo transversa'!BD19</f>
        <v>0.25</v>
      </c>
      <c r="R246" s="253">
        <f>+'Plan de Accion apoyo transversa'!CG19</f>
        <v>1.25</v>
      </c>
      <c r="S246" s="215">
        <f t="shared" si="231"/>
        <v>1</v>
      </c>
      <c r="T246" s="311">
        <f>+'Plan de Accion apoyo transversa'!BH19</f>
        <v>0.45</v>
      </c>
      <c r="U246" s="311">
        <f t="shared" si="228"/>
        <v>0.45</v>
      </c>
      <c r="V246" s="214">
        <f t="shared" si="232"/>
        <v>0.45</v>
      </c>
      <c r="W246" s="216">
        <v>1</v>
      </c>
      <c r="X246" s="217">
        <f>+'Plan de Accion apoyo transversa'!BN19</f>
        <v>0.41777777777777775</v>
      </c>
      <c r="Y246" s="253">
        <f>+'Plan de Accion apoyo transversa'!CI19</f>
        <v>1.1936507936507936</v>
      </c>
      <c r="Z246" s="215">
        <f t="shared" si="233"/>
        <v>1</v>
      </c>
      <c r="AA246" s="220">
        <f>+'Plan de Accion apoyo transversa'!BR19</f>
        <v>0.86777777777777776</v>
      </c>
      <c r="AB246" s="220">
        <f t="shared" si="229"/>
        <v>0.86777777777777776</v>
      </c>
      <c r="AC246" s="219">
        <f t="shared" si="234"/>
        <v>0.86777777777777776</v>
      </c>
      <c r="AD246" s="216">
        <v>1</v>
      </c>
      <c r="AE246" s="217">
        <f>+'Plan de Accion apoyo transversa'!BX19</f>
        <v>0</v>
      </c>
      <c r="AF246" s="253" t="str">
        <f>+'Plan de Accion apoyo transversa'!CK19</f>
        <v>No Prog ni Ejec</v>
      </c>
      <c r="AG246" s="215" t="s">
        <v>204</v>
      </c>
      <c r="AH246" s="253">
        <f>+'Plan de Accion apoyo transversa'!CB19</f>
        <v>0.86777777777777776</v>
      </c>
      <c r="AI246" s="214">
        <f t="shared" si="230"/>
        <v>0.86777777777777776</v>
      </c>
      <c r="AJ246" s="229"/>
      <c r="AL246" s="1411"/>
      <c r="AM246" s="1411"/>
      <c r="AN246" s="207"/>
      <c r="AO246" s="1440"/>
      <c r="AP246" s="1411"/>
      <c r="AQ246" s="207"/>
      <c r="AR246" s="1411"/>
      <c r="AS246" s="1411"/>
      <c r="AT246" s="207"/>
      <c r="AU246" s="1411"/>
      <c r="AV246" s="1411"/>
      <c r="AW246" s="205"/>
      <c r="AX246" s="228"/>
      <c r="AZ246" s="1411"/>
      <c r="BA246" s="1411"/>
      <c r="BB246" s="207"/>
      <c r="BC246" s="1440"/>
      <c r="BD246" s="1411"/>
      <c r="BE246" s="207"/>
      <c r="BF246" s="1411"/>
      <c r="BG246" s="1411"/>
      <c r="BH246" s="207"/>
      <c r="BI246" s="1411"/>
      <c r="BJ246" s="1411"/>
      <c r="BK246" s="205"/>
      <c r="BL246" s="228"/>
      <c r="BN246" s="1411"/>
      <c r="BO246" s="1411"/>
      <c r="BP246" s="207"/>
      <c r="BQ246" s="1440"/>
      <c r="BR246" s="1411"/>
      <c r="BS246" s="207"/>
      <c r="BT246" s="1411"/>
      <c r="BU246" s="1411"/>
      <c r="BV246" s="207"/>
      <c r="BW246" s="1411"/>
      <c r="BX246" s="1411"/>
      <c r="BY246" s="205"/>
      <c r="BZ246" s="228"/>
      <c r="CB246" s="1411"/>
      <c r="CC246" s="1411"/>
      <c r="CD246" s="207"/>
      <c r="CE246" s="1440"/>
      <c r="CF246" s="1411"/>
      <c r="CG246" s="207"/>
      <c r="CH246" s="1411"/>
      <c r="CI246" s="1411"/>
      <c r="CJ246" s="207"/>
      <c r="CK246" s="1411"/>
      <c r="CL246" s="1411"/>
      <c r="CM246" s="205"/>
      <c r="CN246" s="228"/>
    </row>
    <row r="247" spans="2:92" ht="29.25" thickBot="1" x14ac:dyDescent="0.25">
      <c r="B247" s="1455"/>
      <c r="C247" s="1450"/>
      <c r="D247" s="1317"/>
      <c r="E247" s="1320"/>
      <c r="F247" s="1316" t="s">
        <v>330</v>
      </c>
      <c r="G247" s="322" t="str">
        <f>+'Plan de Accion apoyo transversa'!X20</f>
        <v>Plan de Continuidad del negocio implementado</v>
      </c>
      <c r="H247" s="218" t="str">
        <f>+'Plan de Accion apoyo transversa'!AK20</f>
        <v># Actividades ejecutadas / # actividades programadas</v>
      </c>
      <c r="J247" s="217">
        <f>+'Plan de Accion apoyo transversa'!AT20</f>
        <v>0</v>
      </c>
      <c r="K247" s="483">
        <f>+'Plan de Accion apoyo transversa'!CE20</f>
        <v>0</v>
      </c>
      <c r="L247" s="483">
        <f>IF(K247&gt;100%,100%,K247)</f>
        <v>0</v>
      </c>
      <c r="M247" s="483">
        <f>+'Plan de Accion apoyo transversa'!AX20</f>
        <v>0</v>
      </c>
      <c r="N247" s="483">
        <f t="shared" si="243"/>
        <v>0</v>
      </c>
      <c r="O247" s="485">
        <f>+N247</f>
        <v>0</v>
      </c>
      <c r="P247" s="216"/>
      <c r="Q247" s="217">
        <f>+'Plan de Accion apoyo transversa'!BD20</f>
        <v>0.5714285714285714</v>
      </c>
      <c r="R247" s="253">
        <f>+'Plan de Accion apoyo transversa'!CG20</f>
        <v>2.8571428571428568</v>
      </c>
      <c r="S247" s="215">
        <f t="shared" si="231"/>
        <v>1</v>
      </c>
      <c r="T247" s="311">
        <f>+'Plan de Accion apoyo transversa'!BH20</f>
        <v>0.5714285714285714</v>
      </c>
      <c r="U247" s="311">
        <f t="shared" si="228"/>
        <v>0.5714285714285714</v>
      </c>
      <c r="V247" s="214">
        <f t="shared" si="232"/>
        <v>0.5714285714285714</v>
      </c>
      <c r="W247" s="216">
        <v>1</v>
      </c>
      <c r="X247" s="217">
        <f>+'Plan de Accion apoyo transversa'!BN20</f>
        <v>0.42857142857142855</v>
      </c>
      <c r="Y247" s="253">
        <f>+'Plan de Accion apoyo transversa'!CI20</f>
        <v>1.2244897959183674</v>
      </c>
      <c r="Z247" s="215">
        <f t="shared" si="233"/>
        <v>1</v>
      </c>
      <c r="AA247" s="220">
        <f>+'Plan de Accion apoyo transversa'!BR20</f>
        <v>1</v>
      </c>
      <c r="AB247" s="220">
        <f t="shared" si="229"/>
        <v>1</v>
      </c>
      <c r="AC247" s="219">
        <f t="shared" si="234"/>
        <v>1</v>
      </c>
      <c r="AD247" s="216">
        <v>1</v>
      </c>
      <c r="AE247" s="217">
        <f>+'Plan de Accion apoyo transversa'!BX20</f>
        <v>0</v>
      </c>
      <c r="AF247" s="253" t="str">
        <f>+'Plan de Accion apoyo transversa'!CK20</f>
        <v>No Prog ni Ejec</v>
      </c>
      <c r="AG247" s="215" t="s">
        <v>204</v>
      </c>
      <c r="AH247" s="253">
        <f>+'Plan de Accion apoyo transversa'!CB20</f>
        <v>1</v>
      </c>
      <c r="AI247" s="214">
        <f t="shared" si="230"/>
        <v>1</v>
      </c>
      <c r="AJ247" s="224"/>
      <c r="AL247" s="226"/>
      <c r="AM247" s="225"/>
      <c r="AN247" s="207"/>
      <c r="AO247" s="226"/>
      <c r="AP247" s="225"/>
      <c r="AQ247" s="207"/>
      <c r="AR247" s="226"/>
      <c r="AS247" s="225"/>
      <c r="AT247" s="207"/>
      <c r="AU247" s="226"/>
      <c r="AV247" s="225"/>
      <c r="AW247" s="205"/>
      <c r="AX247" s="224"/>
      <c r="AZ247" s="226"/>
      <c r="BA247" s="225"/>
      <c r="BB247" s="207"/>
      <c r="BC247" s="226"/>
      <c r="BD247" s="225"/>
      <c r="BE247" s="207"/>
      <c r="BF247" s="226"/>
      <c r="BG247" s="225"/>
      <c r="BH247" s="207"/>
      <c r="BI247" s="226"/>
      <c r="BJ247" s="225"/>
      <c r="BK247" s="205"/>
      <c r="BL247" s="224"/>
      <c r="BN247" s="226"/>
      <c r="BO247" s="225"/>
      <c r="BP247" s="207"/>
      <c r="BQ247" s="226"/>
      <c r="BR247" s="225"/>
      <c r="BS247" s="207"/>
      <c r="BT247" s="226"/>
      <c r="BU247" s="225"/>
      <c r="BV247" s="207"/>
      <c r="BW247" s="226"/>
      <c r="BX247" s="225"/>
      <c r="BY247" s="205"/>
      <c r="BZ247" s="224"/>
      <c r="CB247" s="226"/>
      <c r="CC247" s="225"/>
      <c r="CD247" s="207"/>
      <c r="CE247" s="226"/>
      <c r="CF247" s="225"/>
      <c r="CG247" s="207"/>
      <c r="CH247" s="226"/>
      <c r="CI247" s="225"/>
      <c r="CJ247" s="207"/>
      <c r="CK247" s="226"/>
      <c r="CL247" s="225"/>
      <c r="CM247" s="205"/>
      <c r="CN247" s="224"/>
    </row>
    <row r="248" spans="2:92" ht="29.25" thickBot="1" x14ac:dyDescent="0.25">
      <c r="B248" s="1455"/>
      <c r="C248" s="1450"/>
      <c r="D248" s="1318"/>
      <c r="E248" s="1321"/>
      <c r="F248" s="1318"/>
      <c r="G248" s="322" t="str">
        <f>+'Plan de Accion apoyo transversa'!X21</f>
        <v>Plan estratégico cuatrienal aprobado</v>
      </c>
      <c r="H248" s="218" t="str">
        <f>+'Plan de Accion apoyo transversa'!AK21</f>
        <v># Planes estratégicos cuatrienales aprobados</v>
      </c>
      <c r="J248" s="221">
        <f>+'Plan de Accion apoyo transversa'!AT21</f>
        <v>0</v>
      </c>
      <c r="K248" s="483" t="str">
        <f>+'Plan de Accion apoyo transversa'!CE21</f>
        <v>No Prog ni Ejec</v>
      </c>
      <c r="L248" s="483" t="s">
        <v>204</v>
      </c>
      <c r="M248" s="483">
        <f>+'Plan de Accion apoyo transversa'!AX21</f>
        <v>0</v>
      </c>
      <c r="N248" s="483">
        <f t="shared" si="243"/>
        <v>0</v>
      </c>
      <c r="O248" s="485" t="s">
        <v>204</v>
      </c>
      <c r="P248" s="216"/>
      <c r="Q248" s="221">
        <f>+'Plan de Accion apoyo transversa'!BD21</f>
        <v>0</v>
      </c>
      <c r="R248" s="253" t="str">
        <f>+'Plan de Accion apoyo transversa'!CG21</f>
        <v>No Prog ni Ejec</v>
      </c>
      <c r="S248" s="215" t="s">
        <v>204</v>
      </c>
      <c r="T248" s="311">
        <f>+'Plan de Accion apoyo transversa'!BH21</f>
        <v>0</v>
      </c>
      <c r="U248" s="311">
        <f t="shared" si="228"/>
        <v>0</v>
      </c>
      <c r="V248" s="214" t="s">
        <v>204</v>
      </c>
      <c r="W248" s="216"/>
      <c r="X248" s="221">
        <f>+'Plan de Accion apoyo transversa'!BN21</f>
        <v>0</v>
      </c>
      <c r="Y248" s="253" t="str">
        <f>+'Plan de Accion apoyo transversa'!CI21</f>
        <v>No Prog ni Ejec</v>
      </c>
      <c r="Z248" s="215" t="s">
        <v>204</v>
      </c>
      <c r="AA248" s="220">
        <f>+'Plan de Accion apoyo transversa'!BR21</f>
        <v>0</v>
      </c>
      <c r="AB248" s="220">
        <f t="shared" si="229"/>
        <v>0</v>
      </c>
      <c r="AC248" s="219" t="s">
        <v>204</v>
      </c>
      <c r="AD248" s="216"/>
      <c r="AE248" s="221">
        <f>+'Plan de Accion apoyo transversa'!BX21</f>
        <v>0</v>
      </c>
      <c r="AF248" s="253">
        <f>+'Plan de Accion apoyo transversa'!CK21</f>
        <v>0</v>
      </c>
      <c r="AG248" s="215">
        <f>IF(AF248&gt;100%,100%,AF248)</f>
        <v>0</v>
      </c>
      <c r="AH248" s="253">
        <f>+'Plan de Accion apoyo transversa'!CB21</f>
        <v>0</v>
      </c>
      <c r="AI248" s="214">
        <f t="shared" si="230"/>
        <v>0</v>
      </c>
      <c r="AJ248" s="224"/>
      <c r="AL248" s="226"/>
      <c r="AM248" s="225"/>
      <c r="AN248" s="207"/>
      <c r="AO248" s="226"/>
      <c r="AP248" s="225"/>
      <c r="AQ248" s="207"/>
      <c r="AR248" s="226"/>
      <c r="AS248" s="225"/>
      <c r="AT248" s="207"/>
      <c r="AU248" s="226"/>
      <c r="AV248" s="225"/>
      <c r="AW248" s="205"/>
      <c r="AX248" s="224"/>
      <c r="AZ248" s="226"/>
      <c r="BA248" s="225"/>
      <c r="BB248" s="207"/>
      <c r="BC248" s="226"/>
      <c r="BD248" s="225"/>
      <c r="BE248" s="207"/>
      <c r="BF248" s="226"/>
      <c r="BG248" s="225"/>
      <c r="BH248" s="207"/>
      <c r="BI248" s="226"/>
      <c r="BJ248" s="225"/>
      <c r="BK248" s="205"/>
      <c r="BL248" s="224"/>
      <c r="BN248" s="226"/>
      <c r="BO248" s="225"/>
      <c r="BP248" s="207"/>
      <c r="BQ248" s="226"/>
      <c r="BR248" s="225"/>
      <c r="BS248" s="207"/>
      <c r="BT248" s="226"/>
      <c r="BU248" s="225"/>
      <c r="BV248" s="207"/>
      <c r="BW248" s="226"/>
      <c r="BX248" s="225"/>
      <c r="BY248" s="205"/>
      <c r="BZ248" s="224"/>
      <c r="CB248" s="226"/>
      <c r="CC248" s="225"/>
      <c r="CD248" s="207"/>
      <c r="CE248" s="226"/>
      <c r="CF248" s="225"/>
      <c r="CG248" s="207"/>
      <c r="CH248" s="226"/>
      <c r="CI248" s="225"/>
      <c r="CJ248" s="207"/>
      <c r="CK248" s="226"/>
      <c r="CL248" s="225"/>
      <c r="CM248" s="205"/>
      <c r="CN248" s="224"/>
    </row>
    <row r="249" spans="2:92" ht="100.5" thickBot="1" x14ac:dyDescent="0.25">
      <c r="B249" s="1455"/>
      <c r="C249" s="1450"/>
      <c r="D249" s="305" t="s">
        <v>204</v>
      </c>
      <c r="E249" s="322" t="s">
        <v>125</v>
      </c>
      <c r="F249" s="307" t="s">
        <v>336</v>
      </c>
      <c r="G249" s="322" t="str">
        <f>+'Plan de Accion apoyo transversa'!X42</f>
        <v>Reuniones de autocontrol y seguimiento a  los procesos que evidencien monitoreo a los riesgos, indicadores, planes de mejoramiento, manuales y documentos asociados</v>
      </c>
      <c r="H249" s="218" t="str">
        <f>+'Plan de Accion apoyo transversa'!AK42</f>
        <v># reuniones realizadas</v>
      </c>
      <c r="J249" s="221">
        <f>+'Plan de Accion apoyo transversa'!AT42</f>
        <v>0</v>
      </c>
      <c r="K249" s="483" t="str">
        <f>+'Plan de Accion apoyo transversa'!CE42</f>
        <v>No Prog ni Ejec</v>
      </c>
      <c r="L249" s="483" t="s">
        <v>204</v>
      </c>
      <c r="M249" s="483">
        <f>+'Plan de Accion apoyo transversa'!AX42</f>
        <v>0</v>
      </c>
      <c r="N249" s="483">
        <f t="shared" si="243"/>
        <v>0</v>
      </c>
      <c r="O249" s="485" t="s">
        <v>204</v>
      </c>
      <c r="P249" s="216"/>
      <c r="Q249" s="221">
        <f>+'Plan de Accion apoyo transversa'!BD42</f>
        <v>2</v>
      </c>
      <c r="R249" s="253">
        <f>+'Plan de Accion apoyo transversa'!CG42</f>
        <v>2</v>
      </c>
      <c r="S249" s="215">
        <f>IF(R249&gt;100%,100%,R249)</f>
        <v>1</v>
      </c>
      <c r="T249" s="311">
        <f>+'Plan de Accion apoyo transversa'!BH42</f>
        <v>0.66666666666666663</v>
      </c>
      <c r="U249" s="311">
        <f t="shared" si="228"/>
        <v>0.66666666666666663</v>
      </c>
      <c r="V249" s="214">
        <f>+U249</f>
        <v>0.66666666666666663</v>
      </c>
      <c r="W249" s="216">
        <v>1</v>
      </c>
      <c r="X249" s="221">
        <f>+'Plan de Accion apoyo transversa'!BN42</f>
        <v>1</v>
      </c>
      <c r="Y249" s="253">
        <f>+'Plan de Accion apoyo transversa'!CI42</f>
        <v>1</v>
      </c>
      <c r="Z249" s="215">
        <f>IF(Y249&gt;100%,100%,Y249)</f>
        <v>1</v>
      </c>
      <c r="AA249" s="220">
        <f>+'Plan de Accion apoyo transversa'!BR42</f>
        <v>1</v>
      </c>
      <c r="AB249" s="220">
        <f t="shared" si="229"/>
        <v>1</v>
      </c>
      <c r="AC249" s="219">
        <f>+AB249</f>
        <v>1</v>
      </c>
      <c r="AD249" s="216"/>
      <c r="AE249" s="221">
        <f>+'Plan de Accion apoyo transversa'!BX42</f>
        <v>0</v>
      </c>
      <c r="AF249" s="253">
        <f>+'Plan de Accion apoyo transversa'!CK42</f>
        <v>0</v>
      </c>
      <c r="AG249" s="215">
        <f>IF(AF249&gt;100%,100%,AF249)</f>
        <v>0</v>
      </c>
      <c r="AH249" s="253">
        <f>+'Plan de Accion apoyo transversa'!CB42</f>
        <v>1</v>
      </c>
      <c r="AI249" s="214">
        <f t="shared" si="230"/>
        <v>1</v>
      </c>
      <c r="AJ249" s="224"/>
      <c r="AL249" s="226"/>
      <c r="AM249" s="225"/>
      <c r="AN249" s="207"/>
      <c r="AO249" s="226"/>
      <c r="AP249" s="225"/>
      <c r="AQ249" s="207"/>
      <c r="AR249" s="226"/>
      <c r="AS249" s="225"/>
      <c r="AT249" s="207"/>
      <c r="AU249" s="226"/>
      <c r="AV249" s="225"/>
      <c r="AW249" s="205"/>
      <c r="AX249" s="224"/>
      <c r="AZ249" s="226"/>
      <c r="BA249" s="225"/>
      <c r="BB249" s="207"/>
      <c r="BC249" s="226"/>
      <c r="BD249" s="225"/>
      <c r="BE249" s="207"/>
      <c r="BF249" s="226"/>
      <c r="BG249" s="225"/>
      <c r="BH249" s="207"/>
      <c r="BI249" s="226"/>
      <c r="BJ249" s="225"/>
      <c r="BK249" s="205"/>
      <c r="BL249" s="224"/>
      <c r="BN249" s="226"/>
      <c r="BO249" s="225"/>
      <c r="BP249" s="207"/>
      <c r="BQ249" s="226"/>
      <c r="BR249" s="225"/>
      <c r="BS249" s="207"/>
      <c r="BT249" s="226"/>
      <c r="BU249" s="225"/>
      <c r="BV249" s="207"/>
      <c r="BW249" s="226"/>
      <c r="BX249" s="225"/>
      <c r="BY249" s="205"/>
      <c r="BZ249" s="224"/>
      <c r="CB249" s="226"/>
      <c r="CC249" s="225"/>
      <c r="CD249" s="207"/>
      <c r="CE249" s="226"/>
      <c r="CF249" s="225"/>
      <c r="CG249" s="207"/>
      <c r="CH249" s="226"/>
      <c r="CI249" s="225"/>
      <c r="CJ249" s="207"/>
      <c r="CK249" s="226"/>
      <c r="CL249" s="225"/>
      <c r="CM249" s="205"/>
      <c r="CN249" s="224"/>
    </row>
    <row r="250" spans="2:92" ht="29.25" thickBot="1" x14ac:dyDescent="0.25">
      <c r="B250" s="1455"/>
      <c r="C250" s="1450"/>
      <c r="D250" s="1316" t="s">
        <v>204</v>
      </c>
      <c r="E250" s="1319" t="s">
        <v>3</v>
      </c>
      <c r="F250" s="1355" t="s">
        <v>330</v>
      </c>
      <c r="G250" s="322" t="str">
        <f>+'Plan de Accion apoyo transversa'!X43</f>
        <v>Reporte Trimestral del Avance del Plan de Acción</v>
      </c>
      <c r="H250" s="218" t="str">
        <f>+'Plan de Accion apoyo transversa'!AK43</f>
        <v># Informes trimestrales reportados</v>
      </c>
      <c r="J250" s="221">
        <f>+'Plan de Accion apoyo transversa'!AT43</f>
        <v>1</v>
      </c>
      <c r="K250" s="483">
        <f>+'Plan de Accion apoyo transversa'!CE43</f>
        <v>1</v>
      </c>
      <c r="L250" s="483">
        <f>IF(K250&gt;100%,100%,K250)</f>
        <v>1</v>
      </c>
      <c r="M250" s="483">
        <f>+'Plan de Accion apoyo transversa'!AX43</f>
        <v>0.25</v>
      </c>
      <c r="N250" s="483">
        <f t="shared" si="243"/>
        <v>0.25</v>
      </c>
      <c r="O250" s="485">
        <f t="shared" ref="O250:O256" si="244">+N250</f>
        <v>0.25</v>
      </c>
      <c r="P250" s="216"/>
      <c r="Q250" s="221">
        <f>+'Plan de Accion apoyo transversa'!BD43</f>
        <v>1</v>
      </c>
      <c r="R250" s="253">
        <f>+'Plan de Accion apoyo transversa'!CG43</f>
        <v>1</v>
      </c>
      <c r="S250" s="215">
        <f t="shared" ref="S250:S259" si="245">IF(R250&gt;100%,100%,R250)</f>
        <v>1</v>
      </c>
      <c r="T250" s="311">
        <f>+'Plan de Accion apoyo transversa'!BH43</f>
        <v>0.5</v>
      </c>
      <c r="U250" s="311">
        <f t="shared" ref="U250:U261" si="246">IF(T250&gt;100%,100%,T250)</f>
        <v>0.5</v>
      </c>
      <c r="V250" s="214">
        <f t="shared" ref="V250:V261" si="247">+U250</f>
        <v>0.5</v>
      </c>
      <c r="W250" s="216"/>
      <c r="X250" s="221">
        <f>+'Plan de Accion apoyo transversa'!BN43</f>
        <v>1</v>
      </c>
      <c r="Y250" s="253">
        <f>+'Plan de Accion apoyo transversa'!CI43</f>
        <v>1</v>
      </c>
      <c r="Z250" s="215">
        <f t="shared" ref="Z250:Z260" si="248">IF(Y250&gt;100%,100%,Y250)</f>
        <v>1</v>
      </c>
      <c r="AA250" s="220">
        <f>+'Plan de Accion apoyo transversa'!BR43</f>
        <v>0.75</v>
      </c>
      <c r="AB250" s="220">
        <f t="shared" ref="AB250:AB261" si="249">IF(AA250&gt;100%,100%,AA250)</f>
        <v>0.75</v>
      </c>
      <c r="AC250" s="219">
        <f t="shared" ref="AC250:AC261" si="250">+AB250</f>
        <v>0.75</v>
      </c>
      <c r="AD250" s="216"/>
      <c r="AE250" s="221">
        <f>+'Plan de Accion apoyo transversa'!BX43</f>
        <v>0</v>
      </c>
      <c r="AF250" s="253">
        <f>+'Plan de Accion apoyo transversa'!CK43</f>
        <v>0</v>
      </c>
      <c r="AG250" s="215">
        <f t="shared" ref="AG250:AG256" si="251">IF(AF250&gt;100%,100%,AF250)</f>
        <v>0</v>
      </c>
      <c r="AH250" s="253">
        <f>+'Plan de Accion apoyo transversa'!CB43</f>
        <v>0.75</v>
      </c>
      <c r="AI250" s="214">
        <f t="shared" ref="AI250:AI261" si="252">IF(AH250&gt;100%,100%,AH250)</f>
        <v>0.75</v>
      </c>
      <c r="AJ250" s="224"/>
      <c r="AL250" s="226"/>
      <c r="AM250" s="225"/>
      <c r="AN250" s="207"/>
      <c r="AO250" s="226"/>
      <c r="AP250" s="225"/>
      <c r="AQ250" s="207"/>
      <c r="AR250" s="226"/>
      <c r="AS250" s="225"/>
      <c r="AT250" s="207"/>
      <c r="AU250" s="226"/>
      <c r="AV250" s="225"/>
      <c r="AW250" s="205"/>
      <c r="AX250" s="224"/>
      <c r="AZ250" s="226"/>
      <c r="BA250" s="225"/>
      <c r="BB250" s="207"/>
      <c r="BC250" s="226"/>
      <c r="BD250" s="225"/>
      <c r="BE250" s="207"/>
      <c r="BF250" s="226"/>
      <c r="BG250" s="225"/>
      <c r="BH250" s="207"/>
      <c r="BI250" s="226"/>
      <c r="BJ250" s="225"/>
      <c r="BK250" s="205"/>
      <c r="BL250" s="224"/>
      <c r="BN250" s="226"/>
      <c r="BO250" s="225"/>
      <c r="BP250" s="207"/>
      <c r="BQ250" s="226"/>
      <c r="BR250" s="225"/>
      <c r="BS250" s="207"/>
      <c r="BT250" s="226"/>
      <c r="BU250" s="225"/>
      <c r="BV250" s="207"/>
      <c r="BW250" s="226"/>
      <c r="BX250" s="225"/>
      <c r="BY250" s="205"/>
      <c r="BZ250" s="224"/>
      <c r="CB250" s="226"/>
      <c r="CC250" s="225"/>
      <c r="CD250" s="207"/>
      <c r="CE250" s="226"/>
      <c r="CF250" s="225"/>
      <c r="CG250" s="207"/>
      <c r="CH250" s="226"/>
      <c r="CI250" s="225"/>
      <c r="CJ250" s="207"/>
      <c r="CK250" s="226"/>
      <c r="CL250" s="225"/>
      <c r="CM250" s="205"/>
      <c r="CN250" s="224"/>
    </row>
    <row r="251" spans="2:92" ht="86.25" thickBot="1" x14ac:dyDescent="0.25">
      <c r="B251" s="1455"/>
      <c r="C251" s="1450"/>
      <c r="D251" s="1317"/>
      <c r="E251" s="1320"/>
      <c r="F251" s="1355"/>
      <c r="G251" s="322" t="str">
        <f>+'Plan de Accion apoyo transversa'!X44</f>
        <v>Evaluar cumplimiento a los seguimientos y  evaluaciones al control interno, contemplados en el Plan Anual de Auditorías</v>
      </c>
      <c r="H251" s="218" t="str">
        <f>+'Plan de Accion apoyo transversa'!AK44</f>
        <v># de seguimientos y evaluaciones de control interno realizadas en el trimestre 
Indicador Variable acumulado y de eficacia</v>
      </c>
      <c r="J251" s="221">
        <f>+'Plan de Accion apoyo transversa'!AT44</f>
        <v>0</v>
      </c>
      <c r="K251" s="483">
        <f>+'Plan de Accion apoyo transversa'!CE44</f>
        <v>0</v>
      </c>
      <c r="L251" s="483">
        <f>IF(K251&gt;100%,100%,K251)</f>
        <v>0</v>
      </c>
      <c r="M251" s="483">
        <f>+'Plan de Accion apoyo transversa'!AX44</f>
        <v>0</v>
      </c>
      <c r="N251" s="483">
        <f t="shared" si="243"/>
        <v>0</v>
      </c>
      <c r="O251" s="485">
        <f t="shared" si="244"/>
        <v>0</v>
      </c>
      <c r="P251" s="216"/>
      <c r="Q251" s="221">
        <f>+'Plan de Accion apoyo transversa'!BD44</f>
        <v>2</v>
      </c>
      <c r="R251" s="253">
        <f>+'Plan de Accion apoyo transversa'!CG44</f>
        <v>1</v>
      </c>
      <c r="S251" s="215">
        <f t="shared" si="245"/>
        <v>1</v>
      </c>
      <c r="T251" s="311">
        <f>+'Plan de Accion apoyo transversa'!BH44</f>
        <v>0.15384615384615385</v>
      </c>
      <c r="U251" s="311">
        <f t="shared" si="246"/>
        <v>0.15384615384615385</v>
      </c>
      <c r="V251" s="214">
        <f t="shared" si="247"/>
        <v>0.15384615384615385</v>
      </c>
      <c r="W251" s="216"/>
      <c r="X251" s="221">
        <f>+'Plan de Accion apoyo transversa'!BN44</f>
        <v>4</v>
      </c>
      <c r="Y251" s="253">
        <f>+'Plan de Accion apoyo transversa'!CI44</f>
        <v>1</v>
      </c>
      <c r="Z251" s="215">
        <f t="shared" si="248"/>
        <v>1</v>
      </c>
      <c r="AA251" s="220">
        <f>+'Plan de Accion apoyo transversa'!BR44</f>
        <v>0.46153846153846156</v>
      </c>
      <c r="AB251" s="220">
        <f t="shared" si="249"/>
        <v>0.46153846153846156</v>
      </c>
      <c r="AC251" s="219">
        <f t="shared" si="250"/>
        <v>0.46153846153846156</v>
      </c>
      <c r="AD251" s="216"/>
      <c r="AE251" s="221">
        <f>+'Plan de Accion apoyo transversa'!BX44</f>
        <v>0</v>
      </c>
      <c r="AF251" s="253">
        <f>+'Plan de Accion apoyo transversa'!CK44</f>
        <v>0</v>
      </c>
      <c r="AG251" s="215">
        <f t="shared" si="251"/>
        <v>0</v>
      </c>
      <c r="AH251" s="253">
        <f>+'Plan de Accion apoyo transversa'!CB44</f>
        <v>0.46153846153846156</v>
      </c>
      <c r="AI251" s="214">
        <f t="shared" si="252"/>
        <v>0.46153846153846156</v>
      </c>
      <c r="AJ251" s="224"/>
      <c r="AL251" s="226"/>
      <c r="AM251" s="225"/>
      <c r="AN251" s="207"/>
      <c r="AO251" s="226"/>
      <c r="AP251" s="225"/>
      <c r="AQ251" s="207"/>
      <c r="AR251" s="226"/>
      <c r="AS251" s="225"/>
      <c r="AT251" s="207"/>
      <c r="AU251" s="226"/>
      <c r="AV251" s="225"/>
      <c r="AW251" s="205"/>
      <c r="AX251" s="224"/>
      <c r="AZ251" s="226"/>
      <c r="BA251" s="225"/>
      <c r="BB251" s="207"/>
      <c r="BC251" s="226"/>
      <c r="BD251" s="225"/>
      <c r="BE251" s="207"/>
      <c r="BF251" s="226"/>
      <c r="BG251" s="225"/>
      <c r="BH251" s="207"/>
      <c r="BI251" s="226"/>
      <c r="BJ251" s="225"/>
      <c r="BK251" s="205"/>
      <c r="BL251" s="224"/>
      <c r="BN251" s="226"/>
      <c r="BO251" s="225"/>
      <c r="BP251" s="207"/>
      <c r="BQ251" s="226"/>
      <c r="BR251" s="225"/>
      <c r="BS251" s="207"/>
      <c r="BT251" s="226"/>
      <c r="BU251" s="225"/>
      <c r="BV251" s="207"/>
      <c r="BW251" s="226"/>
      <c r="BX251" s="225"/>
      <c r="BY251" s="205"/>
      <c r="BZ251" s="224"/>
      <c r="CB251" s="226"/>
      <c r="CC251" s="225"/>
      <c r="CD251" s="207"/>
      <c r="CE251" s="226"/>
      <c r="CF251" s="225"/>
      <c r="CG251" s="207"/>
      <c r="CH251" s="226"/>
      <c r="CI251" s="225"/>
      <c r="CJ251" s="207"/>
      <c r="CK251" s="226"/>
      <c r="CL251" s="225"/>
      <c r="CM251" s="205"/>
      <c r="CN251" s="224"/>
    </row>
    <row r="252" spans="2:92" ht="72" thickBot="1" x14ac:dyDescent="0.25">
      <c r="B252" s="1455"/>
      <c r="C252" s="1450"/>
      <c r="D252" s="1317"/>
      <c r="E252" s="1320"/>
      <c r="F252" s="1355"/>
      <c r="G252" s="322" t="str">
        <f>+'Plan de Accion apoyo transversa'!X45</f>
        <v>Entrega de Informes de Evaluación y Seguimiento de los Requerimientos Legales Internos en el marco de la normatividad vigente</v>
      </c>
      <c r="H252" s="218" t="str">
        <f>+'Plan de Accion apoyo transversa'!AK45</f>
        <v># de Informes Legales Internos presentados en cada trimestre Indicador Variable acumulado y de eficacia</v>
      </c>
      <c r="J252" s="221">
        <f>+'Plan de Accion apoyo transversa'!AT45</f>
        <v>5</v>
      </c>
      <c r="K252" s="483">
        <f>+'Plan de Accion apoyo transversa'!CE45</f>
        <v>1</v>
      </c>
      <c r="L252" s="483">
        <f>IF(K252&gt;100%,100%,K252)</f>
        <v>1</v>
      </c>
      <c r="M252" s="483">
        <f>+'Plan de Accion apoyo transversa'!AX45</f>
        <v>0.25</v>
      </c>
      <c r="N252" s="483">
        <f t="shared" si="243"/>
        <v>0.25</v>
      </c>
      <c r="O252" s="485">
        <f t="shared" si="244"/>
        <v>0.25</v>
      </c>
      <c r="P252" s="216"/>
      <c r="Q252" s="221">
        <f>+'Plan de Accion apoyo transversa'!BD45</f>
        <v>6</v>
      </c>
      <c r="R252" s="253">
        <f>+'Plan de Accion apoyo transversa'!CG45</f>
        <v>1</v>
      </c>
      <c r="S252" s="215">
        <f t="shared" si="245"/>
        <v>1</v>
      </c>
      <c r="T252" s="311">
        <f>+'Plan de Accion apoyo transversa'!BH45</f>
        <v>0.55000000000000004</v>
      </c>
      <c r="U252" s="311">
        <f t="shared" si="246"/>
        <v>0.55000000000000004</v>
      </c>
      <c r="V252" s="214">
        <f t="shared" si="247"/>
        <v>0.55000000000000004</v>
      </c>
      <c r="W252" s="216"/>
      <c r="X252" s="221">
        <f>+'Plan de Accion apoyo transversa'!BN45</f>
        <v>5</v>
      </c>
      <c r="Y252" s="253">
        <f>+'Plan de Accion apoyo transversa'!CI45</f>
        <v>1</v>
      </c>
      <c r="Z252" s="215">
        <f t="shared" si="248"/>
        <v>1</v>
      </c>
      <c r="AA252" s="220">
        <f>+'Plan de Accion apoyo transversa'!BR45</f>
        <v>0.8</v>
      </c>
      <c r="AB252" s="220">
        <f t="shared" si="249"/>
        <v>0.8</v>
      </c>
      <c r="AC252" s="219">
        <f t="shared" si="250"/>
        <v>0.8</v>
      </c>
      <c r="AD252" s="216"/>
      <c r="AE252" s="221">
        <f>+'Plan de Accion apoyo transversa'!BX45</f>
        <v>0</v>
      </c>
      <c r="AF252" s="253">
        <f>+'Plan de Accion apoyo transversa'!CK45</f>
        <v>0</v>
      </c>
      <c r="AG252" s="215">
        <f t="shared" si="251"/>
        <v>0</v>
      </c>
      <c r="AH252" s="253">
        <f>+'Plan de Accion apoyo transversa'!CB45</f>
        <v>0.8</v>
      </c>
      <c r="AI252" s="214">
        <f t="shared" si="252"/>
        <v>0.8</v>
      </c>
      <c r="AJ252" s="224"/>
      <c r="AL252" s="226"/>
      <c r="AM252" s="225"/>
      <c r="AN252" s="207"/>
      <c r="AO252" s="226"/>
      <c r="AP252" s="225"/>
      <c r="AQ252" s="207"/>
      <c r="AR252" s="226"/>
      <c r="AS252" s="225"/>
      <c r="AT252" s="207"/>
      <c r="AU252" s="226"/>
      <c r="AV252" s="225"/>
      <c r="AW252" s="205"/>
      <c r="AX252" s="224"/>
      <c r="AZ252" s="226"/>
      <c r="BA252" s="225"/>
      <c r="BB252" s="207"/>
      <c r="BC252" s="226"/>
      <c r="BD252" s="225"/>
      <c r="BE252" s="207"/>
      <c r="BF252" s="226"/>
      <c r="BG252" s="225"/>
      <c r="BH252" s="207"/>
      <c r="BI252" s="226"/>
      <c r="BJ252" s="225"/>
      <c r="BK252" s="205"/>
      <c r="BL252" s="224"/>
      <c r="BN252" s="226"/>
      <c r="BO252" s="225"/>
      <c r="BP252" s="207"/>
      <c r="BQ252" s="226"/>
      <c r="BR252" s="225"/>
      <c r="BS252" s="207"/>
      <c r="BT252" s="226"/>
      <c r="BU252" s="225"/>
      <c r="BV252" s="207"/>
      <c r="BW252" s="226"/>
      <c r="BX252" s="225"/>
      <c r="BY252" s="205"/>
      <c r="BZ252" s="224"/>
      <c r="CB252" s="226"/>
      <c r="CC252" s="225"/>
      <c r="CD252" s="207"/>
      <c r="CE252" s="226"/>
      <c r="CF252" s="225"/>
      <c r="CG252" s="207"/>
      <c r="CH252" s="226"/>
      <c r="CI252" s="225"/>
      <c r="CJ252" s="207"/>
      <c r="CK252" s="226"/>
      <c r="CL252" s="225"/>
      <c r="CM252" s="205"/>
      <c r="CN252" s="224"/>
    </row>
    <row r="253" spans="2:92" ht="57.75" thickBot="1" x14ac:dyDescent="0.25">
      <c r="B253" s="1455"/>
      <c r="C253" s="1450"/>
      <c r="D253" s="1317"/>
      <c r="E253" s="1320"/>
      <c r="F253" s="1355"/>
      <c r="G253" s="322" t="str">
        <f>+'Plan de Accion apoyo transversa'!X47</f>
        <v>Seguimientos al Plan de Mejoramiento suscrito con la CGR</v>
      </c>
      <c r="H253" s="218" t="str">
        <f>+'Plan de Accion apoyo transversa'!AK47</f>
        <v># de seguimientos realizados según normatividad vigente
Indicador acumulado y de eficacia</v>
      </c>
      <c r="J253" s="221">
        <f>+'Plan de Accion apoyo transversa'!AT47</f>
        <v>1</v>
      </c>
      <c r="K253" s="483">
        <f>+'Plan de Accion apoyo transversa'!CE47</f>
        <v>1</v>
      </c>
      <c r="L253" s="483">
        <f>IF(K253&gt;100%,100%,K253)</f>
        <v>1</v>
      </c>
      <c r="M253" s="483">
        <f>+'Plan de Accion apoyo transversa'!AX47</f>
        <v>0.5</v>
      </c>
      <c r="N253" s="483">
        <f t="shared" si="243"/>
        <v>0.5</v>
      </c>
      <c r="O253" s="485">
        <f t="shared" si="244"/>
        <v>0.5</v>
      </c>
      <c r="P253" s="216"/>
      <c r="Q253" s="221">
        <f>+'Plan de Accion apoyo transversa'!BD47</f>
        <v>0</v>
      </c>
      <c r="R253" s="253" t="str">
        <f>+'Plan de Accion apoyo transversa'!CG47</f>
        <v>No Prog ni Ejec</v>
      </c>
      <c r="S253" s="215" t="s">
        <v>204</v>
      </c>
      <c r="T253" s="311">
        <f>+'Plan de Accion apoyo transversa'!BH47</f>
        <v>0.5</v>
      </c>
      <c r="U253" s="311">
        <f t="shared" si="246"/>
        <v>0.5</v>
      </c>
      <c r="V253" s="214">
        <f t="shared" si="247"/>
        <v>0.5</v>
      </c>
      <c r="W253" s="216"/>
      <c r="X253" s="221">
        <f>+'Plan de Accion apoyo transversa'!BN47</f>
        <v>1</v>
      </c>
      <c r="Y253" s="253">
        <f>+'Plan de Accion apoyo transversa'!CI47</f>
        <v>1</v>
      </c>
      <c r="Z253" s="215">
        <f t="shared" si="248"/>
        <v>1</v>
      </c>
      <c r="AA253" s="220">
        <f>+'Plan de Accion apoyo transversa'!BR47</f>
        <v>1</v>
      </c>
      <c r="AB253" s="220">
        <f t="shared" si="249"/>
        <v>1</v>
      </c>
      <c r="AC253" s="219">
        <f t="shared" si="250"/>
        <v>1</v>
      </c>
      <c r="AD253" s="216"/>
      <c r="AE253" s="221">
        <f>+'Plan de Accion apoyo transversa'!BX47</f>
        <v>0</v>
      </c>
      <c r="AF253" s="253" t="str">
        <f>+'Plan de Accion apoyo transversa'!CK47</f>
        <v>No Prog ni Ejec</v>
      </c>
      <c r="AG253" s="215" t="s">
        <v>204</v>
      </c>
      <c r="AH253" s="253">
        <f>+'Plan de Accion apoyo transversa'!CB47</f>
        <v>1</v>
      </c>
      <c r="AI253" s="214">
        <f t="shared" si="252"/>
        <v>1</v>
      </c>
      <c r="AJ253" s="224"/>
      <c r="AL253" s="226"/>
      <c r="AM253" s="225"/>
      <c r="AN253" s="207"/>
      <c r="AO253" s="226"/>
      <c r="AP253" s="225"/>
      <c r="AQ253" s="207"/>
      <c r="AR253" s="226"/>
      <c r="AS253" s="225"/>
      <c r="AT253" s="207"/>
      <c r="AU253" s="226"/>
      <c r="AV253" s="225"/>
      <c r="AW253" s="205"/>
      <c r="AX253" s="224"/>
      <c r="AZ253" s="226"/>
      <c r="BA253" s="225"/>
      <c r="BB253" s="207"/>
      <c r="BC253" s="226"/>
      <c r="BD253" s="225"/>
      <c r="BE253" s="207"/>
      <c r="BF253" s="226"/>
      <c r="BG253" s="225"/>
      <c r="BH253" s="207"/>
      <c r="BI253" s="226"/>
      <c r="BJ253" s="225"/>
      <c r="BK253" s="205"/>
      <c r="BL253" s="224"/>
      <c r="BN253" s="226"/>
      <c r="BO253" s="225"/>
      <c r="BP253" s="207"/>
      <c r="BQ253" s="226"/>
      <c r="BR253" s="225"/>
      <c r="BS253" s="207"/>
      <c r="BT253" s="226"/>
      <c r="BU253" s="225"/>
      <c r="BV253" s="207"/>
      <c r="BW253" s="226"/>
      <c r="BX253" s="225"/>
      <c r="BY253" s="205"/>
      <c r="BZ253" s="224"/>
      <c r="CB253" s="226"/>
      <c r="CC253" s="225"/>
      <c r="CD253" s="207"/>
      <c r="CE253" s="226"/>
      <c r="CF253" s="225"/>
      <c r="CG253" s="207"/>
      <c r="CH253" s="226"/>
      <c r="CI253" s="225"/>
      <c r="CJ253" s="207"/>
      <c r="CK253" s="226"/>
      <c r="CL253" s="225"/>
      <c r="CM253" s="205"/>
      <c r="CN253" s="224"/>
    </row>
    <row r="254" spans="2:92" ht="100.5" thickBot="1" x14ac:dyDescent="0.25">
      <c r="B254" s="1455"/>
      <c r="C254" s="1450"/>
      <c r="D254" s="1317"/>
      <c r="E254" s="1320"/>
      <c r="F254" s="1316" t="s">
        <v>336</v>
      </c>
      <c r="G254" s="322" t="str">
        <f>+'Plan de Accion apoyo transversa'!X49</f>
        <v>Reuniones de autocontrol y seguimiento a  los procesos que evidencien monitoreo a los riesgos, indicadores, planes de mejoramiento, manuales y documentos asociados</v>
      </c>
      <c r="H254" s="218" t="str">
        <f>+'Plan de Accion apoyo transversa'!AK49</f>
        <v># reuniones realizadas</v>
      </c>
      <c r="J254" s="221">
        <f>+'Plan de Accion apoyo transversa'!AT49</f>
        <v>0</v>
      </c>
      <c r="K254" s="483" t="str">
        <f>+'Plan de Accion apoyo transversa'!CE49</f>
        <v>No Prog ni Ejec</v>
      </c>
      <c r="L254" s="483" t="s">
        <v>204</v>
      </c>
      <c r="M254" s="483">
        <f>+'Plan de Accion apoyo transversa'!AX49</f>
        <v>0</v>
      </c>
      <c r="N254" s="483">
        <f t="shared" si="243"/>
        <v>0</v>
      </c>
      <c r="O254" s="485" t="s">
        <v>204</v>
      </c>
      <c r="P254" s="216"/>
      <c r="Q254" s="221">
        <f>+'Plan de Accion apoyo transversa'!BD49</f>
        <v>1</v>
      </c>
      <c r="R254" s="253">
        <f>+'Plan de Accion apoyo transversa'!CG49</f>
        <v>1</v>
      </c>
      <c r="S254" s="215">
        <f t="shared" si="245"/>
        <v>1</v>
      </c>
      <c r="T254" s="311">
        <f>+'Plan de Accion apoyo transversa'!BH49</f>
        <v>0.33333333333333331</v>
      </c>
      <c r="U254" s="311">
        <f t="shared" si="246"/>
        <v>0.33333333333333331</v>
      </c>
      <c r="V254" s="214">
        <f t="shared" si="247"/>
        <v>0.33333333333333331</v>
      </c>
      <c r="W254" s="216"/>
      <c r="X254" s="221">
        <f>+'Plan de Accion apoyo transversa'!BN49</f>
        <v>1</v>
      </c>
      <c r="Y254" s="253">
        <f>+'Plan de Accion apoyo transversa'!CI49</f>
        <v>1</v>
      </c>
      <c r="Z254" s="215">
        <f t="shared" si="248"/>
        <v>1</v>
      </c>
      <c r="AA254" s="220">
        <f>+'Plan de Accion apoyo transversa'!BR49</f>
        <v>0.66666666666666663</v>
      </c>
      <c r="AB254" s="220">
        <f t="shared" si="249"/>
        <v>0.66666666666666663</v>
      </c>
      <c r="AC254" s="219">
        <f t="shared" si="250"/>
        <v>0.66666666666666663</v>
      </c>
      <c r="AD254" s="216"/>
      <c r="AE254" s="221">
        <f>+'Plan de Accion apoyo transversa'!BX49</f>
        <v>0</v>
      </c>
      <c r="AF254" s="253">
        <f>+'Plan de Accion apoyo transversa'!CK49</f>
        <v>0</v>
      </c>
      <c r="AG254" s="215">
        <f t="shared" si="251"/>
        <v>0</v>
      </c>
      <c r="AH254" s="253">
        <f>+'Plan de Accion apoyo transversa'!CB49</f>
        <v>0.66666666666666663</v>
      </c>
      <c r="AI254" s="214">
        <f t="shared" si="252"/>
        <v>0.66666666666666663</v>
      </c>
      <c r="AJ254" s="224"/>
      <c r="AL254" s="226"/>
      <c r="AM254" s="225"/>
      <c r="AN254" s="207"/>
      <c r="AO254" s="226"/>
      <c r="AP254" s="225"/>
      <c r="AQ254" s="207"/>
      <c r="AR254" s="226"/>
      <c r="AS254" s="225"/>
      <c r="AT254" s="207"/>
      <c r="AU254" s="226"/>
      <c r="AV254" s="225"/>
      <c r="AW254" s="205"/>
      <c r="AX254" s="224"/>
      <c r="AZ254" s="226"/>
      <c r="BA254" s="225"/>
      <c r="BB254" s="207"/>
      <c r="BC254" s="226"/>
      <c r="BD254" s="225"/>
      <c r="BE254" s="207"/>
      <c r="BF254" s="226"/>
      <c r="BG254" s="225"/>
      <c r="BH254" s="207"/>
      <c r="BI254" s="226"/>
      <c r="BJ254" s="225"/>
      <c r="BK254" s="205"/>
      <c r="BL254" s="224"/>
      <c r="BN254" s="226"/>
      <c r="BO254" s="225"/>
      <c r="BP254" s="207"/>
      <c r="BQ254" s="226"/>
      <c r="BR254" s="225"/>
      <c r="BS254" s="207"/>
      <c r="BT254" s="226"/>
      <c r="BU254" s="225"/>
      <c r="BV254" s="207"/>
      <c r="BW254" s="226"/>
      <c r="BX254" s="225"/>
      <c r="BY254" s="205"/>
      <c r="BZ254" s="224"/>
      <c r="CB254" s="226"/>
      <c r="CC254" s="225"/>
      <c r="CD254" s="207"/>
      <c r="CE254" s="226"/>
      <c r="CF254" s="225"/>
      <c r="CG254" s="207"/>
      <c r="CH254" s="226"/>
      <c r="CI254" s="225"/>
      <c r="CJ254" s="207"/>
      <c r="CK254" s="226"/>
      <c r="CL254" s="225"/>
      <c r="CM254" s="205"/>
      <c r="CN254" s="224"/>
    </row>
    <row r="255" spans="2:92" ht="57.75" thickBot="1" x14ac:dyDescent="0.25">
      <c r="B255" s="1455"/>
      <c r="C255" s="1450"/>
      <c r="D255" s="1318"/>
      <c r="E255" s="1321"/>
      <c r="F255" s="1318"/>
      <c r="G255" s="322" t="str">
        <f>+'Plan de Accion apoyo transversa'!X164</f>
        <v>Informes de seguimiento a los Mapas de Riesgos con corte 30 de abril, 31 de agosto y 31 de diciembre</v>
      </c>
      <c r="H255" s="218" t="str">
        <f>+'Plan de Accion apoyo transversa'!AK164</f>
        <v># Informes de seguimiento a los Mapas de Riesgos</v>
      </c>
      <c r="J255" s="221">
        <f>+'Plan de Accion apoyo transversa'!AT164</f>
        <v>1</v>
      </c>
      <c r="K255" s="483">
        <f>+'Plan de Accion apoyo transversa'!CE164</f>
        <v>1</v>
      </c>
      <c r="L255" s="483">
        <f>IF(K255&gt;100%,100%,K255)</f>
        <v>1</v>
      </c>
      <c r="M255" s="483">
        <f>+'Plan de Accion apoyo transversa'!AX164</f>
        <v>0.33333333333333331</v>
      </c>
      <c r="N255" s="483">
        <f t="shared" si="243"/>
        <v>0.33333333333333331</v>
      </c>
      <c r="O255" s="485">
        <f t="shared" si="244"/>
        <v>0.33333333333333331</v>
      </c>
      <c r="P255" s="216"/>
      <c r="Q255" s="221">
        <f>+'Plan de Accion apoyo transversa'!BD164</f>
        <v>1</v>
      </c>
      <c r="R255" s="253">
        <f>+'Plan de Accion apoyo transversa'!CG164</f>
        <v>1</v>
      </c>
      <c r="S255" s="215">
        <f>IF(R255&gt;100%,100%,R255)</f>
        <v>1</v>
      </c>
      <c r="T255" s="311">
        <f>+'Plan de Accion apoyo transversa'!BH164</f>
        <v>0.66666666666666663</v>
      </c>
      <c r="U255" s="311">
        <f>IF(T255&gt;100%,100%,T255)</f>
        <v>0.66666666666666663</v>
      </c>
      <c r="V255" s="214">
        <f>+U255</f>
        <v>0.66666666666666663</v>
      </c>
      <c r="W255" s="216"/>
      <c r="X255" s="221">
        <f>+'Plan de Accion apoyo transversa'!BN164</f>
        <v>1</v>
      </c>
      <c r="Y255" s="253">
        <f>+'Plan de Accion apoyo transversa'!CI164</f>
        <v>1</v>
      </c>
      <c r="Z255" s="215">
        <f>IF(Y255&gt;100%,100%,Y255)</f>
        <v>1</v>
      </c>
      <c r="AA255" s="220">
        <f>+'Plan de Accion apoyo transversa'!BR164</f>
        <v>1</v>
      </c>
      <c r="AB255" s="220">
        <f>IF(AA255&gt;100%,100%,AA255)</f>
        <v>1</v>
      </c>
      <c r="AC255" s="219">
        <f>+AB255</f>
        <v>1</v>
      </c>
      <c r="AD255" s="216"/>
      <c r="AE255" s="221">
        <f>+'Plan de Accion apoyo transversa'!BX164</f>
        <v>0</v>
      </c>
      <c r="AF255" s="253" t="str">
        <f>+'Plan de Accion apoyo transversa'!CK164</f>
        <v>No Prog ni Ejec</v>
      </c>
      <c r="AG255" s="215" t="s">
        <v>204</v>
      </c>
      <c r="AH255" s="253">
        <f>+'Plan de Accion apoyo transversa'!CB164</f>
        <v>1</v>
      </c>
      <c r="AI255" s="214">
        <f>IF(AH255&gt;100%,100%,AH255)</f>
        <v>1</v>
      </c>
      <c r="AJ255" s="224"/>
      <c r="AL255" s="318"/>
      <c r="AM255" s="225"/>
      <c r="AN255" s="207"/>
      <c r="AO255" s="318"/>
      <c r="AP255" s="225"/>
      <c r="AQ255" s="207"/>
      <c r="AR255" s="318"/>
      <c r="AS255" s="225"/>
      <c r="AT255" s="207"/>
      <c r="AU255" s="318"/>
      <c r="AV255" s="225"/>
      <c r="AW255" s="205"/>
      <c r="AX255" s="224"/>
      <c r="AZ255" s="318"/>
      <c r="BA255" s="225"/>
      <c r="BB255" s="207"/>
      <c r="BC255" s="318"/>
      <c r="BD255" s="225"/>
      <c r="BE255" s="207"/>
      <c r="BF255" s="318"/>
      <c r="BG255" s="225"/>
      <c r="BH255" s="207"/>
      <c r="BI255" s="318"/>
      <c r="BJ255" s="225"/>
      <c r="BK255" s="205"/>
      <c r="BL255" s="224"/>
      <c r="BN255" s="318"/>
      <c r="BO255" s="225"/>
      <c r="BP255" s="207"/>
      <c r="BQ255" s="318"/>
      <c r="BR255" s="225"/>
      <c r="BS255" s="207"/>
      <c r="BT255" s="318"/>
      <c r="BU255" s="225"/>
      <c r="BV255" s="207"/>
      <c r="BW255" s="318"/>
      <c r="BX255" s="225"/>
      <c r="BY255" s="205"/>
      <c r="BZ255" s="224"/>
      <c r="CB255" s="318"/>
      <c r="CC255" s="225"/>
      <c r="CD255" s="207"/>
      <c r="CE255" s="318"/>
      <c r="CF255" s="225"/>
      <c r="CG255" s="207"/>
      <c r="CH255" s="318"/>
      <c r="CI255" s="225"/>
      <c r="CJ255" s="207"/>
      <c r="CK255" s="318"/>
      <c r="CL255" s="225"/>
      <c r="CM255" s="205"/>
      <c r="CN255" s="224"/>
    </row>
    <row r="256" spans="2:92" ht="29.25" thickBot="1" x14ac:dyDescent="0.25">
      <c r="B256" s="1455"/>
      <c r="C256" s="1450"/>
      <c r="D256" s="1316" t="s">
        <v>204</v>
      </c>
      <c r="E256" s="1319" t="s">
        <v>14</v>
      </c>
      <c r="F256" s="1316" t="s">
        <v>337</v>
      </c>
      <c r="G256" s="322" t="str">
        <f>+'Plan de Accion apoyo transversa'!X50</f>
        <v xml:space="preserve">Archivo documental transferido al custodio final </v>
      </c>
      <c r="H256" s="218" t="str">
        <f>+'Plan de Accion apoyo transversa'!AK50</f>
        <v># Cajas Transferidas por trimestre</v>
      </c>
      <c r="J256" s="221">
        <f>+'Plan de Accion apoyo transversa'!AT50</f>
        <v>84</v>
      </c>
      <c r="K256" s="483">
        <f>+'Plan de Accion apoyo transversa'!CE50</f>
        <v>0.84</v>
      </c>
      <c r="L256" s="483">
        <f>IF(K256&gt;100%,100%,K256)</f>
        <v>0.84</v>
      </c>
      <c r="M256" s="483">
        <f>+'Plan de Accion apoyo transversa'!AX50</f>
        <v>0.10357583230579531</v>
      </c>
      <c r="N256" s="483">
        <f t="shared" si="243"/>
        <v>0.10357583230579531</v>
      </c>
      <c r="O256" s="485">
        <f t="shared" si="244"/>
        <v>0.10357583230579531</v>
      </c>
      <c r="P256" s="216"/>
      <c r="Q256" s="221">
        <f>+'Plan de Accion apoyo transversa'!BD50</f>
        <v>300</v>
      </c>
      <c r="R256" s="253">
        <f>+'Plan de Accion apoyo transversa'!CG50</f>
        <v>1</v>
      </c>
      <c r="S256" s="215">
        <f t="shared" si="245"/>
        <v>1</v>
      </c>
      <c r="T256" s="311">
        <f>+'Plan de Accion apoyo transversa'!BH50</f>
        <v>0.47348951911220716</v>
      </c>
      <c r="U256" s="311">
        <f t="shared" si="246"/>
        <v>0.47348951911220716</v>
      </c>
      <c r="V256" s="214">
        <f t="shared" si="247"/>
        <v>0.47348951911220716</v>
      </c>
      <c r="W256" s="216"/>
      <c r="X256" s="221">
        <f>+'Plan de Accion apoyo transversa'!BN50</f>
        <v>300</v>
      </c>
      <c r="Y256" s="253">
        <f>+'Plan de Accion apoyo transversa'!CI50</f>
        <v>1</v>
      </c>
      <c r="Z256" s="215">
        <f t="shared" si="248"/>
        <v>1</v>
      </c>
      <c r="AA256" s="220">
        <f>+'Plan de Accion apoyo transversa'!BR50</f>
        <v>0.84340320591861895</v>
      </c>
      <c r="AB256" s="220">
        <f t="shared" si="249"/>
        <v>0.84340320591861895</v>
      </c>
      <c r="AC256" s="219">
        <f t="shared" si="250"/>
        <v>0.84340320591861895</v>
      </c>
      <c r="AD256" s="216"/>
      <c r="AE256" s="221">
        <f>+'Plan de Accion apoyo transversa'!BX50</f>
        <v>0</v>
      </c>
      <c r="AF256" s="253">
        <f>+'Plan de Accion apoyo transversa'!CK50</f>
        <v>0</v>
      </c>
      <c r="AG256" s="215">
        <f t="shared" si="251"/>
        <v>0</v>
      </c>
      <c r="AH256" s="253">
        <f>+'Plan de Accion apoyo transversa'!CB50</f>
        <v>0.84340320591861895</v>
      </c>
      <c r="AI256" s="214">
        <f t="shared" si="252"/>
        <v>0.84340320591861895</v>
      </c>
      <c r="AJ256" s="224"/>
      <c r="AL256" s="226"/>
      <c r="AM256" s="225"/>
      <c r="AN256" s="207"/>
      <c r="AO256" s="226"/>
      <c r="AP256" s="225"/>
      <c r="AQ256" s="207"/>
      <c r="AR256" s="226"/>
      <c r="AS256" s="225"/>
      <c r="AT256" s="207"/>
      <c r="AU256" s="226"/>
      <c r="AV256" s="225"/>
      <c r="AW256" s="205"/>
      <c r="AX256" s="224"/>
      <c r="AZ256" s="226"/>
      <c r="BA256" s="225"/>
      <c r="BB256" s="207"/>
      <c r="BC256" s="226"/>
      <c r="BD256" s="225"/>
      <c r="BE256" s="207"/>
      <c r="BF256" s="226"/>
      <c r="BG256" s="225"/>
      <c r="BH256" s="207"/>
      <c r="BI256" s="226"/>
      <c r="BJ256" s="225"/>
      <c r="BK256" s="205"/>
      <c r="BL256" s="224"/>
      <c r="BN256" s="226"/>
      <c r="BO256" s="225"/>
      <c r="BP256" s="207"/>
      <c r="BQ256" s="226"/>
      <c r="BR256" s="225"/>
      <c r="BS256" s="207"/>
      <c r="BT256" s="226"/>
      <c r="BU256" s="225"/>
      <c r="BV256" s="207"/>
      <c r="BW256" s="226"/>
      <c r="BX256" s="225"/>
      <c r="BY256" s="205"/>
      <c r="BZ256" s="224"/>
      <c r="CB256" s="226"/>
      <c r="CC256" s="225"/>
      <c r="CD256" s="207"/>
      <c r="CE256" s="226"/>
      <c r="CF256" s="225"/>
      <c r="CG256" s="207"/>
      <c r="CH256" s="226"/>
      <c r="CI256" s="225"/>
      <c r="CJ256" s="207"/>
      <c r="CK256" s="226"/>
      <c r="CL256" s="225"/>
      <c r="CM256" s="205"/>
      <c r="CN256" s="224"/>
    </row>
    <row r="257" spans="2:92" ht="57.75" thickBot="1" x14ac:dyDescent="0.25">
      <c r="B257" s="1455"/>
      <c r="C257" s="1450"/>
      <c r="D257" s="1317"/>
      <c r="E257" s="1320"/>
      <c r="F257" s="1317"/>
      <c r="G257" s="322" t="str">
        <f>+'Plan de Accion apoyo transversa'!X51</f>
        <v>Tablas de Retención Documental - TRD actualizadas y aprobadas</v>
      </c>
      <c r="H257" s="218" t="str">
        <f>+'Plan de Accion apoyo transversa'!AK51</f>
        <v># TRD actualizadas y aprobadas / # de TRD generadas y aprobadas en la vigencia 2018</v>
      </c>
      <c r="J257" s="217">
        <f>+'Plan de Accion apoyo transversa'!AT51</f>
        <v>0</v>
      </c>
      <c r="K257" s="483" t="str">
        <f>+'Plan de Accion apoyo transversa'!CE51</f>
        <v>No Prog ni Ejec</v>
      </c>
      <c r="L257" s="483" t="s">
        <v>204</v>
      </c>
      <c r="M257" s="483">
        <f>+'Plan de Accion apoyo transversa'!AX51</f>
        <v>0</v>
      </c>
      <c r="N257" s="483">
        <f t="shared" si="243"/>
        <v>0</v>
      </c>
      <c r="O257" s="485" t="s">
        <v>204</v>
      </c>
      <c r="P257" s="216"/>
      <c r="Q257" s="217">
        <f>+'Plan de Accion apoyo transversa'!BD51</f>
        <v>0</v>
      </c>
      <c r="R257" s="253" t="str">
        <f>+'Plan de Accion apoyo transversa'!CG51</f>
        <v>No Prog ni Ejec</v>
      </c>
      <c r="S257" s="215" t="s">
        <v>204</v>
      </c>
      <c r="T257" s="311">
        <f>+'Plan de Accion apoyo transversa'!BH51</f>
        <v>0</v>
      </c>
      <c r="U257" s="311">
        <f t="shared" si="246"/>
        <v>0</v>
      </c>
      <c r="V257" s="214" t="s">
        <v>204</v>
      </c>
      <c r="W257" s="216"/>
      <c r="X257" s="217">
        <f>+'Plan de Accion apoyo transversa'!BN51</f>
        <v>1</v>
      </c>
      <c r="Y257" s="253">
        <f>+'Plan de Accion apoyo transversa'!CI51</f>
        <v>1</v>
      </c>
      <c r="Z257" s="215">
        <f t="shared" si="248"/>
        <v>1</v>
      </c>
      <c r="AA257" s="220">
        <f>+'Plan de Accion apoyo transversa'!BR51</f>
        <v>1</v>
      </c>
      <c r="AB257" s="220">
        <f t="shared" si="249"/>
        <v>1</v>
      </c>
      <c r="AC257" s="219">
        <f t="shared" si="250"/>
        <v>1</v>
      </c>
      <c r="AD257" s="216"/>
      <c r="AE257" s="217">
        <f>+'Plan de Accion apoyo transversa'!BX51</f>
        <v>0</v>
      </c>
      <c r="AF257" s="253" t="str">
        <f>+'Plan de Accion apoyo transversa'!CK51</f>
        <v>No Prog ni Ejec</v>
      </c>
      <c r="AG257" s="215" t="s">
        <v>204</v>
      </c>
      <c r="AH257" s="253">
        <f>+'Plan de Accion apoyo transversa'!CB51</f>
        <v>1</v>
      </c>
      <c r="AI257" s="214">
        <f t="shared" si="252"/>
        <v>1</v>
      </c>
      <c r="AJ257" s="224"/>
      <c r="AL257" s="226"/>
      <c r="AM257" s="225"/>
      <c r="AN257" s="207"/>
      <c r="AO257" s="226"/>
      <c r="AP257" s="225"/>
      <c r="AQ257" s="207"/>
      <c r="AR257" s="226"/>
      <c r="AS257" s="225"/>
      <c r="AT257" s="207"/>
      <c r="AU257" s="226"/>
      <c r="AV257" s="225"/>
      <c r="AW257" s="205"/>
      <c r="AX257" s="224"/>
      <c r="AZ257" s="226"/>
      <c r="BA257" s="225"/>
      <c r="BB257" s="207"/>
      <c r="BC257" s="226"/>
      <c r="BD257" s="225"/>
      <c r="BE257" s="207"/>
      <c r="BF257" s="226"/>
      <c r="BG257" s="225"/>
      <c r="BH257" s="207"/>
      <c r="BI257" s="226"/>
      <c r="BJ257" s="225"/>
      <c r="BK257" s="205"/>
      <c r="BL257" s="224"/>
      <c r="BN257" s="226"/>
      <c r="BO257" s="225"/>
      <c r="BP257" s="207"/>
      <c r="BQ257" s="226"/>
      <c r="BR257" s="225"/>
      <c r="BS257" s="207"/>
      <c r="BT257" s="226"/>
      <c r="BU257" s="225"/>
      <c r="BV257" s="207"/>
      <c r="BW257" s="226"/>
      <c r="BX257" s="225"/>
      <c r="BY257" s="205"/>
      <c r="BZ257" s="224"/>
      <c r="CB257" s="226"/>
      <c r="CC257" s="225"/>
      <c r="CD257" s="207"/>
      <c r="CE257" s="226"/>
      <c r="CF257" s="225"/>
      <c r="CG257" s="207"/>
      <c r="CH257" s="226"/>
      <c r="CI257" s="225"/>
      <c r="CJ257" s="207"/>
      <c r="CK257" s="226"/>
      <c r="CL257" s="225"/>
      <c r="CM257" s="205"/>
      <c r="CN257" s="224"/>
    </row>
    <row r="258" spans="2:92" ht="57.75" thickBot="1" x14ac:dyDescent="0.25">
      <c r="B258" s="1455"/>
      <c r="C258" s="1450"/>
      <c r="D258" s="1317"/>
      <c r="E258" s="1320"/>
      <c r="F258" s="1317"/>
      <c r="G258" s="322" t="str">
        <f>+'Plan de Accion apoyo transversa'!X52</f>
        <v>Estudios técnicos, de mercado y económicos para la valoración documental</v>
      </c>
      <c r="H258" s="218" t="str">
        <f>+'Plan de Accion apoyo transversa'!AK52</f>
        <v># Estudios técnicos, de mercado y económicos para la valoración documental realizados</v>
      </c>
      <c r="J258" s="221">
        <f>+'Plan de Accion apoyo transversa'!AT52</f>
        <v>0</v>
      </c>
      <c r="K258" s="483" t="str">
        <f>+'Plan de Accion apoyo transversa'!CE52</f>
        <v>No Prog ni Ejec</v>
      </c>
      <c r="L258" s="483" t="s">
        <v>204</v>
      </c>
      <c r="M258" s="483">
        <f>+'Plan de Accion apoyo transversa'!AX52</f>
        <v>0</v>
      </c>
      <c r="N258" s="483">
        <f t="shared" si="243"/>
        <v>0</v>
      </c>
      <c r="O258" s="485" t="s">
        <v>204</v>
      </c>
      <c r="P258" s="216"/>
      <c r="Q258" s="221">
        <f>+'Plan de Accion apoyo transversa'!BD52</f>
        <v>0</v>
      </c>
      <c r="R258" s="253" t="str">
        <f>+'Plan de Accion apoyo transversa'!CG52</f>
        <v>No Prog ni Ejec</v>
      </c>
      <c r="S258" s="215" t="s">
        <v>204</v>
      </c>
      <c r="T258" s="311">
        <f>+'Plan de Accion apoyo transversa'!BH52</f>
        <v>0</v>
      </c>
      <c r="U258" s="311">
        <f t="shared" si="246"/>
        <v>0</v>
      </c>
      <c r="V258" s="214" t="s">
        <v>204</v>
      </c>
      <c r="W258" s="216"/>
      <c r="X258" s="221">
        <f>+'Plan de Accion apoyo transversa'!BN52</f>
        <v>1</v>
      </c>
      <c r="Y258" s="253">
        <f>+'Plan de Accion apoyo transversa'!CI52</f>
        <v>1</v>
      </c>
      <c r="Z258" s="215">
        <f t="shared" si="248"/>
        <v>1</v>
      </c>
      <c r="AA258" s="220">
        <f>+'Plan de Accion apoyo transversa'!BR52</f>
        <v>1</v>
      </c>
      <c r="AB258" s="220">
        <f t="shared" si="249"/>
        <v>1</v>
      </c>
      <c r="AC258" s="219">
        <f t="shared" si="250"/>
        <v>1</v>
      </c>
      <c r="AD258" s="216"/>
      <c r="AE258" s="221">
        <f>+'Plan de Accion apoyo transversa'!BX52</f>
        <v>0</v>
      </c>
      <c r="AF258" s="253" t="str">
        <f>+'Plan de Accion apoyo transversa'!CK52</f>
        <v>No Prog ni Ejec</v>
      </c>
      <c r="AG258" s="215" t="s">
        <v>204</v>
      </c>
      <c r="AH258" s="253">
        <f>+'Plan de Accion apoyo transversa'!CB52</f>
        <v>1</v>
      </c>
      <c r="AI258" s="214">
        <f t="shared" si="252"/>
        <v>1</v>
      </c>
      <c r="AJ258" s="224"/>
      <c r="AL258" s="226"/>
      <c r="AM258" s="225"/>
      <c r="AN258" s="207"/>
      <c r="AO258" s="226"/>
      <c r="AP258" s="225"/>
      <c r="AQ258" s="207"/>
      <c r="AR258" s="226"/>
      <c r="AS258" s="225"/>
      <c r="AT258" s="207"/>
      <c r="AU258" s="226"/>
      <c r="AV258" s="225"/>
      <c r="AW258" s="205"/>
      <c r="AX258" s="224"/>
      <c r="AZ258" s="226"/>
      <c r="BA258" s="225"/>
      <c r="BB258" s="207"/>
      <c r="BC258" s="226"/>
      <c r="BD258" s="225"/>
      <c r="BE258" s="207"/>
      <c r="BF258" s="226"/>
      <c r="BG258" s="225"/>
      <c r="BH258" s="207"/>
      <c r="BI258" s="226"/>
      <c r="BJ258" s="225"/>
      <c r="BK258" s="205"/>
      <c r="BL258" s="224"/>
      <c r="BN258" s="226"/>
      <c r="BO258" s="225"/>
      <c r="BP258" s="207"/>
      <c r="BQ258" s="226"/>
      <c r="BR258" s="225"/>
      <c r="BS258" s="207"/>
      <c r="BT258" s="226"/>
      <c r="BU258" s="225"/>
      <c r="BV258" s="207"/>
      <c r="BW258" s="226"/>
      <c r="BX258" s="225"/>
      <c r="BY258" s="205"/>
      <c r="BZ258" s="224"/>
      <c r="CB258" s="226"/>
      <c r="CC258" s="225"/>
      <c r="CD258" s="207"/>
      <c r="CE258" s="226"/>
      <c r="CF258" s="225"/>
      <c r="CG258" s="207"/>
      <c r="CH258" s="226"/>
      <c r="CI258" s="225"/>
      <c r="CJ258" s="207"/>
      <c r="CK258" s="226"/>
      <c r="CL258" s="225"/>
      <c r="CM258" s="205"/>
      <c r="CN258" s="224"/>
    </row>
    <row r="259" spans="2:92" ht="72" thickBot="1" x14ac:dyDescent="0.25">
      <c r="B259" s="1455"/>
      <c r="C259" s="1450"/>
      <c r="D259" s="1317"/>
      <c r="E259" s="1320"/>
      <c r="F259" s="1318"/>
      <c r="G259" s="322" t="str">
        <f>+'Plan de Accion apoyo transversa'!X53</f>
        <v>Informe de Política de "Cero papel" para aprobación del Comité Institucional de Gestión y Desempeño</v>
      </c>
      <c r="H259" s="218" t="str">
        <f>+'Plan de Accion apoyo transversa'!AK53</f>
        <v># Informes finales de la Política de "Cero papel" para aprobación del Comité Institucional de Gestión y Desempeño</v>
      </c>
      <c r="J259" s="221">
        <f>+'Plan de Accion apoyo transversa'!AT53</f>
        <v>0</v>
      </c>
      <c r="K259" s="483" t="str">
        <f>+'Plan de Accion apoyo transversa'!CE53</f>
        <v>No Prog ni Ejec</v>
      </c>
      <c r="L259" s="483" t="s">
        <v>204</v>
      </c>
      <c r="M259" s="483">
        <f>+'Plan de Accion apoyo transversa'!AX53</f>
        <v>0</v>
      </c>
      <c r="N259" s="483">
        <f t="shared" si="243"/>
        <v>0</v>
      </c>
      <c r="O259" s="485" t="s">
        <v>204</v>
      </c>
      <c r="P259" s="216"/>
      <c r="Q259" s="221">
        <f>+'Plan de Accion apoyo transversa'!BD53</f>
        <v>1</v>
      </c>
      <c r="R259" s="253">
        <f>+'Plan de Accion apoyo transversa'!CG53</f>
        <v>1</v>
      </c>
      <c r="S259" s="215">
        <f t="shared" si="245"/>
        <v>1</v>
      </c>
      <c r="T259" s="311">
        <f>+'Plan de Accion apoyo transversa'!BH53</f>
        <v>1</v>
      </c>
      <c r="U259" s="311">
        <f t="shared" si="246"/>
        <v>1</v>
      </c>
      <c r="V259" s="214">
        <f t="shared" si="247"/>
        <v>1</v>
      </c>
      <c r="W259" s="216"/>
      <c r="X259" s="221">
        <f>+'Plan de Accion apoyo transversa'!BN53</f>
        <v>0</v>
      </c>
      <c r="Y259" s="253" t="str">
        <f>+'Plan de Accion apoyo transversa'!CI53</f>
        <v>No Prog ni Ejec</v>
      </c>
      <c r="Z259" s="215" t="s">
        <v>204</v>
      </c>
      <c r="AA259" s="220">
        <f>+'Plan de Accion apoyo transversa'!BR53</f>
        <v>1</v>
      </c>
      <c r="AB259" s="220">
        <f t="shared" si="249"/>
        <v>1</v>
      </c>
      <c r="AC259" s="219" t="s">
        <v>204</v>
      </c>
      <c r="AD259" s="216"/>
      <c r="AE259" s="221">
        <f>+'Plan de Accion apoyo transversa'!BX53</f>
        <v>0</v>
      </c>
      <c r="AF259" s="253" t="str">
        <f>+'Plan de Accion apoyo transversa'!CK53</f>
        <v>No Prog ni Ejec</v>
      </c>
      <c r="AG259" s="215" t="s">
        <v>204</v>
      </c>
      <c r="AH259" s="253">
        <f>+'Plan de Accion apoyo transversa'!CB53</f>
        <v>1</v>
      </c>
      <c r="AI259" s="214">
        <f t="shared" si="252"/>
        <v>1</v>
      </c>
      <c r="AJ259" s="224"/>
      <c r="AL259" s="226"/>
      <c r="AM259" s="225"/>
      <c r="AN259" s="207"/>
      <c r="AO259" s="226"/>
      <c r="AP259" s="225"/>
      <c r="AQ259" s="207"/>
      <c r="AR259" s="226"/>
      <c r="AS259" s="225"/>
      <c r="AT259" s="207"/>
      <c r="AU259" s="226"/>
      <c r="AV259" s="225"/>
      <c r="AW259" s="205"/>
      <c r="AX259" s="224"/>
      <c r="AZ259" s="226"/>
      <c r="BA259" s="225"/>
      <c r="BB259" s="207"/>
      <c r="BC259" s="226"/>
      <c r="BD259" s="225"/>
      <c r="BE259" s="207"/>
      <c r="BF259" s="226"/>
      <c r="BG259" s="225"/>
      <c r="BH259" s="207"/>
      <c r="BI259" s="226"/>
      <c r="BJ259" s="225"/>
      <c r="BK259" s="205"/>
      <c r="BL259" s="224"/>
      <c r="BN259" s="226"/>
      <c r="BO259" s="225"/>
      <c r="BP259" s="207"/>
      <c r="BQ259" s="226"/>
      <c r="BR259" s="225"/>
      <c r="BS259" s="207"/>
      <c r="BT259" s="226"/>
      <c r="BU259" s="225"/>
      <c r="BV259" s="207"/>
      <c r="BW259" s="226"/>
      <c r="BX259" s="225"/>
      <c r="BY259" s="205"/>
      <c r="BZ259" s="224"/>
      <c r="CB259" s="226"/>
      <c r="CC259" s="225"/>
      <c r="CD259" s="207"/>
      <c r="CE259" s="226"/>
      <c r="CF259" s="225"/>
      <c r="CG259" s="207"/>
      <c r="CH259" s="226"/>
      <c r="CI259" s="225"/>
      <c r="CJ259" s="207"/>
      <c r="CK259" s="226"/>
      <c r="CL259" s="225"/>
      <c r="CM259" s="205"/>
      <c r="CN259" s="224"/>
    </row>
    <row r="260" spans="2:92" ht="86.25" thickBot="1" x14ac:dyDescent="0.25">
      <c r="B260" s="1455"/>
      <c r="C260" s="1450"/>
      <c r="D260" s="1317"/>
      <c r="E260" s="1320"/>
      <c r="F260" s="1317" t="s">
        <v>330</v>
      </c>
      <c r="G260" s="322" t="str">
        <f>+'Plan de Accion apoyo transversa'!X54</f>
        <v>Informe de Política y los indicadores de gestión ambiental y someterlos a aprobación del Comité Institucional de Gestión y Desempeño</v>
      </c>
      <c r="H260" s="218" t="str">
        <f>+'Plan de Accion apoyo transversa'!AK54</f>
        <v># Informes de Política y los indicadores de gestión ambiental para aprobación del Comité Institucional de Gestión y Desempeño</v>
      </c>
      <c r="J260" s="221">
        <f>+'Plan de Accion apoyo transversa'!AT54</f>
        <v>0</v>
      </c>
      <c r="K260" s="483" t="str">
        <f>+'Plan de Accion apoyo transversa'!CE54</f>
        <v>No Prog ni Ejec</v>
      </c>
      <c r="L260" s="483" t="s">
        <v>204</v>
      </c>
      <c r="M260" s="483">
        <f>+'Plan de Accion apoyo transversa'!AX54</f>
        <v>0</v>
      </c>
      <c r="N260" s="483">
        <f t="shared" si="243"/>
        <v>0</v>
      </c>
      <c r="O260" s="485" t="s">
        <v>204</v>
      </c>
      <c r="P260" s="216"/>
      <c r="Q260" s="221">
        <f>+'Plan de Accion apoyo transversa'!BD54</f>
        <v>0</v>
      </c>
      <c r="R260" s="253" t="str">
        <f>+'Plan de Accion apoyo transversa'!CG54</f>
        <v>No Prog ni Ejec</v>
      </c>
      <c r="S260" s="215" t="s">
        <v>204</v>
      </c>
      <c r="T260" s="311">
        <f>+'Plan de Accion apoyo transversa'!BH54</f>
        <v>0</v>
      </c>
      <c r="U260" s="311">
        <f t="shared" si="246"/>
        <v>0</v>
      </c>
      <c r="V260" s="214" t="s">
        <v>204</v>
      </c>
      <c r="W260" s="216"/>
      <c r="X260" s="221">
        <f>+'Plan de Accion apoyo transversa'!BN54</f>
        <v>1</v>
      </c>
      <c r="Y260" s="253">
        <f>+'Plan de Accion apoyo transversa'!CI54</f>
        <v>1</v>
      </c>
      <c r="Z260" s="215">
        <f t="shared" si="248"/>
        <v>1</v>
      </c>
      <c r="AA260" s="220">
        <f>+'Plan de Accion apoyo transversa'!BR54</f>
        <v>1</v>
      </c>
      <c r="AB260" s="220">
        <f t="shared" si="249"/>
        <v>1</v>
      </c>
      <c r="AC260" s="219">
        <f t="shared" si="250"/>
        <v>1</v>
      </c>
      <c r="AD260" s="216"/>
      <c r="AE260" s="221">
        <f>+'Plan de Accion apoyo transversa'!BX54</f>
        <v>0</v>
      </c>
      <c r="AF260" s="253" t="str">
        <f>+'Plan de Accion apoyo transversa'!CK54</f>
        <v>No Prog ni Ejec</v>
      </c>
      <c r="AG260" s="215" t="s">
        <v>204</v>
      </c>
      <c r="AH260" s="253">
        <f>+'Plan de Accion apoyo transversa'!CB54</f>
        <v>1</v>
      </c>
      <c r="AI260" s="214">
        <f t="shared" si="252"/>
        <v>1</v>
      </c>
      <c r="AJ260" s="224"/>
      <c r="AL260" s="226"/>
      <c r="AM260" s="225"/>
      <c r="AN260" s="207"/>
      <c r="AO260" s="226"/>
      <c r="AP260" s="225"/>
      <c r="AQ260" s="207"/>
      <c r="AR260" s="226"/>
      <c r="AS260" s="225"/>
      <c r="AT260" s="207"/>
      <c r="AU260" s="226"/>
      <c r="AV260" s="225"/>
      <c r="AW260" s="205"/>
      <c r="AX260" s="224"/>
      <c r="AZ260" s="226"/>
      <c r="BA260" s="225"/>
      <c r="BB260" s="207"/>
      <c r="BC260" s="226"/>
      <c r="BD260" s="225"/>
      <c r="BE260" s="207"/>
      <c r="BF260" s="226"/>
      <c r="BG260" s="225"/>
      <c r="BH260" s="207"/>
      <c r="BI260" s="226"/>
      <c r="BJ260" s="225"/>
      <c r="BK260" s="205"/>
      <c r="BL260" s="224"/>
      <c r="BN260" s="226"/>
      <c r="BO260" s="225"/>
      <c r="BP260" s="207"/>
      <c r="BQ260" s="226"/>
      <c r="BR260" s="225"/>
      <c r="BS260" s="207"/>
      <c r="BT260" s="226"/>
      <c r="BU260" s="225"/>
      <c r="BV260" s="207"/>
      <c r="BW260" s="226"/>
      <c r="BX260" s="225"/>
      <c r="BY260" s="205"/>
      <c r="BZ260" s="224"/>
      <c r="CB260" s="226"/>
      <c r="CC260" s="225"/>
      <c r="CD260" s="207"/>
      <c r="CE260" s="226"/>
      <c r="CF260" s="225"/>
      <c r="CG260" s="207"/>
      <c r="CH260" s="226"/>
      <c r="CI260" s="225"/>
      <c r="CJ260" s="207"/>
      <c r="CK260" s="226"/>
      <c r="CL260" s="225"/>
      <c r="CM260" s="205"/>
      <c r="CN260" s="224"/>
    </row>
    <row r="261" spans="2:92" ht="100.5" thickBot="1" x14ac:dyDescent="0.25">
      <c r="B261" s="1455"/>
      <c r="C261" s="1450"/>
      <c r="D261" s="1317"/>
      <c r="E261" s="1320"/>
      <c r="F261" s="1318"/>
      <c r="G261" s="322" t="str">
        <f>+'Plan de Accion apoyo transversa'!X55</f>
        <v>Informe de evaluación de los formatos de los procesos a cargo de la Dirección Administrativa y Financiera para determinar su conveniencia</v>
      </c>
      <c r="H261" s="218" t="str">
        <f>+'Plan de Accion apoyo transversa'!AK55</f>
        <v># Informe de evaluación de los formatos de los procesos a cargo  de la Dirección Administrativa y Financiera de la Dirección Administrativa y Financiera para determinar su conveniencia</v>
      </c>
      <c r="J261" s="221">
        <f>+'Plan de Accion apoyo transversa'!AT55</f>
        <v>1</v>
      </c>
      <c r="K261" s="483">
        <f>+'Plan de Accion apoyo transversa'!CE55</f>
        <v>1</v>
      </c>
      <c r="L261" s="483">
        <f>IF(K261&gt;100%,100%,K261)</f>
        <v>1</v>
      </c>
      <c r="M261" s="483">
        <f>+'Plan de Accion apoyo transversa'!AX55</f>
        <v>1</v>
      </c>
      <c r="N261" s="483">
        <f t="shared" si="243"/>
        <v>1</v>
      </c>
      <c r="O261" s="485">
        <f>+N261</f>
        <v>1</v>
      </c>
      <c r="P261" s="216"/>
      <c r="Q261" s="221">
        <f>+'Plan de Accion apoyo transversa'!BD55</f>
        <v>0</v>
      </c>
      <c r="R261" s="253" t="str">
        <f>+'Plan de Accion apoyo transversa'!CG55</f>
        <v>No Prog ni Ejec</v>
      </c>
      <c r="S261" s="215" t="s">
        <v>204</v>
      </c>
      <c r="T261" s="311">
        <f>+'Plan de Accion apoyo transversa'!BH55</f>
        <v>1</v>
      </c>
      <c r="U261" s="311">
        <f t="shared" si="246"/>
        <v>1</v>
      </c>
      <c r="V261" s="214">
        <f t="shared" si="247"/>
        <v>1</v>
      </c>
      <c r="W261" s="216"/>
      <c r="X261" s="221">
        <f>+'Plan de Accion apoyo transversa'!BN55</f>
        <v>0</v>
      </c>
      <c r="Y261" s="253" t="str">
        <f>+'Plan de Accion apoyo transversa'!CI55</f>
        <v>No Prog ni Ejec</v>
      </c>
      <c r="Z261" s="215" t="s">
        <v>204</v>
      </c>
      <c r="AA261" s="220">
        <f>+'Plan de Accion apoyo transversa'!BR55</f>
        <v>1</v>
      </c>
      <c r="AB261" s="220">
        <f t="shared" si="249"/>
        <v>1</v>
      </c>
      <c r="AC261" s="219">
        <f t="shared" si="250"/>
        <v>1</v>
      </c>
      <c r="AD261" s="216"/>
      <c r="AE261" s="221">
        <f>+'Plan de Accion apoyo transversa'!BX55</f>
        <v>0</v>
      </c>
      <c r="AF261" s="253" t="str">
        <f>+'Plan de Accion apoyo transversa'!CK55</f>
        <v>No Prog ni Ejec</v>
      </c>
      <c r="AG261" s="215" t="s">
        <v>204</v>
      </c>
      <c r="AH261" s="253">
        <f>+'Plan de Accion apoyo transversa'!CB55</f>
        <v>1</v>
      </c>
      <c r="AI261" s="214">
        <f t="shared" si="252"/>
        <v>1</v>
      </c>
      <c r="AJ261" s="224"/>
      <c r="AL261" s="226"/>
      <c r="AM261" s="225"/>
      <c r="AN261" s="207"/>
      <c r="AO261" s="226"/>
      <c r="AP261" s="225"/>
      <c r="AQ261" s="207"/>
      <c r="AR261" s="226"/>
      <c r="AS261" s="225"/>
      <c r="AT261" s="207"/>
      <c r="AU261" s="226"/>
      <c r="AV261" s="225"/>
      <c r="AW261" s="205"/>
      <c r="AX261" s="224"/>
      <c r="AZ261" s="226"/>
      <c r="BA261" s="225"/>
      <c r="BB261" s="207"/>
      <c r="BC261" s="226"/>
      <c r="BD261" s="225"/>
      <c r="BE261" s="207"/>
      <c r="BF261" s="226"/>
      <c r="BG261" s="225"/>
      <c r="BH261" s="207"/>
      <c r="BI261" s="226"/>
      <c r="BJ261" s="225"/>
      <c r="BK261" s="205"/>
      <c r="BL261" s="224"/>
      <c r="BN261" s="226"/>
      <c r="BO261" s="225"/>
      <c r="BP261" s="207"/>
      <c r="BQ261" s="226"/>
      <c r="BR261" s="225"/>
      <c r="BS261" s="207"/>
      <c r="BT261" s="226"/>
      <c r="BU261" s="225"/>
      <c r="BV261" s="207"/>
      <c r="BW261" s="226"/>
      <c r="BX261" s="225"/>
      <c r="BY261" s="205"/>
      <c r="BZ261" s="224"/>
      <c r="CB261" s="226"/>
      <c r="CC261" s="225"/>
      <c r="CD261" s="207"/>
      <c r="CE261" s="226"/>
      <c r="CF261" s="225"/>
      <c r="CG261" s="207"/>
      <c r="CH261" s="226"/>
      <c r="CI261" s="225"/>
      <c r="CJ261" s="207"/>
      <c r="CK261" s="226"/>
      <c r="CL261" s="225"/>
      <c r="CM261" s="205"/>
      <c r="CN261" s="224"/>
    </row>
    <row r="262" spans="2:92" ht="43.5" customHeight="1" thickBot="1" x14ac:dyDescent="0.25">
      <c r="B262" s="1455"/>
      <c r="C262" s="1450"/>
      <c r="D262" s="1317"/>
      <c r="E262" s="1320"/>
      <c r="F262" s="1317" t="s">
        <v>1182</v>
      </c>
      <c r="G262" s="322" t="str">
        <f>+'Plan de Accion apoyo transversa'!X57</f>
        <v>Matriz de requisitos legales actualizada</v>
      </c>
      <c r="H262" s="218" t="str">
        <f>+'Plan de Accion apoyo transversa'!AK57</f>
        <v># de actividades realizadas</v>
      </c>
      <c r="J262" s="221">
        <f>+'Plan de Accion apoyo transversa'!AT57</f>
        <v>0</v>
      </c>
      <c r="K262" s="483" t="str">
        <f>+'Plan de Accion apoyo transversa'!CE57</f>
        <v>No Prog ni Ejec</v>
      </c>
      <c r="L262" s="483" t="s">
        <v>204</v>
      </c>
      <c r="M262" s="483">
        <f>+'Plan de Accion apoyo transversa'!AX57</f>
        <v>0</v>
      </c>
      <c r="N262" s="483">
        <f t="shared" si="243"/>
        <v>0</v>
      </c>
      <c r="O262" s="485" t="s">
        <v>204</v>
      </c>
      <c r="P262" s="216"/>
      <c r="Q262" s="221">
        <f>+'Plan de Accion apoyo transversa'!BD57</f>
        <v>0</v>
      </c>
      <c r="R262" s="253" t="str">
        <f>+'Plan de Accion apoyo transversa'!CG57</f>
        <v>No Prog ni Ejec</v>
      </c>
      <c r="S262" s="215" t="s">
        <v>204</v>
      </c>
      <c r="T262" s="311">
        <f>+'Plan de Accion apoyo transversa'!BH57</f>
        <v>0</v>
      </c>
      <c r="U262" s="311">
        <f t="shared" ref="U262:U266" si="253">IF(T262&gt;100%,100%,T262)</f>
        <v>0</v>
      </c>
      <c r="V262" s="214" t="s">
        <v>204</v>
      </c>
      <c r="W262" s="216"/>
      <c r="X262" s="221">
        <f>+'Plan de Accion apoyo transversa'!BN57</f>
        <v>1</v>
      </c>
      <c r="Y262" s="253">
        <f>+'Plan de Accion apoyo transversa'!CI57</f>
        <v>1</v>
      </c>
      <c r="Z262" s="215" t="s">
        <v>204</v>
      </c>
      <c r="AA262" s="220">
        <f>+'Plan de Accion apoyo transversa'!BR57</f>
        <v>1</v>
      </c>
      <c r="AB262" s="220">
        <f t="shared" ref="AB262:AB266" si="254">IF(AA262&gt;100%,100%,AA262)</f>
        <v>1</v>
      </c>
      <c r="AC262" s="219">
        <f t="shared" ref="AC262:AC272" si="255">+AB262</f>
        <v>1</v>
      </c>
      <c r="AD262" s="216"/>
      <c r="AE262" s="221">
        <f>+'Plan de Accion apoyo transversa'!BX57</f>
        <v>0</v>
      </c>
      <c r="AF262" s="253" t="str">
        <f>+'Plan de Accion apoyo transversa'!CK57</f>
        <v>No Prog ni Ejec</v>
      </c>
      <c r="AG262" s="215" t="s">
        <v>204</v>
      </c>
      <c r="AH262" s="253">
        <f>+'Plan de Accion apoyo transversa'!CB57</f>
        <v>1</v>
      </c>
      <c r="AI262" s="214">
        <f t="shared" ref="AI262:AI267" si="256">IF(AH262&gt;100%,100%,AH262)</f>
        <v>1</v>
      </c>
      <c r="AJ262" s="224"/>
      <c r="AL262" s="318"/>
      <c r="AM262" s="225"/>
      <c r="AN262" s="207"/>
      <c r="AO262" s="318"/>
      <c r="AP262" s="225"/>
      <c r="AQ262" s="207"/>
      <c r="AR262" s="318"/>
      <c r="AS262" s="225"/>
      <c r="AT262" s="207"/>
      <c r="AU262" s="318"/>
      <c r="AV262" s="225"/>
      <c r="AW262" s="205"/>
      <c r="AX262" s="224"/>
      <c r="AZ262" s="318"/>
      <c r="BA262" s="225"/>
      <c r="BB262" s="207"/>
      <c r="BC262" s="318"/>
      <c r="BD262" s="225"/>
      <c r="BE262" s="207"/>
      <c r="BF262" s="318"/>
      <c r="BG262" s="225"/>
      <c r="BH262" s="207"/>
      <c r="BI262" s="318"/>
      <c r="BJ262" s="225"/>
      <c r="BK262" s="205"/>
      <c r="BL262" s="224"/>
      <c r="BN262" s="318"/>
      <c r="BO262" s="225"/>
      <c r="BP262" s="207"/>
      <c r="BQ262" s="318"/>
      <c r="BR262" s="225"/>
      <c r="BS262" s="207"/>
      <c r="BT262" s="318"/>
      <c r="BU262" s="225"/>
      <c r="BV262" s="207"/>
      <c r="BW262" s="318"/>
      <c r="BX262" s="225"/>
      <c r="BY262" s="205"/>
      <c r="BZ262" s="224"/>
      <c r="CB262" s="318"/>
      <c r="CC262" s="225"/>
      <c r="CD262" s="207"/>
      <c r="CE262" s="318"/>
      <c r="CF262" s="225"/>
      <c r="CG262" s="207"/>
      <c r="CH262" s="318"/>
      <c r="CI262" s="225"/>
      <c r="CJ262" s="207"/>
      <c r="CK262" s="318"/>
      <c r="CL262" s="225"/>
      <c r="CM262" s="205"/>
      <c r="CN262" s="224"/>
    </row>
    <row r="263" spans="2:92" ht="29.25" thickBot="1" x14ac:dyDescent="0.25">
      <c r="B263" s="1455"/>
      <c r="C263" s="1450"/>
      <c r="D263" s="1317"/>
      <c r="E263" s="1320"/>
      <c r="F263" s="1317"/>
      <c r="G263" s="322" t="str">
        <f>+'Plan de Accion apoyo transversa'!X58</f>
        <v xml:space="preserve"> Documentos del SG-SST actualizados</v>
      </c>
      <c r="H263" s="218" t="str">
        <f>+'Plan de Accion apoyo transversa'!AK58</f>
        <v># de actividades realizadas</v>
      </c>
      <c r="J263" s="221">
        <f>+'Plan de Accion apoyo transversa'!AT58</f>
        <v>0</v>
      </c>
      <c r="K263" s="483" t="str">
        <f>+'Plan de Accion apoyo transversa'!CE58</f>
        <v>No Prog ni Ejec</v>
      </c>
      <c r="L263" s="483" t="s">
        <v>204</v>
      </c>
      <c r="M263" s="483">
        <f>+'Plan de Accion apoyo transversa'!AX58</f>
        <v>0</v>
      </c>
      <c r="N263" s="483">
        <f t="shared" si="243"/>
        <v>0</v>
      </c>
      <c r="O263" s="485" t="s">
        <v>204</v>
      </c>
      <c r="P263" s="216"/>
      <c r="Q263" s="221">
        <f>+'Plan de Accion apoyo transversa'!BD58</f>
        <v>0</v>
      </c>
      <c r="R263" s="253" t="str">
        <f>+'Plan de Accion apoyo transversa'!CG58</f>
        <v>No Prog ni Ejec</v>
      </c>
      <c r="S263" s="215" t="s">
        <v>204</v>
      </c>
      <c r="T263" s="311">
        <f>+'Plan de Accion apoyo transversa'!BH58</f>
        <v>0</v>
      </c>
      <c r="U263" s="311">
        <f t="shared" si="253"/>
        <v>0</v>
      </c>
      <c r="V263" s="214" t="s">
        <v>204</v>
      </c>
      <c r="W263" s="216"/>
      <c r="X263" s="221">
        <f>+'Plan de Accion apoyo transversa'!BN58</f>
        <v>1</v>
      </c>
      <c r="Y263" s="253">
        <f>+'Plan de Accion apoyo transversa'!CI58</f>
        <v>1</v>
      </c>
      <c r="Z263" s="215">
        <f t="shared" ref="Z263:Z265" si="257">IF(Y263&gt;100%,100%,Y263)</f>
        <v>1</v>
      </c>
      <c r="AA263" s="220">
        <f>+'Plan de Accion apoyo transversa'!BR58</f>
        <v>1</v>
      </c>
      <c r="AB263" s="220">
        <f t="shared" si="254"/>
        <v>1</v>
      </c>
      <c r="AC263" s="219">
        <f t="shared" si="255"/>
        <v>1</v>
      </c>
      <c r="AD263" s="216"/>
      <c r="AE263" s="221">
        <f>+'Plan de Accion apoyo transversa'!BX58</f>
        <v>0</v>
      </c>
      <c r="AF263" s="253" t="str">
        <f>+'Plan de Accion apoyo transversa'!CK58</f>
        <v>No Prog ni Ejec</v>
      </c>
      <c r="AG263" s="215">
        <f>IF(AF263&gt;100%,100%,AF263)</f>
        <v>1</v>
      </c>
      <c r="AH263" s="253">
        <f>+'Plan de Accion apoyo transversa'!CB58</f>
        <v>1</v>
      </c>
      <c r="AI263" s="214">
        <f t="shared" si="256"/>
        <v>1</v>
      </c>
      <c r="AJ263" s="224"/>
      <c r="AL263" s="318"/>
      <c r="AM263" s="225"/>
      <c r="AN263" s="207"/>
      <c r="AO263" s="318"/>
      <c r="AP263" s="225"/>
      <c r="AQ263" s="207"/>
      <c r="AR263" s="318"/>
      <c r="AS263" s="225"/>
      <c r="AT263" s="207"/>
      <c r="AU263" s="318"/>
      <c r="AV263" s="225"/>
      <c r="AW263" s="205"/>
      <c r="AX263" s="224"/>
      <c r="AZ263" s="318"/>
      <c r="BA263" s="225"/>
      <c r="BB263" s="207"/>
      <c r="BC263" s="318"/>
      <c r="BD263" s="225"/>
      <c r="BE263" s="207"/>
      <c r="BF263" s="318"/>
      <c r="BG263" s="225"/>
      <c r="BH263" s="207"/>
      <c r="BI263" s="318"/>
      <c r="BJ263" s="225"/>
      <c r="BK263" s="205"/>
      <c r="BL263" s="224"/>
      <c r="BN263" s="318"/>
      <c r="BO263" s="225"/>
      <c r="BP263" s="207"/>
      <c r="BQ263" s="318"/>
      <c r="BR263" s="225"/>
      <c r="BS263" s="207"/>
      <c r="BT263" s="318"/>
      <c r="BU263" s="225"/>
      <c r="BV263" s="207"/>
      <c r="BW263" s="318"/>
      <c r="BX263" s="225"/>
      <c r="BY263" s="205"/>
      <c r="BZ263" s="224"/>
      <c r="CB263" s="318"/>
      <c r="CC263" s="225"/>
      <c r="CD263" s="207"/>
      <c r="CE263" s="318"/>
      <c r="CF263" s="225"/>
      <c r="CG263" s="207"/>
      <c r="CH263" s="318"/>
      <c r="CI263" s="225"/>
      <c r="CJ263" s="207"/>
      <c r="CK263" s="318"/>
      <c r="CL263" s="225"/>
      <c r="CM263" s="205"/>
      <c r="CN263" s="224"/>
    </row>
    <row r="264" spans="2:92" ht="29.25" thickBot="1" x14ac:dyDescent="0.25">
      <c r="B264" s="1455"/>
      <c r="C264" s="1450"/>
      <c r="D264" s="1317"/>
      <c r="E264" s="1320"/>
      <c r="F264" s="1317"/>
      <c r="G264" s="322" t="str">
        <f>+'Plan de Accion apoyo transversa'!X59</f>
        <v>Programa de medicina preventiva elaborado</v>
      </c>
      <c r="H264" s="218" t="str">
        <f>+'Plan de Accion apoyo transversa'!AK59</f>
        <v># de actividades realizadas</v>
      </c>
      <c r="J264" s="221">
        <f>+'Plan de Accion apoyo transversa'!AT59</f>
        <v>0</v>
      </c>
      <c r="K264" s="483" t="str">
        <f>+'Plan de Accion apoyo transversa'!CE59</f>
        <v>No Prog ni Ejec</v>
      </c>
      <c r="L264" s="483" t="s">
        <v>204</v>
      </c>
      <c r="M264" s="483">
        <f>+'Plan de Accion apoyo transversa'!AX59</f>
        <v>0</v>
      </c>
      <c r="N264" s="483">
        <f t="shared" si="243"/>
        <v>0</v>
      </c>
      <c r="O264" s="485" t="s">
        <v>204</v>
      </c>
      <c r="P264" s="216"/>
      <c r="Q264" s="221">
        <f>+'Plan de Accion apoyo transversa'!BD59</f>
        <v>0</v>
      </c>
      <c r="R264" s="253" t="str">
        <f>+'Plan de Accion apoyo transversa'!CG59</f>
        <v>No Prog ni Ejec</v>
      </c>
      <c r="S264" s="215" t="s">
        <v>204</v>
      </c>
      <c r="T264" s="311">
        <f>+'Plan de Accion apoyo transversa'!BH59</f>
        <v>0</v>
      </c>
      <c r="U264" s="311">
        <f t="shared" si="253"/>
        <v>0</v>
      </c>
      <c r="V264" s="214" t="s">
        <v>204</v>
      </c>
      <c r="W264" s="216"/>
      <c r="X264" s="221">
        <f>+'Plan de Accion apoyo transversa'!BN59</f>
        <v>1</v>
      </c>
      <c r="Y264" s="253">
        <f>+'Plan de Accion apoyo transversa'!CI59</f>
        <v>1</v>
      </c>
      <c r="Z264" s="215">
        <f t="shared" si="257"/>
        <v>1</v>
      </c>
      <c r="AA264" s="220">
        <f>+'Plan de Accion apoyo transversa'!BR59</f>
        <v>1</v>
      </c>
      <c r="AB264" s="220">
        <f t="shared" si="254"/>
        <v>1</v>
      </c>
      <c r="AC264" s="219">
        <f t="shared" si="255"/>
        <v>1</v>
      </c>
      <c r="AD264" s="216"/>
      <c r="AE264" s="221">
        <f>+'Plan de Accion apoyo transversa'!BX59</f>
        <v>0</v>
      </c>
      <c r="AF264" s="253" t="str">
        <f>+'Plan de Accion apoyo transversa'!CK59</f>
        <v>No Prog ni Ejec</v>
      </c>
      <c r="AG264" s="215" t="s">
        <v>204</v>
      </c>
      <c r="AH264" s="253">
        <f>+'Plan de Accion apoyo transversa'!CB59</f>
        <v>1</v>
      </c>
      <c r="AI264" s="214">
        <f t="shared" si="256"/>
        <v>1</v>
      </c>
      <c r="AJ264" s="224"/>
      <c r="AL264" s="318"/>
      <c r="AM264" s="225"/>
      <c r="AN264" s="207"/>
      <c r="AO264" s="318"/>
      <c r="AP264" s="225"/>
      <c r="AQ264" s="207"/>
      <c r="AR264" s="318"/>
      <c r="AS264" s="225"/>
      <c r="AT264" s="207"/>
      <c r="AU264" s="318"/>
      <c r="AV264" s="225"/>
      <c r="AW264" s="205"/>
      <c r="AX264" s="224"/>
      <c r="AZ264" s="318"/>
      <c r="BA264" s="225"/>
      <c r="BB264" s="207"/>
      <c r="BC264" s="318"/>
      <c r="BD264" s="225"/>
      <c r="BE264" s="207"/>
      <c r="BF264" s="318"/>
      <c r="BG264" s="225"/>
      <c r="BH264" s="207"/>
      <c r="BI264" s="318"/>
      <c r="BJ264" s="225"/>
      <c r="BK264" s="205"/>
      <c r="BL264" s="224"/>
      <c r="BN264" s="318"/>
      <c r="BO264" s="225"/>
      <c r="BP264" s="207"/>
      <c r="BQ264" s="318"/>
      <c r="BR264" s="225"/>
      <c r="BS264" s="207"/>
      <c r="BT264" s="318"/>
      <c r="BU264" s="225"/>
      <c r="BV264" s="207"/>
      <c r="BW264" s="318"/>
      <c r="BX264" s="225"/>
      <c r="BY264" s="205"/>
      <c r="BZ264" s="224"/>
      <c r="CB264" s="318"/>
      <c r="CC264" s="225"/>
      <c r="CD264" s="207"/>
      <c r="CE264" s="318"/>
      <c r="CF264" s="225"/>
      <c r="CG264" s="207"/>
      <c r="CH264" s="318"/>
      <c r="CI264" s="225"/>
      <c r="CJ264" s="207"/>
      <c r="CK264" s="318"/>
      <c r="CL264" s="225"/>
      <c r="CM264" s="205"/>
      <c r="CN264" s="224"/>
    </row>
    <row r="265" spans="2:92" ht="29.25" thickBot="1" x14ac:dyDescent="0.25">
      <c r="B265" s="1455"/>
      <c r="C265" s="1450"/>
      <c r="D265" s="1317"/>
      <c r="E265" s="1320"/>
      <c r="F265" s="1317"/>
      <c r="G265" s="322" t="str">
        <f>+'Plan de Accion apoyo transversa'!X60</f>
        <v>Programa de orden y aseso elaborado</v>
      </c>
      <c r="H265" s="218" t="str">
        <f>+'Plan de Accion apoyo transversa'!AK60</f>
        <v># de actividades realizadas</v>
      </c>
      <c r="J265" s="221">
        <f>+'Plan de Accion apoyo transversa'!AT60</f>
        <v>0</v>
      </c>
      <c r="K265" s="483" t="str">
        <f>+'Plan de Accion apoyo transversa'!CE60</f>
        <v>No Prog ni Ejec</v>
      </c>
      <c r="L265" s="483" t="s">
        <v>204</v>
      </c>
      <c r="M265" s="483">
        <f>+'Plan de Accion apoyo transversa'!AX60</f>
        <v>0</v>
      </c>
      <c r="N265" s="483">
        <f t="shared" si="243"/>
        <v>0</v>
      </c>
      <c r="O265" s="485" t="s">
        <v>204</v>
      </c>
      <c r="P265" s="216"/>
      <c r="Q265" s="221">
        <f>+'Plan de Accion apoyo transversa'!BD60</f>
        <v>0</v>
      </c>
      <c r="R265" s="253" t="str">
        <f>+'Plan de Accion apoyo transversa'!CG60</f>
        <v>No Prog ni Ejec</v>
      </c>
      <c r="S265" s="215" t="s">
        <v>204</v>
      </c>
      <c r="T265" s="311">
        <f>+'Plan de Accion apoyo transversa'!BH60</f>
        <v>0</v>
      </c>
      <c r="U265" s="311">
        <f t="shared" si="253"/>
        <v>0</v>
      </c>
      <c r="V265" s="214" t="s">
        <v>204</v>
      </c>
      <c r="W265" s="216"/>
      <c r="X265" s="221">
        <f>+'Plan de Accion apoyo transversa'!BN60</f>
        <v>1</v>
      </c>
      <c r="Y265" s="253">
        <f>+'Plan de Accion apoyo transversa'!CI60</f>
        <v>1</v>
      </c>
      <c r="Z265" s="215">
        <f t="shared" si="257"/>
        <v>1</v>
      </c>
      <c r="AA265" s="220">
        <f>+'Plan de Accion apoyo transversa'!BR60</f>
        <v>1</v>
      </c>
      <c r="AB265" s="220">
        <f t="shared" si="254"/>
        <v>1</v>
      </c>
      <c r="AC265" s="219">
        <f t="shared" si="255"/>
        <v>1</v>
      </c>
      <c r="AD265" s="216"/>
      <c r="AE265" s="221">
        <f>+'Plan de Accion apoyo transversa'!BX60</f>
        <v>0</v>
      </c>
      <c r="AF265" s="253" t="str">
        <f>+'Plan de Accion apoyo transversa'!CK60</f>
        <v>No Prog ni Ejec</v>
      </c>
      <c r="AG265" s="215" t="s">
        <v>204</v>
      </c>
      <c r="AH265" s="253">
        <f>+'Plan de Accion apoyo transversa'!CB60</f>
        <v>1</v>
      </c>
      <c r="AI265" s="214">
        <f t="shared" si="256"/>
        <v>1</v>
      </c>
      <c r="AJ265" s="224"/>
      <c r="AL265" s="318"/>
      <c r="AM265" s="225"/>
      <c r="AN265" s="207"/>
      <c r="AO265" s="318"/>
      <c r="AP265" s="225"/>
      <c r="AQ265" s="207"/>
      <c r="AR265" s="318"/>
      <c r="AS265" s="225"/>
      <c r="AT265" s="207"/>
      <c r="AU265" s="318"/>
      <c r="AV265" s="225"/>
      <c r="AW265" s="205"/>
      <c r="AX265" s="224"/>
      <c r="AZ265" s="318"/>
      <c r="BA265" s="225"/>
      <c r="BB265" s="207"/>
      <c r="BC265" s="318"/>
      <c r="BD265" s="225"/>
      <c r="BE265" s="207"/>
      <c r="BF265" s="318"/>
      <c r="BG265" s="225"/>
      <c r="BH265" s="207"/>
      <c r="BI265" s="318"/>
      <c r="BJ265" s="225"/>
      <c r="BK265" s="205"/>
      <c r="BL265" s="224"/>
      <c r="BN265" s="318"/>
      <c r="BO265" s="225"/>
      <c r="BP265" s="207"/>
      <c r="BQ265" s="318"/>
      <c r="BR265" s="225"/>
      <c r="BS265" s="207"/>
      <c r="BT265" s="318"/>
      <c r="BU265" s="225"/>
      <c r="BV265" s="207"/>
      <c r="BW265" s="318"/>
      <c r="BX265" s="225"/>
      <c r="BY265" s="205"/>
      <c r="BZ265" s="224"/>
      <c r="CB265" s="318"/>
      <c r="CC265" s="225"/>
      <c r="CD265" s="207"/>
      <c r="CE265" s="318"/>
      <c r="CF265" s="225"/>
      <c r="CG265" s="207"/>
      <c r="CH265" s="318"/>
      <c r="CI265" s="225"/>
      <c r="CJ265" s="207"/>
      <c r="CK265" s="318"/>
      <c r="CL265" s="225"/>
      <c r="CM265" s="205"/>
      <c r="CN265" s="224"/>
    </row>
    <row r="266" spans="2:92" ht="57.75" thickBot="1" x14ac:dyDescent="0.25">
      <c r="B266" s="1455"/>
      <c r="C266" s="1450"/>
      <c r="D266" s="1317"/>
      <c r="E266" s="1320"/>
      <c r="F266" s="1317"/>
      <c r="G266" s="322" t="str">
        <f>+'Plan de Accion apoyo transversa'!X61</f>
        <v>Programa de vigilancia epidemiológicos  de riesgo Psicosocial y Biomecánico elaborado</v>
      </c>
      <c r="H266" s="218" t="str">
        <f>+'Plan de Accion apoyo transversa'!AK61</f>
        <v># de actividades realizadas</v>
      </c>
      <c r="J266" s="221">
        <f>+'Plan de Accion apoyo transversa'!AT61</f>
        <v>0</v>
      </c>
      <c r="K266" s="483" t="str">
        <f>+'Plan de Accion apoyo transversa'!CE61</f>
        <v>No Prog ni Ejec</v>
      </c>
      <c r="L266" s="483" t="s">
        <v>204</v>
      </c>
      <c r="M266" s="483">
        <f>+'Plan de Accion apoyo transversa'!AX61</f>
        <v>0</v>
      </c>
      <c r="N266" s="483">
        <f t="shared" si="243"/>
        <v>0</v>
      </c>
      <c r="O266" s="485" t="s">
        <v>204</v>
      </c>
      <c r="P266" s="216"/>
      <c r="Q266" s="221">
        <f>+'Plan de Accion apoyo transversa'!BD61</f>
        <v>0</v>
      </c>
      <c r="R266" s="253" t="str">
        <f>+'Plan de Accion apoyo transversa'!CG61</f>
        <v>No Prog ni Ejec</v>
      </c>
      <c r="S266" s="215" t="s">
        <v>204</v>
      </c>
      <c r="T266" s="311">
        <f>+'Plan de Accion apoyo transversa'!BH61</f>
        <v>0</v>
      </c>
      <c r="U266" s="311">
        <f t="shared" si="253"/>
        <v>0</v>
      </c>
      <c r="V266" s="214" t="s">
        <v>204</v>
      </c>
      <c r="W266" s="216"/>
      <c r="X266" s="221">
        <f>+'Plan de Accion apoyo transversa'!BN61</f>
        <v>1</v>
      </c>
      <c r="Y266" s="253">
        <f>+'Plan de Accion apoyo transversa'!CI61</f>
        <v>1</v>
      </c>
      <c r="Z266" s="215">
        <f t="shared" ref="Z266:Z271" si="258">IF(Y266&gt;100%,100%,Y266)</f>
        <v>1</v>
      </c>
      <c r="AA266" s="220">
        <f>+'Plan de Accion apoyo transversa'!BR61</f>
        <v>0.5</v>
      </c>
      <c r="AB266" s="220">
        <f t="shared" si="254"/>
        <v>0.5</v>
      </c>
      <c r="AC266" s="219">
        <f t="shared" si="255"/>
        <v>0.5</v>
      </c>
      <c r="AD266" s="216"/>
      <c r="AE266" s="221">
        <f>+'Plan de Accion apoyo transversa'!BX61</f>
        <v>0</v>
      </c>
      <c r="AF266" s="253">
        <f>+'Plan de Accion apoyo transversa'!CK61</f>
        <v>0</v>
      </c>
      <c r="AG266" s="215" t="s">
        <v>204</v>
      </c>
      <c r="AH266" s="253">
        <f>+'Plan de Accion apoyo transversa'!CB61</f>
        <v>0.5</v>
      </c>
      <c r="AI266" s="214">
        <f t="shared" si="256"/>
        <v>0.5</v>
      </c>
      <c r="AJ266" s="224"/>
      <c r="AL266" s="318"/>
      <c r="AM266" s="225"/>
      <c r="AN266" s="207"/>
      <c r="AO266" s="318"/>
      <c r="AP266" s="225"/>
      <c r="AQ266" s="207"/>
      <c r="AR266" s="318"/>
      <c r="AS266" s="225"/>
      <c r="AT266" s="207"/>
      <c r="AU266" s="318"/>
      <c r="AV266" s="225"/>
      <c r="AW266" s="205"/>
      <c r="AX266" s="224"/>
      <c r="AZ266" s="318"/>
      <c r="BA266" s="225"/>
      <c r="BB266" s="207"/>
      <c r="BC266" s="318"/>
      <c r="BD266" s="225"/>
      <c r="BE266" s="207"/>
      <c r="BF266" s="318"/>
      <c r="BG266" s="225"/>
      <c r="BH266" s="207"/>
      <c r="BI266" s="318"/>
      <c r="BJ266" s="225"/>
      <c r="BK266" s="205"/>
      <c r="BL266" s="224"/>
      <c r="BN266" s="318"/>
      <c r="BO266" s="225"/>
      <c r="BP266" s="207"/>
      <c r="BQ266" s="318"/>
      <c r="BR266" s="225"/>
      <c r="BS266" s="207"/>
      <c r="BT266" s="318"/>
      <c r="BU266" s="225"/>
      <c r="BV266" s="207"/>
      <c r="BW266" s="318"/>
      <c r="BX266" s="225"/>
      <c r="BY266" s="205"/>
      <c r="BZ266" s="224"/>
      <c r="CB266" s="318"/>
      <c r="CC266" s="225"/>
      <c r="CD266" s="207"/>
      <c r="CE266" s="318"/>
      <c r="CF266" s="225"/>
      <c r="CG266" s="207"/>
      <c r="CH266" s="318"/>
      <c r="CI266" s="225"/>
      <c r="CJ266" s="207"/>
      <c r="CK266" s="318"/>
      <c r="CL266" s="225"/>
      <c r="CM266" s="205"/>
      <c r="CN266" s="224"/>
    </row>
    <row r="267" spans="2:92" ht="57.75" thickBot="1" x14ac:dyDescent="0.25">
      <c r="B267" s="1455"/>
      <c r="C267" s="1450"/>
      <c r="D267" s="1317"/>
      <c r="E267" s="1320"/>
      <c r="F267" s="1317"/>
      <c r="G267" s="322" t="str">
        <f>+'Plan de Accion apoyo transversa'!X62</f>
        <v>Programa de manejo de sustancias químicas (Sistema Globalmente armonizado) elaborado</v>
      </c>
      <c r="H267" s="218" t="str">
        <f>+'Plan de Accion apoyo transversa'!AK62</f>
        <v># de actividades realizadas</v>
      </c>
      <c r="J267" s="221">
        <f>+'Plan de Accion apoyo transversa'!AT62</f>
        <v>0</v>
      </c>
      <c r="K267" s="483" t="str">
        <f>+'Plan de Accion apoyo transversa'!CE62</f>
        <v>No Prog ni Ejec</v>
      </c>
      <c r="L267" s="483" t="s">
        <v>204</v>
      </c>
      <c r="M267" s="659" t="s">
        <v>204</v>
      </c>
      <c r="N267" s="659" t="s">
        <v>204</v>
      </c>
      <c r="O267" s="485" t="s">
        <v>204</v>
      </c>
      <c r="P267" s="216"/>
      <c r="Q267" s="221">
        <f>+'Plan de Accion apoyo transversa'!BD62</f>
        <v>0</v>
      </c>
      <c r="R267" s="253" t="str">
        <f>+'Plan de Accion apoyo transversa'!CG62</f>
        <v>No Prog ni Ejec</v>
      </c>
      <c r="S267" s="215" t="s">
        <v>204</v>
      </c>
      <c r="T267" s="311" t="s">
        <v>204</v>
      </c>
      <c r="U267" s="311" t="s">
        <v>204</v>
      </c>
      <c r="V267" s="214" t="s">
        <v>204</v>
      </c>
      <c r="W267" s="216"/>
      <c r="X267" s="221">
        <f>+'Plan de Accion apoyo transversa'!BN62</f>
        <v>1</v>
      </c>
      <c r="Y267" s="253">
        <f>+'Plan de Accion apoyo transversa'!CI62</f>
        <v>1</v>
      </c>
      <c r="Z267" s="215">
        <f t="shared" ref="Z267" si="259">IF(Y267&gt;100%,100%,Y267)</f>
        <v>1</v>
      </c>
      <c r="AA267" s="220">
        <f>+'Plan de Accion apoyo transversa'!BR62</f>
        <v>1</v>
      </c>
      <c r="AB267" s="220">
        <f t="shared" ref="AB267" si="260">IF(AA267&gt;100%,100%,AA267)</f>
        <v>1</v>
      </c>
      <c r="AC267" s="219">
        <f t="shared" ref="AC267" si="261">+AB267</f>
        <v>1</v>
      </c>
      <c r="AD267" s="216"/>
      <c r="AE267" s="221">
        <f>+'Plan de Accion apoyo transversa'!BX62</f>
        <v>0</v>
      </c>
      <c r="AF267" s="253" t="str">
        <f>+'Plan de Accion apoyo transversa'!CK62</f>
        <v>No Prog ni Ejec</v>
      </c>
      <c r="AG267" s="215" t="s">
        <v>204</v>
      </c>
      <c r="AH267" s="253">
        <f>+'Plan de Accion apoyo transversa'!CB62</f>
        <v>1</v>
      </c>
      <c r="AI267" s="214">
        <f t="shared" si="256"/>
        <v>1</v>
      </c>
      <c r="AJ267" s="224"/>
      <c r="AL267" s="318"/>
      <c r="AM267" s="225"/>
      <c r="AN267" s="207"/>
      <c r="AO267" s="318"/>
      <c r="AP267" s="225"/>
      <c r="AQ267" s="207"/>
      <c r="AR267" s="318"/>
      <c r="AS267" s="225"/>
      <c r="AT267" s="207"/>
      <c r="AU267" s="318"/>
      <c r="AV267" s="225"/>
      <c r="AW267" s="205"/>
      <c r="AX267" s="224"/>
      <c r="AZ267" s="318"/>
      <c r="BA267" s="225"/>
      <c r="BB267" s="207"/>
      <c r="BC267" s="318"/>
      <c r="BD267" s="225"/>
      <c r="BE267" s="207"/>
      <c r="BF267" s="318"/>
      <c r="BG267" s="225"/>
      <c r="BH267" s="207"/>
      <c r="BI267" s="318"/>
      <c r="BJ267" s="225"/>
      <c r="BK267" s="205"/>
      <c r="BL267" s="224"/>
      <c r="BN267" s="318"/>
      <c r="BO267" s="225"/>
      <c r="BP267" s="207"/>
      <c r="BQ267" s="318"/>
      <c r="BR267" s="225"/>
      <c r="BS267" s="207"/>
      <c r="BT267" s="318"/>
      <c r="BU267" s="225"/>
      <c r="BV267" s="207"/>
      <c r="BW267" s="318"/>
      <c r="BX267" s="225"/>
      <c r="BY267" s="205"/>
      <c r="BZ267" s="224"/>
      <c r="CB267" s="318"/>
      <c r="CC267" s="225"/>
      <c r="CD267" s="207"/>
      <c r="CE267" s="318"/>
      <c r="CF267" s="225"/>
      <c r="CG267" s="207"/>
      <c r="CH267" s="318"/>
      <c r="CI267" s="225"/>
      <c r="CJ267" s="207"/>
      <c r="CK267" s="318"/>
      <c r="CL267" s="225"/>
      <c r="CM267" s="205"/>
      <c r="CN267" s="224"/>
    </row>
    <row r="268" spans="2:92" ht="43.5" thickBot="1" x14ac:dyDescent="0.25">
      <c r="B268" s="1455"/>
      <c r="C268" s="1450"/>
      <c r="D268" s="1317"/>
      <c r="E268" s="1320"/>
      <c r="F268" s="1317"/>
      <c r="G268" s="322" t="str">
        <f>+'Plan de Accion apoyo transversa'!X66</f>
        <v>Jornada de divulgación  del programa de inspecciones  realizada</v>
      </c>
      <c r="H268" s="218" t="str">
        <f>+'Plan de Accion apoyo transversa'!AK66</f>
        <v># de actividades realizadas</v>
      </c>
      <c r="J268" s="221">
        <f>+'Plan de Accion apoyo transversa'!AT66</f>
        <v>0</v>
      </c>
      <c r="K268" s="483" t="str">
        <f>+'Plan de Accion apoyo transversa'!CE66</f>
        <v>No Prog ni Ejec</v>
      </c>
      <c r="L268" s="483" t="s">
        <v>204</v>
      </c>
      <c r="M268" s="483">
        <f>+'Plan de Accion apoyo transversa'!AX66</f>
        <v>0</v>
      </c>
      <c r="N268" s="483">
        <f t="shared" si="243"/>
        <v>0</v>
      </c>
      <c r="O268" s="485" t="s">
        <v>204</v>
      </c>
      <c r="P268" s="216"/>
      <c r="Q268" s="221" t="s">
        <v>204</v>
      </c>
      <c r="R268" s="253" t="s">
        <v>180</v>
      </c>
      <c r="S268" s="215" t="s">
        <v>204</v>
      </c>
      <c r="T268" s="311" t="s">
        <v>204</v>
      </c>
      <c r="U268" s="311" t="s">
        <v>204</v>
      </c>
      <c r="V268" s="214" t="str">
        <f>+U268</f>
        <v>N.A</v>
      </c>
      <c r="W268" s="216"/>
      <c r="X268" s="221" t="s">
        <v>204</v>
      </c>
      <c r="Y268" s="253" t="str">
        <f>+'Plan de Accion apoyo transversa'!CI66</f>
        <v>No Prog ni Ejec</v>
      </c>
      <c r="Z268" s="215" t="s">
        <v>204</v>
      </c>
      <c r="AA268" s="220" t="s">
        <v>204</v>
      </c>
      <c r="AB268" s="220" t="s">
        <v>204</v>
      </c>
      <c r="AC268" s="219" t="str">
        <f t="shared" si="255"/>
        <v>N.A</v>
      </c>
      <c r="AD268" s="216"/>
      <c r="AE268" s="221" t="s">
        <v>204</v>
      </c>
      <c r="AF268" s="253" t="str">
        <f>+'Plan de Accion apoyo transversa'!CK66</f>
        <v>No Prog ni Ejec</v>
      </c>
      <c r="AG268" s="215" t="s">
        <v>204</v>
      </c>
      <c r="AH268" s="253" t="s">
        <v>204</v>
      </c>
      <c r="AI268" s="214" t="s">
        <v>204</v>
      </c>
      <c r="AJ268" s="224"/>
      <c r="AL268" s="318"/>
      <c r="AM268" s="225"/>
      <c r="AN268" s="207"/>
      <c r="AO268" s="318"/>
      <c r="AP268" s="225"/>
      <c r="AQ268" s="207"/>
      <c r="AR268" s="318"/>
      <c r="AS268" s="225"/>
      <c r="AT268" s="207"/>
      <c r="AU268" s="318"/>
      <c r="AV268" s="225"/>
      <c r="AW268" s="205"/>
      <c r="AX268" s="224"/>
      <c r="AZ268" s="318"/>
      <c r="BA268" s="225"/>
      <c r="BB268" s="207"/>
      <c r="BC268" s="318"/>
      <c r="BD268" s="225"/>
      <c r="BE268" s="207"/>
      <c r="BF268" s="318"/>
      <c r="BG268" s="225"/>
      <c r="BH268" s="207"/>
      <c r="BI268" s="318"/>
      <c r="BJ268" s="225"/>
      <c r="BK268" s="205"/>
      <c r="BL268" s="224"/>
      <c r="BN268" s="318"/>
      <c r="BO268" s="225"/>
      <c r="BP268" s="207"/>
      <c r="BQ268" s="318"/>
      <c r="BR268" s="225"/>
      <c r="BS268" s="207"/>
      <c r="BT268" s="318"/>
      <c r="BU268" s="225"/>
      <c r="BV268" s="207"/>
      <c r="BW268" s="318"/>
      <c r="BX268" s="225"/>
      <c r="BY268" s="205"/>
      <c r="BZ268" s="224"/>
      <c r="CB268" s="318"/>
      <c r="CC268" s="225"/>
      <c r="CD268" s="207"/>
      <c r="CE268" s="318"/>
      <c r="CF268" s="225"/>
      <c r="CG268" s="207"/>
      <c r="CH268" s="318"/>
      <c r="CI268" s="225"/>
      <c r="CJ268" s="207"/>
      <c r="CK268" s="318"/>
      <c r="CL268" s="225"/>
      <c r="CM268" s="205"/>
      <c r="CN268" s="224"/>
    </row>
    <row r="269" spans="2:92" ht="43.5" thickBot="1" x14ac:dyDescent="0.25">
      <c r="B269" s="1455"/>
      <c r="C269" s="1450"/>
      <c r="D269" s="1317"/>
      <c r="E269" s="1320"/>
      <c r="F269" s="1317"/>
      <c r="G269" s="322" t="str">
        <f>+'Plan de Accion apoyo transversa'!X67</f>
        <v>Jornada de divulgación del programa de mantenimiento realizada</v>
      </c>
      <c r="H269" s="218" t="str">
        <f>+'Plan de Accion apoyo transversa'!AK67</f>
        <v># de actividades realizadas</v>
      </c>
      <c r="J269" s="221">
        <f>+'Plan de Accion apoyo transversa'!AT67</f>
        <v>0</v>
      </c>
      <c r="K269" s="483" t="str">
        <f>+'Plan de Accion apoyo transversa'!CE67</f>
        <v>No Prog ni Ejec</v>
      </c>
      <c r="L269" s="483" t="s">
        <v>204</v>
      </c>
      <c r="M269" s="483">
        <f>+'Plan de Accion apoyo transversa'!AX67</f>
        <v>0</v>
      </c>
      <c r="N269" s="483">
        <f t="shared" si="243"/>
        <v>0</v>
      </c>
      <c r="O269" s="485" t="s">
        <v>204</v>
      </c>
      <c r="P269" s="216"/>
      <c r="Q269" s="221" t="s">
        <v>204</v>
      </c>
      <c r="R269" s="253" t="s">
        <v>180</v>
      </c>
      <c r="S269" s="215" t="s">
        <v>204</v>
      </c>
      <c r="T269" s="552" t="s">
        <v>204</v>
      </c>
      <c r="U269" s="552" t="s">
        <v>204</v>
      </c>
      <c r="V269" s="214" t="str">
        <f>+U269</f>
        <v>N.A</v>
      </c>
      <c r="W269" s="216"/>
      <c r="X269" s="221" t="s">
        <v>204</v>
      </c>
      <c r="Y269" s="253" t="str">
        <f>+'Plan de Accion apoyo transversa'!CI67</f>
        <v>No Prog ni Ejec</v>
      </c>
      <c r="Z269" s="215" t="s">
        <v>204</v>
      </c>
      <c r="AA269" s="220" t="s">
        <v>204</v>
      </c>
      <c r="AB269" s="220" t="s">
        <v>204</v>
      </c>
      <c r="AC269" s="219" t="str">
        <f t="shared" ref="AC269" si="262">+AB269</f>
        <v>N.A</v>
      </c>
      <c r="AD269" s="216"/>
      <c r="AE269" s="221" t="s">
        <v>204</v>
      </c>
      <c r="AF269" s="253" t="s">
        <v>180</v>
      </c>
      <c r="AG269" s="215" t="s">
        <v>204</v>
      </c>
      <c r="AH269" s="253" t="s">
        <v>204</v>
      </c>
      <c r="AI269" s="214" t="s">
        <v>204</v>
      </c>
      <c r="AJ269" s="224"/>
      <c r="AL269" s="318"/>
      <c r="AM269" s="225"/>
      <c r="AN269" s="207"/>
      <c r="AO269" s="318"/>
      <c r="AP269" s="225"/>
      <c r="AQ269" s="207"/>
      <c r="AR269" s="318"/>
      <c r="AS269" s="225"/>
      <c r="AT269" s="207"/>
      <c r="AU269" s="318"/>
      <c r="AV269" s="225"/>
      <c r="AW269" s="205"/>
      <c r="AX269" s="224"/>
      <c r="AZ269" s="318"/>
      <c r="BA269" s="225"/>
      <c r="BB269" s="207"/>
      <c r="BC269" s="318"/>
      <c r="BD269" s="225"/>
      <c r="BE269" s="207"/>
      <c r="BF269" s="318"/>
      <c r="BG269" s="225"/>
      <c r="BH269" s="207"/>
      <c r="BI269" s="318"/>
      <c r="BJ269" s="225"/>
      <c r="BK269" s="205"/>
      <c r="BL269" s="224"/>
      <c r="BN269" s="318"/>
      <c r="BO269" s="225"/>
      <c r="BP269" s="207"/>
      <c r="BQ269" s="318"/>
      <c r="BR269" s="225"/>
      <c r="BS269" s="207"/>
      <c r="BT269" s="318"/>
      <c r="BU269" s="225"/>
      <c r="BV269" s="207"/>
      <c r="BW269" s="318"/>
      <c r="BX269" s="225"/>
      <c r="BY269" s="205"/>
      <c r="BZ269" s="224"/>
      <c r="CB269" s="318"/>
      <c r="CC269" s="225"/>
      <c r="CD269" s="207"/>
      <c r="CE269" s="318"/>
      <c r="CF269" s="225"/>
      <c r="CG269" s="207"/>
      <c r="CH269" s="318"/>
      <c r="CI269" s="225"/>
      <c r="CJ269" s="207"/>
      <c r="CK269" s="318"/>
      <c r="CL269" s="225"/>
      <c r="CM269" s="205"/>
      <c r="CN269" s="224"/>
    </row>
    <row r="270" spans="2:92" ht="72" thickBot="1" x14ac:dyDescent="0.25">
      <c r="B270" s="1455"/>
      <c r="C270" s="1450"/>
      <c r="D270" s="1317"/>
      <c r="E270" s="1320"/>
      <c r="F270" s="1317"/>
      <c r="G270" s="322" t="str">
        <f>+'Plan de Accion apoyo transversa'!X68</f>
        <v>Informes de resultado de la investigación</v>
      </c>
      <c r="H270" s="218" t="str">
        <f>+'Plan de Accion apoyo transversa'!AK68</f>
        <v># Informes de resultado de la investigación / # eventos de incidentes, accidentes de trabajo y/o enfermedades reportados</v>
      </c>
      <c r="J270" s="310">
        <f>+'Plan de Accion apoyo transversa'!AT68</f>
        <v>0.25</v>
      </c>
      <c r="K270" s="483">
        <f>+'Plan de Accion apoyo transversa'!CE68</f>
        <v>1</v>
      </c>
      <c r="L270" s="483">
        <f>IF(K270&gt;100%,100%,K270)</f>
        <v>1</v>
      </c>
      <c r="M270" s="483">
        <f>+'Plan de Accion apoyo transversa'!AX68</f>
        <v>0.25</v>
      </c>
      <c r="N270" s="483">
        <f t="shared" si="243"/>
        <v>0.25</v>
      </c>
      <c r="O270" s="485">
        <f>+N270</f>
        <v>0.25</v>
      </c>
      <c r="P270" s="216"/>
      <c r="Q270" s="217">
        <f>+'Plan de Accion apoyo transversa'!BD68</f>
        <v>0.25</v>
      </c>
      <c r="R270" s="253">
        <f>+'Plan de Accion apoyo transversa'!CG68</f>
        <v>1</v>
      </c>
      <c r="S270" s="215">
        <f>IF(R270&gt;100%,100%,R270)</f>
        <v>1</v>
      </c>
      <c r="T270" s="311">
        <f>+'Plan de Accion apoyo transversa'!BH68</f>
        <v>0.5</v>
      </c>
      <c r="U270" s="311">
        <f t="shared" ref="U270:U271" si="263">IF(T270&gt;100%,100%,T270)</f>
        <v>0.5</v>
      </c>
      <c r="V270" s="214">
        <f>+U270</f>
        <v>0.5</v>
      </c>
      <c r="W270" s="216"/>
      <c r="X270" s="217">
        <f>+'Plan de Accion apoyo transversa'!BN68</f>
        <v>0.25</v>
      </c>
      <c r="Y270" s="253">
        <f>+'Plan de Accion apoyo transversa'!CI68</f>
        <v>1</v>
      </c>
      <c r="Z270" s="215">
        <f t="shared" si="258"/>
        <v>1</v>
      </c>
      <c r="AA270" s="220">
        <f>+'Plan de Accion apoyo transversa'!BR68</f>
        <v>0.75</v>
      </c>
      <c r="AB270" s="220">
        <f t="shared" ref="AB270:AB295" si="264">IF(AA270&gt;100%,100%,AA270)</f>
        <v>0.75</v>
      </c>
      <c r="AC270" s="219">
        <f t="shared" si="255"/>
        <v>0.75</v>
      </c>
      <c r="AD270" s="216"/>
      <c r="AE270" s="217">
        <f>+'Plan de Accion apoyo transversa'!BX68</f>
        <v>0</v>
      </c>
      <c r="AF270" s="253">
        <f>+'Plan de Accion apoyo transversa'!CK68</f>
        <v>0</v>
      </c>
      <c r="AG270" s="215">
        <f>IF(AF270&gt;100%,100%,AF270)</f>
        <v>0</v>
      </c>
      <c r="AH270" s="253">
        <f>+'Plan de Accion apoyo transversa'!CB68</f>
        <v>0.75</v>
      </c>
      <c r="AI270" s="214">
        <f t="shared" ref="AI270:AI271" si="265">IF(AH270&gt;100%,100%,AH270)</f>
        <v>0.75</v>
      </c>
      <c r="AJ270" s="224"/>
      <c r="AL270" s="318"/>
      <c r="AM270" s="225"/>
      <c r="AN270" s="207"/>
      <c r="AO270" s="318"/>
      <c r="AP270" s="225"/>
      <c r="AQ270" s="207"/>
      <c r="AR270" s="318"/>
      <c r="AS270" s="225"/>
      <c r="AT270" s="207"/>
      <c r="AU270" s="318"/>
      <c r="AV270" s="225"/>
      <c r="AW270" s="205"/>
      <c r="AX270" s="224"/>
      <c r="AZ270" s="318"/>
      <c r="BA270" s="225"/>
      <c r="BB270" s="207"/>
      <c r="BC270" s="318"/>
      <c r="BD270" s="225"/>
      <c r="BE270" s="207"/>
      <c r="BF270" s="318"/>
      <c r="BG270" s="225"/>
      <c r="BH270" s="207"/>
      <c r="BI270" s="318"/>
      <c r="BJ270" s="225"/>
      <c r="BK270" s="205"/>
      <c r="BL270" s="224"/>
      <c r="BN270" s="318"/>
      <c r="BO270" s="225"/>
      <c r="BP270" s="207"/>
      <c r="BQ270" s="318"/>
      <c r="BR270" s="225"/>
      <c r="BS270" s="207"/>
      <c r="BT270" s="318"/>
      <c r="BU270" s="225"/>
      <c r="BV270" s="207"/>
      <c r="BW270" s="318"/>
      <c r="BX270" s="225"/>
      <c r="BY270" s="205"/>
      <c r="BZ270" s="224"/>
      <c r="CB270" s="318"/>
      <c r="CC270" s="225"/>
      <c r="CD270" s="207"/>
      <c r="CE270" s="318"/>
      <c r="CF270" s="225"/>
      <c r="CG270" s="207"/>
      <c r="CH270" s="318"/>
      <c r="CI270" s="225"/>
      <c r="CJ270" s="207"/>
      <c r="CK270" s="318"/>
      <c r="CL270" s="225"/>
      <c r="CM270" s="205"/>
      <c r="CN270" s="224"/>
    </row>
    <row r="271" spans="2:92" ht="86.25" thickBot="1" x14ac:dyDescent="0.25">
      <c r="B271" s="1455"/>
      <c r="C271" s="1450"/>
      <c r="D271" s="1317"/>
      <c r="E271" s="1320"/>
      <c r="F271" s="1317"/>
      <c r="G271" s="322" t="str">
        <f>+'Plan de Accion apoyo transversa'!X69</f>
        <v>Reuniones - Inspecciones - Acompañamiento y seguimiento en el desarrollo del Comité paritario de seguridad y Salud en el trabajo</v>
      </c>
      <c r="H271" s="218" t="str">
        <f>+'Plan de Accion apoyo transversa'!AK69</f>
        <v># de actividades realizadas</v>
      </c>
      <c r="J271" s="221">
        <f>+'Plan de Accion apoyo transversa'!AT69</f>
        <v>1</v>
      </c>
      <c r="K271" s="483">
        <f>+'Plan de Accion apoyo transversa'!CE69</f>
        <v>1</v>
      </c>
      <c r="L271" s="483">
        <f>IF(K271&gt;100%,100%,K271)</f>
        <v>1</v>
      </c>
      <c r="M271" s="483">
        <f>+'Plan de Accion apoyo transversa'!AX69</f>
        <v>0.25</v>
      </c>
      <c r="N271" s="483">
        <f t="shared" si="243"/>
        <v>0.25</v>
      </c>
      <c r="O271" s="485">
        <f>+N271</f>
        <v>0.25</v>
      </c>
      <c r="P271" s="216"/>
      <c r="Q271" s="221">
        <f>+'Plan de Accion apoyo transversa'!BD69</f>
        <v>1</v>
      </c>
      <c r="R271" s="253">
        <f>+'Plan de Accion apoyo transversa'!CG69</f>
        <v>1</v>
      </c>
      <c r="S271" s="215">
        <f>IF(R271&gt;100%,100%,R271)</f>
        <v>1</v>
      </c>
      <c r="T271" s="311">
        <f>+'Plan de Accion apoyo transversa'!BH69</f>
        <v>0.5</v>
      </c>
      <c r="U271" s="311">
        <f t="shared" si="263"/>
        <v>0.5</v>
      </c>
      <c r="V271" s="214">
        <f>+U271</f>
        <v>0.5</v>
      </c>
      <c r="W271" s="216"/>
      <c r="X271" s="221">
        <f>+'Plan de Accion apoyo transversa'!BN69</f>
        <v>1</v>
      </c>
      <c r="Y271" s="253">
        <f>+'Plan de Accion apoyo transversa'!CI69</f>
        <v>1</v>
      </c>
      <c r="Z271" s="215">
        <f t="shared" si="258"/>
        <v>1</v>
      </c>
      <c r="AA271" s="220">
        <f>+'Plan de Accion apoyo transversa'!BR69</f>
        <v>0.75</v>
      </c>
      <c r="AB271" s="220">
        <f t="shared" si="264"/>
        <v>0.75</v>
      </c>
      <c r="AC271" s="219">
        <f t="shared" si="255"/>
        <v>0.75</v>
      </c>
      <c r="AD271" s="216"/>
      <c r="AE271" s="221">
        <f>+'Plan de Accion apoyo transversa'!BX69</f>
        <v>0</v>
      </c>
      <c r="AF271" s="253">
        <f>+'Plan de Accion apoyo transversa'!CK69</f>
        <v>0</v>
      </c>
      <c r="AG271" s="215">
        <f>IF(AF271&gt;100%,100%,AF271)</f>
        <v>0</v>
      </c>
      <c r="AH271" s="253">
        <f>+'Plan de Accion apoyo transversa'!CB69</f>
        <v>0.75</v>
      </c>
      <c r="AI271" s="214">
        <f t="shared" si="265"/>
        <v>0.75</v>
      </c>
      <c r="AJ271" s="224"/>
      <c r="AL271" s="318"/>
      <c r="AM271" s="225"/>
      <c r="AN271" s="207"/>
      <c r="AO271" s="318"/>
      <c r="AP271" s="225"/>
      <c r="AQ271" s="207"/>
      <c r="AR271" s="318"/>
      <c r="AS271" s="225"/>
      <c r="AT271" s="207"/>
      <c r="AU271" s="318"/>
      <c r="AV271" s="225"/>
      <c r="AW271" s="205"/>
      <c r="AX271" s="224"/>
      <c r="AZ271" s="318"/>
      <c r="BA271" s="225"/>
      <c r="BB271" s="207"/>
      <c r="BC271" s="318"/>
      <c r="BD271" s="225"/>
      <c r="BE271" s="207"/>
      <c r="BF271" s="318"/>
      <c r="BG271" s="225"/>
      <c r="BH271" s="207"/>
      <c r="BI271" s="318"/>
      <c r="BJ271" s="225"/>
      <c r="BK271" s="205"/>
      <c r="BL271" s="224"/>
      <c r="BN271" s="318"/>
      <c r="BO271" s="225"/>
      <c r="BP271" s="207"/>
      <c r="BQ271" s="318"/>
      <c r="BR271" s="225"/>
      <c r="BS271" s="207"/>
      <c r="BT271" s="318"/>
      <c r="BU271" s="225"/>
      <c r="BV271" s="207"/>
      <c r="BW271" s="318"/>
      <c r="BX271" s="225"/>
      <c r="BY271" s="205"/>
      <c r="BZ271" s="224"/>
      <c r="CB271" s="318"/>
      <c r="CC271" s="225"/>
      <c r="CD271" s="207"/>
      <c r="CE271" s="318"/>
      <c r="CF271" s="225"/>
      <c r="CG271" s="207"/>
      <c r="CH271" s="318"/>
      <c r="CI271" s="225"/>
      <c r="CJ271" s="207"/>
      <c r="CK271" s="318"/>
      <c r="CL271" s="225"/>
      <c r="CM271" s="205"/>
      <c r="CN271" s="224"/>
    </row>
    <row r="272" spans="2:92" ht="57.75" thickBot="1" x14ac:dyDescent="0.25">
      <c r="B272" s="1455"/>
      <c r="C272" s="1450"/>
      <c r="D272" s="1317"/>
      <c r="E272" s="1320"/>
      <c r="F272" s="1317"/>
      <c r="G272" s="322" t="str">
        <f>+'Plan de Accion apoyo transversa'!X70</f>
        <v>Informe de la evaluación de cumplimiento del SG-SST de proveedores y contratistas "de personería jurídica"</v>
      </c>
      <c r="H272" s="218" t="str">
        <f>+'Plan de Accion apoyo transversa'!AK70</f>
        <v># de actividades realizadas</v>
      </c>
      <c r="J272" s="221">
        <f>+'Plan de Accion apoyo transversa'!AT70</f>
        <v>0</v>
      </c>
      <c r="K272" s="483" t="str">
        <f>+'Plan de Accion apoyo transversa'!CE70</f>
        <v>No Prog ni Ejec</v>
      </c>
      <c r="L272" s="483" t="s">
        <v>204</v>
      </c>
      <c r="M272" s="483">
        <f>+'Plan de Accion apoyo transversa'!AX70</f>
        <v>0</v>
      </c>
      <c r="N272" s="483">
        <f t="shared" si="243"/>
        <v>0</v>
      </c>
      <c r="O272" s="485" t="s">
        <v>204</v>
      </c>
      <c r="P272" s="216"/>
      <c r="Q272" s="221" t="s">
        <v>204</v>
      </c>
      <c r="R272" s="253" t="s">
        <v>180</v>
      </c>
      <c r="S272" s="215" t="s">
        <v>204</v>
      </c>
      <c r="T272" s="311" t="s">
        <v>204</v>
      </c>
      <c r="U272" s="311" t="s">
        <v>204</v>
      </c>
      <c r="V272" s="214" t="str">
        <f>+U272</f>
        <v>N.A</v>
      </c>
      <c r="W272" s="216"/>
      <c r="X272" s="221" t="s">
        <v>204</v>
      </c>
      <c r="Y272" s="253" t="str">
        <f>+'Plan de Accion apoyo transversa'!CI70</f>
        <v>No Prog ni Ejec</v>
      </c>
      <c r="Z272" s="215" t="s">
        <v>204</v>
      </c>
      <c r="AA272" s="220" t="s">
        <v>204</v>
      </c>
      <c r="AB272" s="220" t="s">
        <v>204</v>
      </c>
      <c r="AC272" s="219" t="str">
        <f t="shared" si="255"/>
        <v>N.A</v>
      </c>
      <c r="AD272" s="216"/>
      <c r="AE272" s="221" t="s">
        <v>204</v>
      </c>
      <c r="AF272" s="253" t="s">
        <v>180</v>
      </c>
      <c r="AG272" s="215" t="s">
        <v>204</v>
      </c>
      <c r="AH272" s="253" t="s">
        <v>204</v>
      </c>
      <c r="AI272" s="214" t="s">
        <v>204</v>
      </c>
      <c r="AJ272" s="224"/>
      <c r="AL272" s="318"/>
      <c r="AM272" s="225"/>
      <c r="AN272" s="207"/>
      <c r="AO272" s="318"/>
      <c r="AP272" s="225"/>
      <c r="AQ272" s="207"/>
      <c r="AR272" s="318"/>
      <c r="AS272" s="225"/>
      <c r="AT272" s="207"/>
      <c r="AU272" s="318"/>
      <c r="AV272" s="225"/>
      <c r="AW272" s="205"/>
      <c r="AX272" s="224"/>
      <c r="AZ272" s="318"/>
      <c r="BA272" s="225"/>
      <c r="BB272" s="207"/>
      <c r="BC272" s="318"/>
      <c r="BD272" s="225"/>
      <c r="BE272" s="207"/>
      <c r="BF272" s="318"/>
      <c r="BG272" s="225"/>
      <c r="BH272" s="207"/>
      <c r="BI272" s="318"/>
      <c r="BJ272" s="225"/>
      <c r="BK272" s="205"/>
      <c r="BL272" s="224"/>
      <c r="BN272" s="318"/>
      <c r="BO272" s="225"/>
      <c r="BP272" s="207"/>
      <c r="BQ272" s="318"/>
      <c r="BR272" s="225"/>
      <c r="BS272" s="207"/>
      <c r="BT272" s="318"/>
      <c r="BU272" s="225"/>
      <c r="BV272" s="207"/>
      <c r="BW272" s="318"/>
      <c r="BX272" s="225"/>
      <c r="BY272" s="205"/>
      <c r="BZ272" s="224"/>
      <c r="CB272" s="318"/>
      <c r="CC272" s="225"/>
      <c r="CD272" s="207"/>
      <c r="CE272" s="318"/>
      <c r="CF272" s="225"/>
      <c r="CG272" s="207"/>
      <c r="CH272" s="318"/>
      <c r="CI272" s="225"/>
      <c r="CJ272" s="207"/>
      <c r="CK272" s="318"/>
      <c r="CL272" s="225"/>
      <c r="CM272" s="205"/>
      <c r="CN272" s="224"/>
    </row>
    <row r="273" spans="2:92" ht="29.25" thickBot="1" x14ac:dyDescent="0.25">
      <c r="B273" s="1455"/>
      <c r="C273" s="1450"/>
      <c r="D273" s="1317"/>
      <c r="E273" s="1320"/>
      <c r="F273" s="1317"/>
      <c r="G273" s="322" t="str">
        <f>+'Plan de Accion apoyo transversa'!X71</f>
        <v>Informe de la auditoria interna del SG-SST</v>
      </c>
      <c r="H273" s="218" t="str">
        <f>+'Plan de Accion apoyo transversa'!AK71</f>
        <v># de actividades realizadas</v>
      </c>
      <c r="J273" s="221">
        <f>+'Plan de Accion apoyo transversa'!AT71</f>
        <v>0</v>
      </c>
      <c r="K273" s="483" t="str">
        <f>+'Plan de Accion apoyo transversa'!CE71</f>
        <v>No Prog ni Ejec</v>
      </c>
      <c r="L273" s="483" t="s">
        <v>204</v>
      </c>
      <c r="M273" s="483">
        <f>+'Plan de Accion apoyo transversa'!AX71</f>
        <v>0</v>
      </c>
      <c r="N273" s="483">
        <f t="shared" si="243"/>
        <v>0</v>
      </c>
      <c r="O273" s="485" t="s">
        <v>204</v>
      </c>
      <c r="P273" s="216"/>
      <c r="Q273" s="221" t="s">
        <v>204</v>
      </c>
      <c r="R273" s="253" t="str">
        <f>+'Plan de Accion apoyo transversa'!CG71</f>
        <v>No Prog ni Ejec</v>
      </c>
      <c r="S273" s="215" t="s">
        <v>204</v>
      </c>
      <c r="T273" s="311" t="s">
        <v>204</v>
      </c>
      <c r="U273" s="311" t="s">
        <v>204</v>
      </c>
      <c r="V273" s="214" t="s">
        <v>204</v>
      </c>
      <c r="W273" s="216"/>
      <c r="X273" s="221" t="s">
        <v>204</v>
      </c>
      <c r="Y273" s="253" t="str">
        <f>+'Plan de Accion apoyo transversa'!CI71</f>
        <v>No Prog ni Ejec</v>
      </c>
      <c r="Z273" s="215" t="s">
        <v>204</v>
      </c>
      <c r="AA273" s="220" t="s">
        <v>204</v>
      </c>
      <c r="AB273" s="220" t="s">
        <v>204</v>
      </c>
      <c r="AC273" s="219" t="s">
        <v>204</v>
      </c>
      <c r="AD273" s="216"/>
      <c r="AE273" s="221" t="s">
        <v>204</v>
      </c>
      <c r="AF273" s="253" t="s">
        <v>180</v>
      </c>
      <c r="AG273" s="215" t="s">
        <v>204</v>
      </c>
      <c r="AH273" s="253" t="s">
        <v>204</v>
      </c>
      <c r="AI273" s="214" t="s">
        <v>204</v>
      </c>
      <c r="AJ273" s="224"/>
      <c r="AL273" s="318"/>
      <c r="AM273" s="225"/>
      <c r="AN273" s="207"/>
      <c r="AO273" s="318"/>
      <c r="AP273" s="225"/>
      <c r="AQ273" s="207"/>
      <c r="AR273" s="318"/>
      <c r="AS273" s="225"/>
      <c r="AT273" s="207"/>
      <c r="AU273" s="318"/>
      <c r="AV273" s="225"/>
      <c r="AW273" s="205"/>
      <c r="AX273" s="224"/>
      <c r="AZ273" s="318"/>
      <c r="BA273" s="225"/>
      <c r="BB273" s="207"/>
      <c r="BC273" s="318"/>
      <c r="BD273" s="225"/>
      <c r="BE273" s="207"/>
      <c r="BF273" s="318"/>
      <c r="BG273" s="225"/>
      <c r="BH273" s="207"/>
      <c r="BI273" s="318"/>
      <c r="BJ273" s="225"/>
      <c r="BK273" s="205"/>
      <c r="BL273" s="224"/>
      <c r="BN273" s="318"/>
      <c r="BO273" s="225"/>
      <c r="BP273" s="207"/>
      <c r="BQ273" s="318"/>
      <c r="BR273" s="225"/>
      <c r="BS273" s="207"/>
      <c r="BT273" s="318"/>
      <c r="BU273" s="225"/>
      <c r="BV273" s="207"/>
      <c r="BW273" s="318"/>
      <c r="BX273" s="225"/>
      <c r="BY273" s="205"/>
      <c r="BZ273" s="224"/>
      <c r="CB273" s="318"/>
      <c r="CC273" s="225"/>
      <c r="CD273" s="207"/>
      <c r="CE273" s="318"/>
      <c r="CF273" s="225"/>
      <c r="CG273" s="207"/>
      <c r="CH273" s="318"/>
      <c r="CI273" s="225"/>
      <c r="CJ273" s="207"/>
      <c r="CK273" s="318"/>
      <c r="CL273" s="225"/>
      <c r="CM273" s="205"/>
      <c r="CN273" s="224"/>
    </row>
    <row r="274" spans="2:92" ht="57.75" thickBot="1" x14ac:dyDescent="0.25">
      <c r="B274" s="1455"/>
      <c r="C274" s="1450"/>
      <c r="D274" s="1317"/>
      <c r="E274" s="1320"/>
      <c r="F274" s="1317"/>
      <c r="G274" s="322" t="str">
        <f>+'Plan de Accion apoyo transversa'!X72</f>
        <v>Plan de acción de los hallazgos generados por auditoria interna o entes de control.</v>
      </c>
      <c r="H274" s="218" t="str">
        <f>+'Plan de Accion apoyo transversa'!AK72</f>
        <v># de actividades realizadas</v>
      </c>
      <c r="J274" s="221">
        <f>+'Plan de Accion apoyo transversa'!AT72</f>
        <v>0</v>
      </c>
      <c r="K274" s="483" t="str">
        <f>+'Plan de Accion apoyo transversa'!CE72</f>
        <v>No Prog ni Ejec</v>
      </c>
      <c r="L274" s="483" t="s">
        <v>204</v>
      </c>
      <c r="M274" s="483">
        <f>+'Plan de Accion apoyo transversa'!AX72</f>
        <v>0</v>
      </c>
      <c r="N274" s="483">
        <f t="shared" si="243"/>
        <v>0</v>
      </c>
      <c r="O274" s="485" t="s">
        <v>204</v>
      </c>
      <c r="P274" s="216"/>
      <c r="Q274" s="221" t="s">
        <v>204</v>
      </c>
      <c r="R274" s="253" t="str">
        <f>+'Plan de Accion apoyo transversa'!CG72</f>
        <v>No Prog ni Ejec</v>
      </c>
      <c r="S274" s="215" t="s">
        <v>204</v>
      </c>
      <c r="T274" s="311" t="s">
        <v>204</v>
      </c>
      <c r="U274" s="311" t="s">
        <v>204</v>
      </c>
      <c r="V274" s="214" t="s">
        <v>204</v>
      </c>
      <c r="W274" s="216"/>
      <c r="X274" s="221" t="s">
        <v>204</v>
      </c>
      <c r="Y274" s="253" t="str">
        <f>+'Plan de Accion apoyo transversa'!CI72</f>
        <v>No Prog ni Ejec</v>
      </c>
      <c r="Z274" s="215" t="s">
        <v>204</v>
      </c>
      <c r="AA274" s="220" t="s">
        <v>204</v>
      </c>
      <c r="AB274" s="220" t="s">
        <v>204</v>
      </c>
      <c r="AC274" s="219" t="s">
        <v>204</v>
      </c>
      <c r="AD274" s="216"/>
      <c r="AE274" s="221" t="s">
        <v>204</v>
      </c>
      <c r="AF274" s="253" t="s">
        <v>180</v>
      </c>
      <c r="AG274" s="215" t="s">
        <v>204</v>
      </c>
      <c r="AH274" s="253" t="s">
        <v>204</v>
      </c>
      <c r="AI274" s="214" t="s">
        <v>204</v>
      </c>
      <c r="AJ274" s="224"/>
      <c r="AL274" s="318"/>
      <c r="AM274" s="225"/>
      <c r="AN274" s="207"/>
      <c r="AO274" s="318"/>
      <c r="AP274" s="225"/>
      <c r="AQ274" s="207"/>
      <c r="AR274" s="318"/>
      <c r="AS274" s="225"/>
      <c r="AT274" s="207"/>
      <c r="AU274" s="318"/>
      <c r="AV274" s="225"/>
      <c r="AW274" s="205"/>
      <c r="AX274" s="224"/>
      <c r="AZ274" s="318"/>
      <c r="BA274" s="225"/>
      <c r="BB274" s="207"/>
      <c r="BC274" s="318"/>
      <c r="BD274" s="225"/>
      <c r="BE274" s="207"/>
      <c r="BF274" s="318"/>
      <c r="BG274" s="225"/>
      <c r="BH274" s="207"/>
      <c r="BI274" s="318"/>
      <c r="BJ274" s="225"/>
      <c r="BK274" s="205"/>
      <c r="BL274" s="224"/>
      <c r="BN274" s="318"/>
      <c r="BO274" s="225"/>
      <c r="BP274" s="207"/>
      <c r="BQ274" s="318"/>
      <c r="BR274" s="225"/>
      <c r="BS274" s="207"/>
      <c r="BT274" s="318"/>
      <c r="BU274" s="225"/>
      <c r="BV274" s="207"/>
      <c r="BW274" s="318"/>
      <c r="BX274" s="225"/>
      <c r="BY274" s="205"/>
      <c r="BZ274" s="224"/>
      <c r="CB274" s="318"/>
      <c r="CC274" s="225"/>
      <c r="CD274" s="207"/>
      <c r="CE274" s="318"/>
      <c r="CF274" s="225"/>
      <c r="CG274" s="207"/>
      <c r="CH274" s="318"/>
      <c r="CI274" s="225"/>
      <c r="CJ274" s="207"/>
      <c r="CK274" s="318"/>
      <c r="CL274" s="225"/>
      <c r="CM274" s="205"/>
      <c r="CN274" s="224"/>
    </row>
    <row r="275" spans="2:92" ht="15.75" thickBot="1" x14ac:dyDescent="0.25">
      <c r="B275" s="1455"/>
      <c r="C275" s="1450"/>
      <c r="D275" s="1317"/>
      <c r="E275" s="1320"/>
      <c r="F275" s="1317"/>
      <c r="G275" s="322" t="str">
        <f>+'Plan de Accion apoyo transversa'!X73</f>
        <v>Profesiograma elaborado</v>
      </c>
      <c r="H275" s="218" t="str">
        <f>+'Plan de Accion apoyo transversa'!AK73</f>
        <v># Profesiogramas elaborados</v>
      </c>
      <c r="J275" s="221">
        <f>+'Plan de Accion apoyo transversa'!AT73</f>
        <v>0</v>
      </c>
      <c r="K275" s="483" t="str">
        <f>+'Plan de Accion apoyo transversa'!CE73</f>
        <v>No Prog ni Ejec</v>
      </c>
      <c r="L275" s="483" t="s">
        <v>204</v>
      </c>
      <c r="M275" s="483">
        <f>+'Plan de Accion apoyo transversa'!AX73</f>
        <v>0</v>
      </c>
      <c r="N275" s="483">
        <f t="shared" si="243"/>
        <v>0</v>
      </c>
      <c r="O275" s="485" t="s">
        <v>204</v>
      </c>
      <c r="P275" s="216"/>
      <c r="Q275" s="221" t="s">
        <v>204</v>
      </c>
      <c r="R275" s="253" t="str">
        <f>+'Plan de Accion apoyo transversa'!CG73</f>
        <v>No Prog ni Ejec</v>
      </c>
      <c r="S275" s="215" t="s">
        <v>204</v>
      </c>
      <c r="T275" s="311" t="s">
        <v>204</v>
      </c>
      <c r="U275" s="311" t="s">
        <v>204</v>
      </c>
      <c r="V275" s="214" t="s">
        <v>204</v>
      </c>
      <c r="W275" s="216"/>
      <c r="X275" s="221" t="s">
        <v>204</v>
      </c>
      <c r="Y275" s="253" t="str">
        <f>+'Plan de Accion apoyo transversa'!CI73</f>
        <v>No Prog ni Ejec</v>
      </c>
      <c r="Z275" s="215" t="s">
        <v>204</v>
      </c>
      <c r="AA275" s="220" t="s">
        <v>204</v>
      </c>
      <c r="AB275" s="220" t="s">
        <v>204</v>
      </c>
      <c r="AC275" s="219" t="s">
        <v>204</v>
      </c>
      <c r="AD275" s="216"/>
      <c r="AE275" s="221" t="s">
        <v>204</v>
      </c>
      <c r="AF275" s="253" t="s">
        <v>180</v>
      </c>
      <c r="AG275" s="215" t="s">
        <v>204</v>
      </c>
      <c r="AH275" s="253" t="s">
        <v>204</v>
      </c>
      <c r="AI275" s="214" t="s">
        <v>204</v>
      </c>
      <c r="AJ275" s="224"/>
      <c r="AL275" s="318"/>
      <c r="AM275" s="225"/>
      <c r="AN275" s="207"/>
      <c r="AO275" s="318"/>
      <c r="AP275" s="225"/>
      <c r="AQ275" s="207"/>
      <c r="AR275" s="318"/>
      <c r="AS275" s="225"/>
      <c r="AT275" s="207"/>
      <c r="AU275" s="318"/>
      <c r="AV275" s="225"/>
      <c r="AW275" s="205"/>
      <c r="AX275" s="224"/>
      <c r="AZ275" s="318"/>
      <c r="BA275" s="225"/>
      <c r="BB275" s="207"/>
      <c r="BC275" s="318"/>
      <c r="BD275" s="225"/>
      <c r="BE275" s="207"/>
      <c r="BF275" s="318"/>
      <c r="BG275" s="225"/>
      <c r="BH275" s="207"/>
      <c r="BI275" s="318"/>
      <c r="BJ275" s="225"/>
      <c r="BK275" s="205"/>
      <c r="BL275" s="224"/>
      <c r="BN275" s="318"/>
      <c r="BO275" s="225"/>
      <c r="BP275" s="207"/>
      <c r="BQ275" s="318"/>
      <c r="BR275" s="225"/>
      <c r="BS275" s="207"/>
      <c r="BT275" s="318"/>
      <c r="BU275" s="225"/>
      <c r="BV275" s="207"/>
      <c r="BW275" s="318"/>
      <c r="BX275" s="225"/>
      <c r="BY275" s="205"/>
      <c r="BZ275" s="224"/>
      <c r="CB275" s="318"/>
      <c r="CC275" s="225"/>
      <c r="CD275" s="207"/>
      <c r="CE275" s="318"/>
      <c r="CF275" s="225"/>
      <c r="CG275" s="207"/>
      <c r="CH275" s="318"/>
      <c r="CI275" s="225"/>
      <c r="CJ275" s="207"/>
      <c r="CK275" s="318"/>
      <c r="CL275" s="225"/>
      <c r="CM275" s="205"/>
      <c r="CN275" s="224"/>
    </row>
    <row r="276" spans="2:92" ht="83.25" customHeight="1" thickBot="1" x14ac:dyDescent="0.25">
      <c r="B276" s="1455"/>
      <c r="C276" s="1450"/>
      <c r="D276" s="1317"/>
      <c r="E276" s="1320"/>
      <c r="F276" s="1318"/>
      <c r="G276" s="322" t="str">
        <f>+'Plan de Accion apoyo transversa'!X74</f>
        <v>Documento de estudios ambientales elaborado
Documento de estudios ergonómicos en salud ocupacional elaborado</v>
      </c>
      <c r="H276" s="218" t="str">
        <f>+'Plan de Accion apoyo transversa'!AK74</f>
        <v># Estudios ambientales y ergonómicos realizados</v>
      </c>
      <c r="J276" s="221">
        <f>+'Plan de Accion apoyo transversa'!AT74</f>
        <v>0</v>
      </c>
      <c r="K276" s="483" t="str">
        <f>+'Plan de Accion apoyo transversa'!CE74</f>
        <v>No Prog ni Ejec</v>
      </c>
      <c r="L276" s="483" t="s">
        <v>204</v>
      </c>
      <c r="M276" s="483">
        <f>+'Plan de Accion apoyo transversa'!AX74</f>
        <v>0</v>
      </c>
      <c r="N276" s="483">
        <f t="shared" si="243"/>
        <v>0</v>
      </c>
      <c r="O276" s="485" t="s">
        <v>204</v>
      </c>
      <c r="P276" s="216"/>
      <c r="Q276" s="221">
        <f>+'Plan de Accion apoyo transversa'!BD74</f>
        <v>0</v>
      </c>
      <c r="R276" s="253" t="str">
        <f>+'Plan de Accion apoyo transversa'!CG74</f>
        <v>No Prog ni Ejec</v>
      </c>
      <c r="S276" s="215" t="s">
        <v>204</v>
      </c>
      <c r="T276" s="311">
        <f>+'Plan de Accion apoyo transversa'!BH74</f>
        <v>0</v>
      </c>
      <c r="U276" s="311">
        <f t="shared" ref="U276:U308" si="266">IF(T276&gt;100%,100%,T276)</f>
        <v>0</v>
      </c>
      <c r="V276" s="214" t="s">
        <v>204</v>
      </c>
      <c r="W276" s="216"/>
      <c r="X276" s="221">
        <f>+'Plan de Accion apoyo transversa'!BN74</f>
        <v>0</v>
      </c>
      <c r="Y276" s="253">
        <f>+'Plan de Accion apoyo transversa'!CI74</f>
        <v>0</v>
      </c>
      <c r="Z276" s="215">
        <f>IF(Y276&gt;100%,100%,Y276)</f>
        <v>0</v>
      </c>
      <c r="AA276" s="220">
        <f>+'Plan de Accion apoyo transversa'!BR74</f>
        <v>0</v>
      </c>
      <c r="AB276" s="220">
        <f t="shared" si="264"/>
        <v>0</v>
      </c>
      <c r="AC276" s="219">
        <f t="shared" ref="AC276:AC285" si="267">+AB276</f>
        <v>0</v>
      </c>
      <c r="AD276" s="216"/>
      <c r="AE276" s="221">
        <f>+'Plan de Accion apoyo transversa'!BX74</f>
        <v>0</v>
      </c>
      <c r="AF276" s="253" t="str">
        <f>+'Plan de Accion apoyo transversa'!CK74</f>
        <v>No Prog ni Ejec</v>
      </c>
      <c r="AG276" s="215" t="s">
        <v>204</v>
      </c>
      <c r="AH276" s="253">
        <f>+'Plan de Accion apoyo transversa'!CB74</f>
        <v>0</v>
      </c>
      <c r="AI276" s="214">
        <f t="shared" ref="AI276:AI308" si="268">IF(AH276&gt;100%,100%,AH276)</f>
        <v>0</v>
      </c>
      <c r="AJ276" s="224"/>
      <c r="AL276" s="318"/>
      <c r="AM276" s="225"/>
      <c r="AN276" s="207"/>
      <c r="AO276" s="318"/>
      <c r="AP276" s="225"/>
      <c r="AQ276" s="207"/>
      <c r="AR276" s="318"/>
      <c r="AS276" s="225"/>
      <c r="AT276" s="207"/>
      <c r="AU276" s="318"/>
      <c r="AV276" s="225"/>
      <c r="AW276" s="205"/>
      <c r="AX276" s="224"/>
      <c r="AZ276" s="318"/>
      <c r="BA276" s="225"/>
      <c r="BB276" s="207"/>
      <c r="BC276" s="318"/>
      <c r="BD276" s="225"/>
      <c r="BE276" s="207"/>
      <c r="BF276" s="318"/>
      <c r="BG276" s="225"/>
      <c r="BH276" s="207"/>
      <c r="BI276" s="318"/>
      <c r="BJ276" s="225"/>
      <c r="BK276" s="205"/>
      <c r="BL276" s="224"/>
      <c r="BN276" s="318"/>
      <c r="BO276" s="225"/>
      <c r="BP276" s="207"/>
      <c r="BQ276" s="318"/>
      <c r="BR276" s="225"/>
      <c r="BS276" s="207"/>
      <c r="BT276" s="318"/>
      <c r="BU276" s="225"/>
      <c r="BV276" s="207"/>
      <c r="BW276" s="318"/>
      <c r="BX276" s="225"/>
      <c r="BY276" s="205"/>
      <c r="BZ276" s="224"/>
      <c r="CB276" s="318"/>
      <c r="CC276" s="225"/>
      <c r="CD276" s="207"/>
      <c r="CE276" s="318"/>
      <c r="CF276" s="225"/>
      <c r="CG276" s="207"/>
      <c r="CH276" s="318"/>
      <c r="CI276" s="225"/>
      <c r="CJ276" s="207"/>
      <c r="CK276" s="318"/>
      <c r="CL276" s="225"/>
      <c r="CM276" s="205"/>
      <c r="CN276" s="224"/>
    </row>
    <row r="277" spans="2:92" ht="29.25" thickBot="1" x14ac:dyDescent="0.25">
      <c r="B277" s="1455"/>
      <c r="C277" s="1450"/>
      <c r="D277" s="1317"/>
      <c r="E277" s="1320"/>
      <c r="F277" s="1316" t="s">
        <v>845</v>
      </c>
      <c r="G277" s="322" t="str">
        <f>+'Plan de Accion apoyo transversa'!X118</f>
        <v>Manual de funciones actualizado</v>
      </c>
      <c r="H277" s="218" t="str">
        <f>+'Plan de Accion apoyo transversa'!AK118</f>
        <v># Manual de funciones actualizados</v>
      </c>
      <c r="J277" s="221">
        <f>+'Plan de Accion apoyo transversa'!AT118</f>
        <v>0</v>
      </c>
      <c r="K277" s="483" t="str">
        <f>+'Plan de Accion apoyo transversa'!CE118</f>
        <v>No Prog ni Ejec</v>
      </c>
      <c r="L277" s="483" t="s">
        <v>204</v>
      </c>
      <c r="M277" s="483">
        <f>+'Plan de Accion apoyo transversa'!AX118</f>
        <v>0</v>
      </c>
      <c r="N277" s="483">
        <f t="shared" si="243"/>
        <v>0</v>
      </c>
      <c r="O277" s="485" t="s">
        <v>204</v>
      </c>
      <c r="P277" s="216"/>
      <c r="Q277" s="221">
        <f>+'Plan de Accion apoyo transversa'!BD118</f>
        <v>0</v>
      </c>
      <c r="R277" s="253" t="str">
        <f>+'Plan de Accion apoyo transversa'!CG118</f>
        <v>No Prog ni Ejec</v>
      </c>
      <c r="S277" s="215" t="s">
        <v>204</v>
      </c>
      <c r="T277" s="311">
        <f>+'Plan de Accion apoyo transversa'!BH118</f>
        <v>0</v>
      </c>
      <c r="U277" s="311">
        <f t="shared" si="266"/>
        <v>0</v>
      </c>
      <c r="V277" s="214" t="s">
        <v>204</v>
      </c>
      <c r="W277" s="216"/>
      <c r="X277" s="221">
        <f>+'Plan de Accion apoyo transversa'!BN118</f>
        <v>1</v>
      </c>
      <c r="Y277" s="253">
        <f>+'Plan de Accion apoyo transversa'!CI118</f>
        <v>1</v>
      </c>
      <c r="Z277" s="215">
        <f>IF(Y277&gt;100%,100%,Y277)</f>
        <v>1</v>
      </c>
      <c r="AA277" s="220">
        <f>+'Plan de Accion apoyo transversa'!BR118</f>
        <v>1</v>
      </c>
      <c r="AB277" s="220">
        <f t="shared" si="264"/>
        <v>1</v>
      </c>
      <c r="AC277" s="219">
        <f t="shared" si="267"/>
        <v>1</v>
      </c>
      <c r="AD277" s="216"/>
      <c r="AE277" s="221">
        <f>+'Plan de Accion apoyo transversa'!BX118</f>
        <v>0</v>
      </c>
      <c r="AF277" s="253" t="str">
        <f>+'Plan de Accion apoyo transversa'!CK118</f>
        <v>No Prog ni Ejec</v>
      </c>
      <c r="AG277" s="215" t="s">
        <v>204</v>
      </c>
      <c r="AH277" s="253">
        <f>+'Plan de Accion apoyo transversa'!CB118</f>
        <v>1</v>
      </c>
      <c r="AI277" s="214">
        <f t="shared" si="268"/>
        <v>1</v>
      </c>
      <c r="AJ277" s="224"/>
      <c r="AL277" s="318"/>
      <c r="AM277" s="225"/>
      <c r="AN277" s="207"/>
      <c r="AO277" s="318"/>
      <c r="AP277" s="225"/>
      <c r="AQ277" s="207"/>
      <c r="AR277" s="318"/>
      <c r="AS277" s="225"/>
      <c r="AT277" s="207"/>
      <c r="AU277" s="318"/>
      <c r="AV277" s="225"/>
      <c r="AW277" s="205"/>
      <c r="AX277" s="224"/>
      <c r="AZ277" s="318"/>
      <c r="BA277" s="225"/>
      <c r="BB277" s="207"/>
      <c r="BC277" s="318"/>
      <c r="BD277" s="225"/>
      <c r="BE277" s="207"/>
      <c r="BF277" s="318"/>
      <c r="BG277" s="225"/>
      <c r="BH277" s="207"/>
      <c r="BI277" s="318"/>
      <c r="BJ277" s="225"/>
      <c r="BK277" s="205"/>
      <c r="BL277" s="224"/>
      <c r="BN277" s="318"/>
      <c r="BO277" s="225"/>
      <c r="BP277" s="207"/>
      <c r="BQ277" s="318"/>
      <c r="BR277" s="225"/>
      <c r="BS277" s="207"/>
      <c r="BT277" s="318"/>
      <c r="BU277" s="225"/>
      <c r="BV277" s="207"/>
      <c r="BW277" s="318"/>
      <c r="BX277" s="225"/>
      <c r="BY277" s="205"/>
      <c r="BZ277" s="224"/>
      <c r="CB277" s="318"/>
      <c r="CC277" s="225"/>
      <c r="CD277" s="207"/>
      <c r="CE277" s="318"/>
      <c r="CF277" s="225"/>
      <c r="CG277" s="207"/>
      <c r="CH277" s="318"/>
      <c r="CI277" s="225"/>
      <c r="CJ277" s="207"/>
      <c r="CK277" s="318"/>
      <c r="CL277" s="225"/>
      <c r="CM277" s="205"/>
      <c r="CN277" s="224"/>
    </row>
    <row r="278" spans="2:92" ht="29.25" thickBot="1" x14ac:dyDescent="0.25">
      <c r="B278" s="1455"/>
      <c r="C278" s="1450"/>
      <c r="D278" s="1317"/>
      <c r="E278" s="1320"/>
      <c r="F278" s="1317"/>
      <c r="G278" s="322" t="str">
        <f>+'Plan de Accion apoyo transversa'!X119</f>
        <v xml:space="preserve">Solicitud a la CNSC sobre la apertura de la OPEC </v>
      </c>
      <c r="H278" s="218" t="str">
        <f>+'Plan de Accion apoyo transversa'!AK119</f>
        <v># Solicitud a la CNSC</v>
      </c>
      <c r="J278" s="221">
        <f>+'Plan de Accion apoyo transversa'!AT119</f>
        <v>0</v>
      </c>
      <c r="K278" s="483" t="str">
        <f>+'Plan de Accion apoyo transversa'!CE119</f>
        <v>No Prog ni Ejec</v>
      </c>
      <c r="L278" s="483" t="s">
        <v>204</v>
      </c>
      <c r="M278" s="483">
        <f>+'Plan de Accion apoyo transversa'!AX119</f>
        <v>0</v>
      </c>
      <c r="N278" s="483">
        <f t="shared" si="243"/>
        <v>0</v>
      </c>
      <c r="O278" s="485" t="s">
        <v>204</v>
      </c>
      <c r="P278" s="216"/>
      <c r="Q278" s="221">
        <f>+'Plan de Accion apoyo transversa'!BD119</f>
        <v>0</v>
      </c>
      <c r="R278" s="253" t="str">
        <f>+'Plan de Accion apoyo transversa'!CG119</f>
        <v>No Prog ni Ejec</v>
      </c>
      <c r="S278" s="215" t="s">
        <v>204</v>
      </c>
      <c r="T278" s="311">
        <f>+'Plan de Accion apoyo transversa'!BH119</f>
        <v>0</v>
      </c>
      <c r="U278" s="311">
        <f t="shared" si="266"/>
        <v>0</v>
      </c>
      <c r="V278" s="214" t="s">
        <v>204</v>
      </c>
      <c r="W278" s="216"/>
      <c r="X278" s="221">
        <f>+'Plan de Accion apoyo transversa'!BN119</f>
        <v>0</v>
      </c>
      <c r="Y278" s="253">
        <f>+'Plan de Accion apoyo transversa'!CI119</f>
        <v>0</v>
      </c>
      <c r="Z278" s="215">
        <f>IF(Y278&gt;100%,100%,Y278)</f>
        <v>0</v>
      </c>
      <c r="AA278" s="220">
        <f>+'Plan de Accion apoyo transversa'!BR119</f>
        <v>0</v>
      </c>
      <c r="AB278" s="220">
        <f t="shared" si="264"/>
        <v>0</v>
      </c>
      <c r="AC278" s="219">
        <f t="shared" si="267"/>
        <v>0</v>
      </c>
      <c r="AD278" s="216"/>
      <c r="AE278" s="221">
        <f>+'Plan de Accion apoyo transversa'!BX119</f>
        <v>0</v>
      </c>
      <c r="AF278" s="253" t="str">
        <f>+'Plan de Accion apoyo transversa'!CK119</f>
        <v>No Prog ni Ejec</v>
      </c>
      <c r="AG278" s="215" t="s">
        <v>204</v>
      </c>
      <c r="AH278" s="253">
        <f>+'Plan de Accion apoyo transversa'!CB119</f>
        <v>0</v>
      </c>
      <c r="AI278" s="214">
        <f t="shared" si="268"/>
        <v>0</v>
      </c>
      <c r="AJ278" s="224"/>
      <c r="AL278" s="318"/>
      <c r="AM278" s="225"/>
      <c r="AN278" s="207"/>
      <c r="AO278" s="318"/>
      <c r="AP278" s="225"/>
      <c r="AQ278" s="207"/>
      <c r="AR278" s="318"/>
      <c r="AS278" s="225"/>
      <c r="AT278" s="207"/>
      <c r="AU278" s="318"/>
      <c r="AV278" s="225"/>
      <c r="AW278" s="205"/>
      <c r="AX278" s="224"/>
      <c r="AZ278" s="318"/>
      <c r="BA278" s="225"/>
      <c r="BB278" s="207"/>
      <c r="BC278" s="318"/>
      <c r="BD278" s="225"/>
      <c r="BE278" s="207"/>
      <c r="BF278" s="318"/>
      <c r="BG278" s="225"/>
      <c r="BH278" s="207"/>
      <c r="BI278" s="318"/>
      <c r="BJ278" s="225"/>
      <c r="BK278" s="205"/>
      <c r="BL278" s="224"/>
      <c r="BN278" s="318"/>
      <c r="BO278" s="225"/>
      <c r="BP278" s="207"/>
      <c r="BQ278" s="318"/>
      <c r="BR278" s="225"/>
      <c r="BS278" s="207"/>
      <c r="BT278" s="318"/>
      <c r="BU278" s="225"/>
      <c r="BV278" s="207"/>
      <c r="BW278" s="318"/>
      <c r="BX278" s="225"/>
      <c r="BY278" s="205"/>
      <c r="BZ278" s="224"/>
      <c r="CB278" s="318"/>
      <c r="CC278" s="225"/>
      <c r="CD278" s="207"/>
      <c r="CE278" s="318"/>
      <c r="CF278" s="225"/>
      <c r="CG278" s="207"/>
      <c r="CH278" s="318"/>
      <c r="CI278" s="225"/>
      <c r="CJ278" s="207"/>
      <c r="CK278" s="318"/>
      <c r="CL278" s="225"/>
      <c r="CM278" s="205"/>
      <c r="CN278" s="224"/>
    </row>
    <row r="279" spans="2:92" ht="29.25" thickBot="1" x14ac:dyDescent="0.25">
      <c r="B279" s="1455"/>
      <c r="C279" s="1450"/>
      <c r="D279" s="1317"/>
      <c r="E279" s="1320"/>
      <c r="F279" s="1318"/>
      <c r="G279" s="322" t="str">
        <f>+'Plan de Accion apoyo transversa'!X120</f>
        <v>Informe de la OPEC actualizada</v>
      </c>
      <c r="H279" s="218" t="str">
        <f>+'Plan de Accion apoyo transversa'!AK120</f>
        <v># Informe de Actualización</v>
      </c>
      <c r="J279" s="221">
        <f>+'Plan de Accion apoyo transversa'!AT120</f>
        <v>0</v>
      </c>
      <c r="K279" s="483" t="str">
        <f>+'Plan de Accion apoyo transversa'!CE120</f>
        <v>No Prog ni Ejec</v>
      </c>
      <c r="L279" s="483" t="s">
        <v>204</v>
      </c>
      <c r="M279" s="483">
        <f>+'Plan de Accion apoyo transversa'!AX120</f>
        <v>0</v>
      </c>
      <c r="N279" s="483">
        <f t="shared" si="243"/>
        <v>0</v>
      </c>
      <c r="O279" s="485" t="s">
        <v>204</v>
      </c>
      <c r="P279" s="216"/>
      <c r="Q279" s="221">
        <f>+'Plan de Accion apoyo transversa'!BD120</f>
        <v>0</v>
      </c>
      <c r="R279" s="253" t="str">
        <f>+'Plan de Accion apoyo transversa'!CG120</f>
        <v>No Prog ni Ejec</v>
      </c>
      <c r="S279" s="215" t="s">
        <v>204</v>
      </c>
      <c r="T279" s="311">
        <f>+'Plan de Accion apoyo transversa'!BH120</f>
        <v>0</v>
      </c>
      <c r="U279" s="311">
        <f t="shared" si="266"/>
        <v>0</v>
      </c>
      <c r="V279" s="214" t="s">
        <v>204</v>
      </c>
      <c r="W279" s="216"/>
      <c r="X279" s="221">
        <f>+'Plan de Accion apoyo transversa'!BN120</f>
        <v>0</v>
      </c>
      <c r="Y279" s="253">
        <f>+'Plan de Accion apoyo transversa'!CI120</f>
        <v>0</v>
      </c>
      <c r="Z279" s="215">
        <f>IF(Y279&gt;100%,100%,Y279)</f>
        <v>0</v>
      </c>
      <c r="AA279" s="220">
        <f>+'Plan de Accion apoyo transversa'!BR120</f>
        <v>0</v>
      </c>
      <c r="AB279" s="220">
        <f t="shared" si="264"/>
        <v>0</v>
      </c>
      <c r="AC279" s="219">
        <f t="shared" si="267"/>
        <v>0</v>
      </c>
      <c r="AD279" s="216"/>
      <c r="AE279" s="221">
        <f>+'Plan de Accion apoyo transversa'!BX120</f>
        <v>0</v>
      </c>
      <c r="AF279" s="253" t="str">
        <f>+'Plan de Accion apoyo transversa'!CK120</f>
        <v>No Prog ni Ejec</v>
      </c>
      <c r="AG279" s="215" t="s">
        <v>204</v>
      </c>
      <c r="AH279" s="253">
        <f>+'Plan de Accion apoyo transversa'!CB120</f>
        <v>0</v>
      </c>
      <c r="AI279" s="214">
        <f t="shared" si="268"/>
        <v>0</v>
      </c>
      <c r="AJ279" s="224"/>
      <c r="AL279" s="318"/>
      <c r="AM279" s="225"/>
      <c r="AN279" s="207"/>
      <c r="AO279" s="318"/>
      <c r="AP279" s="225"/>
      <c r="AQ279" s="207"/>
      <c r="AR279" s="318"/>
      <c r="AS279" s="225"/>
      <c r="AT279" s="207"/>
      <c r="AU279" s="318"/>
      <c r="AV279" s="225"/>
      <c r="AW279" s="205"/>
      <c r="AX279" s="224"/>
      <c r="AZ279" s="318"/>
      <c r="BA279" s="225"/>
      <c r="BB279" s="207"/>
      <c r="BC279" s="318"/>
      <c r="BD279" s="225"/>
      <c r="BE279" s="207"/>
      <c r="BF279" s="318"/>
      <c r="BG279" s="225"/>
      <c r="BH279" s="207"/>
      <c r="BI279" s="318"/>
      <c r="BJ279" s="225"/>
      <c r="BK279" s="205"/>
      <c r="BL279" s="224"/>
      <c r="BN279" s="318"/>
      <c r="BO279" s="225"/>
      <c r="BP279" s="207"/>
      <c r="BQ279" s="318"/>
      <c r="BR279" s="225"/>
      <c r="BS279" s="207"/>
      <c r="BT279" s="318"/>
      <c r="BU279" s="225"/>
      <c r="BV279" s="207"/>
      <c r="BW279" s="318"/>
      <c r="BX279" s="225"/>
      <c r="BY279" s="205"/>
      <c r="BZ279" s="224"/>
      <c r="CB279" s="318"/>
      <c r="CC279" s="225"/>
      <c r="CD279" s="207"/>
      <c r="CE279" s="318"/>
      <c r="CF279" s="225"/>
      <c r="CG279" s="207"/>
      <c r="CH279" s="318"/>
      <c r="CI279" s="225"/>
      <c r="CJ279" s="207"/>
      <c r="CK279" s="318"/>
      <c r="CL279" s="225"/>
      <c r="CM279" s="205"/>
      <c r="CN279" s="224"/>
    </row>
    <row r="280" spans="2:92" ht="72" thickBot="1" x14ac:dyDescent="0.25">
      <c r="B280" s="1455"/>
      <c r="C280" s="1450"/>
      <c r="D280" s="1317"/>
      <c r="E280" s="1320"/>
      <c r="F280" s="1316" t="s">
        <v>336</v>
      </c>
      <c r="G280" s="322" t="str">
        <f>+'Plan de Accion apoyo transversa'!X123</f>
        <v>Manual  de la Política de Servicio al Ciudadano actualizado para mejorar los estándares de servicio al interior de la Entidad</v>
      </c>
      <c r="H280" s="218" t="str">
        <f>+'Plan de Accion apoyo transversa'!AK123</f>
        <v># Manuales de Política de Servicio al Ciudadano actualizados</v>
      </c>
      <c r="J280" s="221">
        <f>+'Plan de Accion apoyo transversa'!AT123</f>
        <v>1</v>
      </c>
      <c r="K280" s="483">
        <f>+'Plan de Accion apoyo transversa'!CE123</f>
        <v>1</v>
      </c>
      <c r="L280" s="483">
        <f>IF(K280&gt;100%,100%,K280)</f>
        <v>1</v>
      </c>
      <c r="M280" s="483">
        <f>+'Plan de Accion apoyo transversa'!AX123</f>
        <v>1</v>
      </c>
      <c r="N280" s="483">
        <f t="shared" si="243"/>
        <v>1</v>
      </c>
      <c r="O280" s="485">
        <f>+N280</f>
        <v>1</v>
      </c>
      <c r="P280" s="216"/>
      <c r="Q280" s="221">
        <f>+'Plan de Accion apoyo transversa'!BD123</f>
        <v>0</v>
      </c>
      <c r="R280" s="253" t="str">
        <f>+'Plan de Accion apoyo transversa'!CG123</f>
        <v>No Prog ni Ejec</v>
      </c>
      <c r="S280" s="215" t="s">
        <v>204</v>
      </c>
      <c r="T280" s="311">
        <f>+'Plan de Accion apoyo transversa'!BH123</f>
        <v>1</v>
      </c>
      <c r="U280" s="311">
        <f t="shared" si="266"/>
        <v>1</v>
      </c>
      <c r="V280" s="214">
        <f t="shared" ref="V280:V286" si="269">+U280</f>
        <v>1</v>
      </c>
      <c r="W280" s="216"/>
      <c r="X280" s="221">
        <f>+'Plan de Accion apoyo transversa'!BN123</f>
        <v>0</v>
      </c>
      <c r="Y280" s="253" t="str">
        <f>+'Plan de Accion apoyo transversa'!CI123</f>
        <v>No Prog ni Ejec</v>
      </c>
      <c r="Z280" s="215" t="s">
        <v>204</v>
      </c>
      <c r="AA280" s="220">
        <f>+'Plan de Accion apoyo transversa'!BR123</f>
        <v>1</v>
      </c>
      <c r="AB280" s="220">
        <f t="shared" si="264"/>
        <v>1</v>
      </c>
      <c r="AC280" s="219">
        <f t="shared" si="267"/>
        <v>1</v>
      </c>
      <c r="AD280" s="216"/>
      <c r="AE280" s="221">
        <f>+'Plan de Accion apoyo transversa'!BX123</f>
        <v>0</v>
      </c>
      <c r="AF280" s="253" t="str">
        <f>+'Plan de Accion apoyo transversa'!CK123</f>
        <v>No Prog ni Ejec</v>
      </c>
      <c r="AG280" s="215" t="s">
        <v>204</v>
      </c>
      <c r="AH280" s="253">
        <f>+'Plan de Accion apoyo transversa'!CB123</f>
        <v>1</v>
      </c>
      <c r="AI280" s="214">
        <f t="shared" si="268"/>
        <v>1</v>
      </c>
      <c r="AJ280" s="224"/>
      <c r="AL280" s="318"/>
      <c r="AM280" s="225"/>
      <c r="AN280" s="207"/>
      <c r="AO280" s="318"/>
      <c r="AP280" s="225"/>
      <c r="AQ280" s="207"/>
      <c r="AR280" s="318"/>
      <c r="AS280" s="225"/>
      <c r="AT280" s="207"/>
      <c r="AU280" s="318"/>
      <c r="AV280" s="225"/>
      <c r="AW280" s="205"/>
      <c r="AX280" s="224"/>
      <c r="AZ280" s="318"/>
      <c r="BA280" s="225"/>
      <c r="BB280" s="207"/>
      <c r="BC280" s="318"/>
      <c r="BD280" s="225"/>
      <c r="BE280" s="207"/>
      <c r="BF280" s="318"/>
      <c r="BG280" s="225"/>
      <c r="BH280" s="207"/>
      <c r="BI280" s="318"/>
      <c r="BJ280" s="225"/>
      <c r="BK280" s="205"/>
      <c r="BL280" s="224"/>
      <c r="BN280" s="318"/>
      <c r="BO280" s="225"/>
      <c r="BP280" s="207"/>
      <c r="BQ280" s="318"/>
      <c r="BR280" s="225"/>
      <c r="BS280" s="207"/>
      <c r="BT280" s="318"/>
      <c r="BU280" s="225"/>
      <c r="BV280" s="207"/>
      <c r="BW280" s="318"/>
      <c r="BX280" s="225"/>
      <c r="BY280" s="205"/>
      <c r="BZ280" s="224"/>
      <c r="CB280" s="318"/>
      <c r="CC280" s="225"/>
      <c r="CD280" s="207"/>
      <c r="CE280" s="318"/>
      <c r="CF280" s="225"/>
      <c r="CG280" s="207"/>
      <c r="CH280" s="318"/>
      <c r="CI280" s="225"/>
      <c r="CJ280" s="207"/>
      <c r="CK280" s="318"/>
      <c r="CL280" s="225"/>
      <c r="CM280" s="205"/>
      <c r="CN280" s="224"/>
    </row>
    <row r="281" spans="2:92" ht="100.5" thickBot="1" x14ac:dyDescent="0.25">
      <c r="B281" s="1455"/>
      <c r="C281" s="1450"/>
      <c r="D281" s="1317"/>
      <c r="E281" s="1320"/>
      <c r="F281" s="1318"/>
      <c r="G281" s="322" t="str">
        <f>+'Plan de Accion apoyo transversa'!X133</f>
        <v>Reuniones de autocontrol y seguimiento a  los procesos que evidencien monitoreo a los riesgos, indicadores, planes de mejoramiento, manuales y documentos asociados</v>
      </c>
      <c r="H281" s="218" t="str">
        <f>+'Plan de Accion apoyo transversa'!AK133</f>
        <v># reuniones realizadas</v>
      </c>
      <c r="J281" s="221">
        <f>+'Plan de Accion apoyo transversa'!AT133</f>
        <v>0</v>
      </c>
      <c r="K281" s="483" t="str">
        <f>+'Plan de Accion apoyo transversa'!CE133</f>
        <v>No Prog ni Ejec</v>
      </c>
      <c r="L281" s="483" t="s">
        <v>204</v>
      </c>
      <c r="M281" s="483">
        <f>+'Plan de Accion apoyo transversa'!AX133</f>
        <v>0</v>
      </c>
      <c r="N281" s="483">
        <f t="shared" si="243"/>
        <v>0</v>
      </c>
      <c r="O281" s="485" t="s">
        <v>204</v>
      </c>
      <c r="P281" s="216"/>
      <c r="Q281" s="221">
        <f>+'Plan de Accion apoyo transversa'!BD133</f>
        <v>1</v>
      </c>
      <c r="R281" s="253">
        <f>+'Plan de Accion apoyo transversa'!CG133</f>
        <v>1</v>
      </c>
      <c r="S281" s="215">
        <f>IF(R281&gt;100%,100%,R281)</f>
        <v>1</v>
      </c>
      <c r="T281" s="311">
        <f>+'Plan de Accion apoyo transversa'!BH133</f>
        <v>0.33333333333333331</v>
      </c>
      <c r="U281" s="311">
        <f t="shared" si="266"/>
        <v>0.33333333333333331</v>
      </c>
      <c r="V281" s="214">
        <f t="shared" si="269"/>
        <v>0.33333333333333331</v>
      </c>
      <c r="W281" s="216"/>
      <c r="X281" s="221">
        <f>+'Plan de Accion apoyo transversa'!BN133</f>
        <v>1</v>
      </c>
      <c r="Y281" s="253">
        <f>+'Plan de Accion apoyo transversa'!CI133</f>
        <v>1</v>
      </c>
      <c r="Z281" s="215">
        <f>IF(Y281&gt;100%,100%,Y281)</f>
        <v>1</v>
      </c>
      <c r="AA281" s="220">
        <f>+'Plan de Accion apoyo transversa'!BR133</f>
        <v>0.66666666666666663</v>
      </c>
      <c r="AB281" s="220">
        <f t="shared" si="264"/>
        <v>0.66666666666666663</v>
      </c>
      <c r="AC281" s="219">
        <f t="shared" si="267"/>
        <v>0.66666666666666663</v>
      </c>
      <c r="AD281" s="216"/>
      <c r="AE281" s="221">
        <f>+'Plan de Accion apoyo transversa'!BX133</f>
        <v>0</v>
      </c>
      <c r="AF281" s="253">
        <f>+'Plan de Accion apoyo transversa'!CK133</f>
        <v>0</v>
      </c>
      <c r="AG281" s="215">
        <f>IF(AF281&gt;100%,100%,AF281)</f>
        <v>0</v>
      </c>
      <c r="AH281" s="253">
        <f>+'Plan de Accion apoyo transversa'!CB133</f>
        <v>0.66666666666666663</v>
      </c>
      <c r="AI281" s="214">
        <f t="shared" si="268"/>
        <v>0.66666666666666663</v>
      </c>
      <c r="AJ281" s="224"/>
      <c r="AL281" s="318"/>
      <c r="AM281" s="225"/>
      <c r="AN281" s="207"/>
      <c r="AO281" s="318"/>
      <c r="AP281" s="225"/>
      <c r="AQ281" s="207"/>
      <c r="AR281" s="318"/>
      <c r="AS281" s="225"/>
      <c r="AT281" s="207"/>
      <c r="AU281" s="318"/>
      <c r="AV281" s="225"/>
      <c r="AW281" s="205"/>
      <c r="AX281" s="224"/>
      <c r="AZ281" s="318"/>
      <c r="BA281" s="225"/>
      <c r="BB281" s="207"/>
      <c r="BC281" s="318"/>
      <c r="BD281" s="225"/>
      <c r="BE281" s="207"/>
      <c r="BF281" s="318"/>
      <c r="BG281" s="225"/>
      <c r="BH281" s="207"/>
      <c r="BI281" s="318"/>
      <c r="BJ281" s="225"/>
      <c r="BK281" s="205"/>
      <c r="BL281" s="224"/>
      <c r="BN281" s="318"/>
      <c r="BO281" s="225"/>
      <c r="BP281" s="207"/>
      <c r="BQ281" s="318"/>
      <c r="BR281" s="225"/>
      <c r="BS281" s="207"/>
      <c r="BT281" s="318"/>
      <c r="BU281" s="225"/>
      <c r="BV281" s="207"/>
      <c r="BW281" s="318"/>
      <c r="BX281" s="225"/>
      <c r="BY281" s="205"/>
      <c r="BZ281" s="224"/>
      <c r="CB281" s="318"/>
      <c r="CC281" s="225"/>
      <c r="CD281" s="207"/>
      <c r="CE281" s="318"/>
      <c r="CF281" s="225"/>
      <c r="CG281" s="207"/>
      <c r="CH281" s="318"/>
      <c r="CI281" s="225"/>
      <c r="CJ281" s="207"/>
      <c r="CK281" s="318"/>
      <c r="CL281" s="225"/>
      <c r="CM281" s="205"/>
      <c r="CN281" s="224"/>
    </row>
    <row r="282" spans="2:92" ht="29.25" thickBot="1" x14ac:dyDescent="0.25">
      <c r="B282" s="1455"/>
      <c r="C282" s="1450"/>
      <c r="D282" s="1317"/>
      <c r="E282" s="1320"/>
      <c r="F282" s="1317" t="s">
        <v>993</v>
      </c>
      <c r="G282" s="322" t="str">
        <f>+'Plan de Accion apoyo transversa'!X171</f>
        <v>Solicitud escrita desde Talento Humano</v>
      </c>
      <c r="H282" s="218" t="str">
        <f>+'Plan de Accion apoyo transversa'!AK171</f>
        <v># Solicitudes escritas desde Talento Humano</v>
      </c>
      <c r="J282" s="221">
        <f>+'Plan de Accion apoyo transversa'!AT171</f>
        <v>0</v>
      </c>
      <c r="K282" s="483">
        <f>+'Plan de Accion apoyo transversa'!CE171</f>
        <v>0</v>
      </c>
      <c r="L282" s="483">
        <f>IF(K282&gt;100%,100%,K282)</f>
        <v>0</v>
      </c>
      <c r="M282" s="483">
        <f>+'Plan de Accion apoyo transversa'!AX171</f>
        <v>0</v>
      </c>
      <c r="N282" s="483">
        <f t="shared" si="243"/>
        <v>0</v>
      </c>
      <c r="O282" s="485">
        <f>+N282</f>
        <v>0</v>
      </c>
      <c r="P282" s="216"/>
      <c r="Q282" s="221">
        <f>+'Plan de Accion apoyo transversa'!BD171</f>
        <v>1</v>
      </c>
      <c r="R282" s="253">
        <f>+'Plan de Accion apoyo transversa'!CG171</f>
        <v>0.33333333333333331</v>
      </c>
      <c r="S282" s="215">
        <f>IF(R282&gt;100%,100%,R282)</f>
        <v>0.33333333333333331</v>
      </c>
      <c r="T282" s="311">
        <f>+'Plan de Accion apoyo transversa'!BH171</f>
        <v>9.0909090909090912E-2</v>
      </c>
      <c r="U282" s="311">
        <f t="shared" si="266"/>
        <v>9.0909090909090912E-2</v>
      </c>
      <c r="V282" s="214">
        <f t="shared" si="269"/>
        <v>9.0909090909090912E-2</v>
      </c>
      <c r="W282" s="216"/>
      <c r="X282" s="221">
        <f>+'Plan de Accion apoyo transversa'!BN171</f>
        <v>1</v>
      </c>
      <c r="Y282" s="253">
        <f>+'Plan de Accion apoyo transversa'!CI171</f>
        <v>0.33333333333333331</v>
      </c>
      <c r="Z282" s="215">
        <f>IF(Y282&gt;100%,100%,Y282)</f>
        <v>0.33333333333333331</v>
      </c>
      <c r="AA282" s="220">
        <f>+'Plan de Accion apoyo transversa'!BR171</f>
        <v>0.18181818181818182</v>
      </c>
      <c r="AB282" s="220">
        <f t="shared" si="264"/>
        <v>0.18181818181818182</v>
      </c>
      <c r="AC282" s="219">
        <f t="shared" si="267"/>
        <v>0.18181818181818182</v>
      </c>
      <c r="AD282" s="216"/>
      <c r="AE282" s="221">
        <f>+'Plan de Accion apoyo transversa'!BX171</f>
        <v>0</v>
      </c>
      <c r="AF282" s="253">
        <f>+'Plan de Accion apoyo transversa'!CK171</f>
        <v>0</v>
      </c>
      <c r="AG282" s="215">
        <f>IF(AF282&gt;100%,100%,AF282)</f>
        <v>0</v>
      </c>
      <c r="AH282" s="253">
        <f>+'Plan de Accion apoyo transversa'!CB171</f>
        <v>0.18181818181818182</v>
      </c>
      <c r="AI282" s="214">
        <f t="shared" si="268"/>
        <v>0.18181818181818182</v>
      </c>
      <c r="AJ282" s="224"/>
      <c r="AL282" s="318"/>
      <c r="AM282" s="225"/>
      <c r="AN282" s="207"/>
      <c r="AO282" s="318"/>
      <c r="AP282" s="225"/>
      <c r="AQ282" s="207"/>
      <c r="AR282" s="318"/>
      <c r="AS282" s="225"/>
      <c r="AT282" s="207"/>
      <c r="AU282" s="318"/>
      <c r="AV282" s="225"/>
      <c r="AW282" s="205"/>
      <c r="AX282" s="224"/>
      <c r="AZ282" s="318"/>
      <c r="BA282" s="225"/>
      <c r="BB282" s="207"/>
      <c r="BC282" s="318"/>
      <c r="BD282" s="225"/>
      <c r="BE282" s="207"/>
      <c r="BF282" s="318"/>
      <c r="BG282" s="225"/>
      <c r="BH282" s="207"/>
      <c r="BI282" s="318"/>
      <c r="BJ282" s="225"/>
      <c r="BK282" s="205"/>
      <c r="BL282" s="224"/>
      <c r="BN282" s="318"/>
      <c r="BO282" s="225"/>
      <c r="BP282" s="207"/>
      <c r="BQ282" s="318"/>
      <c r="BR282" s="225"/>
      <c r="BS282" s="207"/>
      <c r="BT282" s="318"/>
      <c r="BU282" s="225"/>
      <c r="BV282" s="207"/>
      <c r="BW282" s="318"/>
      <c r="BX282" s="225"/>
      <c r="BY282" s="205"/>
      <c r="BZ282" s="224"/>
      <c r="CB282" s="318"/>
      <c r="CC282" s="225"/>
      <c r="CD282" s="207"/>
      <c r="CE282" s="318"/>
      <c r="CF282" s="225"/>
      <c r="CG282" s="207"/>
      <c r="CH282" s="318"/>
      <c r="CI282" s="225"/>
      <c r="CJ282" s="207"/>
      <c r="CK282" s="318"/>
      <c r="CL282" s="225"/>
      <c r="CM282" s="205"/>
      <c r="CN282" s="224"/>
    </row>
    <row r="283" spans="2:92" ht="43.5" thickBot="1" x14ac:dyDescent="0.25">
      <c r="B283" s="1455"/>
      <c r="C283" s="1450"/>
      <c r="D283" s="1317"/>
      <c r="E283" s="1320"/>
      <c r="F283" s="1317"/>
      <c r="G283" s="322" t="str">
        <f>+'Plan de Accion apoyo transversa'!X172</f>
        <v>Actos administrativos</v>
      </c>
      <c r="H283" s="218" t="str">
        <f>+'Plan de Accion apoyo transversa'!AK172</f>
        <v># de nombramientos realizados / # Solicitudes de nombramientos</v>
      </c>
      <c r="J283" s="217">
        <f>+'Plan de Accion apoyo transversa'!AT172</f>
        <v>0.25</v>
      </c>
      <c r="K283" s="483">
        <f>+'Plan de Accion apoyo transversa'!CE172</f>
        <v>1</v>
      </c>
      <c r="L283" s="483">
        <f>IF(K283&gt;100%,100%,K283)</f>
        <v>1</v>
      </c>
      <c r="M283" s="483">
        <f>+'Plan de Accion apoyo transversa'!AX172</f>
        <v>0.25</v>
      </c>
      <c r="N283" s="483">
        <f t="shared" si="243"/>
        <v>0.25</v>
      </c>
      <c r="O283" s="485">
        <f>+N283</f>
        <v>0.25</v>
      </c>
      <c r="P283" s="216"/>
      <c r="Q283" s="217">
        <f>+'Plan de Accion apoyo transversa'!BD172</f>
        <v>0.25</v>
      </c>
      <c r="R283" s="253">
        <f>+'Plan de Accion apoyo transversa'!CG172</f>
        <v>1</v>
      </c>
      <c r="S283" s="215">
        <f>IF(R283&gt;100%,100%,R283)</f>
        <v>1</v>
      </c>
      <c r="T283" s="311">
        <f>+'Plan de Accion apoyo transversa'!BH172</f>
        <v>0.5</v>
      </c>
      <c r="U283" s="311">
        <f t="shared" si="266"/>
        <v>0.5</v>
      </c>
      <c r="V283" s="214">
        <f t="shared" si="269"/>
        <v>0.5</v>
      </c>
      <c r="W283" s="216"/>
      <c r="X283" s="217">
        <f>+'Plan de Accion apoyo transversa'!BN172</f>
        <v>0.25</v>
      </c>
      <c r="Y283" s="253">
        <f>+'Plan de Accion apoyo transversa'!CI172</f>
        <v>1</v>
      </c>
      <c r="Z283" s="215">
        <f>IF(Y283&gt;100%,100%,Y283)</f>
        <v>1</v>
      </c>
      <c r="AA283" s="220">
        <f>+'Plan de Accion apoyo transversa'!BR172</f>
        <v>0.75</v>
      </c>
      <c r="AB283" s="220">
        <f t="shared" si="264"/>
        <v>0.75</v>
      </c>
      <c r="AC283" s="219">
        <f t="shared" si="267"/>
        <v>0.75</v>
      </c>
      <c r="AD283" s="216"/>
      <c r="AE283" s="217">
        <f>+'Plan de Accion apoyo transversa'!BX172</f>
        <v>0</v>
      </c>
      <c r="AF283" s="253">
        <f>+'Plan de Accion apoyo transversa'!CK172</f>
        <v>0</v>
      </c>
      <c r="AG283" s="215">
        <f>IF(AF283&gt;100%,100%,AF283)</f>
        <v>0</v>
      </c>
      <c r="AH283" s="253">
        <f>+'Plan de Accion apoyo transversa'!CB172</f>
        <v>0.75</v>
      </c>
      <c r="AI283" s="214">
        <f t="shared" si="268"/>
        <v>0.75</v>
      </c>
      <c r="AJ283" s="224"/>
      <c r="AL283" s="318"/>
      <c r="AM283" s="225"/>
      <c r="AN283" s="207"/>
      <c r="AO283" s="318"/>
      <c r="AP283" s="225"/>
      <c r="AQ283" s="207"/>
      <c r="AR283" s="318"/>
      <c r="AS283" s="225"/>
      <c r="AT283" s="207"/>
      <c r="AU283" s="318"/>
      <c r="AV283" s="225"/>
      <c r="AW283" s="205"/>
      <c r="AX283" s="224"/>
      <c r="AZ283" s="318"/>
      <c r="BA283" s="225"/>
      <c r="BB283" s="207"/>
      <c r="BC283" s="318"/>
      <c r="BD283" s="225"/>
      <c r="BE283" s="207"/>
      <c r="BF283" s="318"/>
      <c r="BG283" s="225"/>
      <c r="BH283" s="207"/>
      <c r="BI283" s="318"/>
      <c r="BJ283" s="225"/>
      <c r="BK283" s="205"/>
      <c r="BL283" s="224"/>
      <c r="BN283" s="318"/>
      <c r="BO283" s="225"/>
      <c r="BP283" s="207"/>
      <c r="BQ283" s="318"/>
      <c r="BR283" s="225"/>
      <c r="BS283" s="207"/>
      <c r="BT283" s="318"/>
      <c r="BU283" s="225"/>
      <c r="BV283" s="207"/>
      <c r="BW283" s="318"/>
      <c r="BX283" s="225"/>
      <c r="BY283" s="205"/>
      <c r="BZ283" s="224"/>
      <c r="CB283" s="318"/>
      <c r="CC283" s="225"/>
      <c r="CD283" s="207"/>
      <c r="CE283" s="318"/>
      <c r="CF283" s="225"/>
      <c r="CG283" s="207"/>
      <c r="CH283" s="318"/>
      <c r="CI283" s="225"/>
      <c r="CJ283" s="207"/>
      <c r="CK283" s="318"/>
      <c r="CL283" s="225"/>
      <c r="CM283" s="205"/>
      <c r="CN283" s="224"/>
    </row>
    <row r="284" spans="2:92" ht="43.5" thickBot="1" x14ac:dyDescent="0.25">
      <c r="B284" s="1455"/>
      <c r="C284" s="1450"/>
      <c r="D284" s="1317"/>
      <c r="E284" s="1320"/>
      <c r="F284" s="1318"/>
      <c r="G284" s="322" t="str">
        <f>+'Plan de Accion apoyo transversa'!X173</f>
        <v>Actas de Posesión</v>
      </c>
      <c r="H284" s="218" t="str">
        <f>+'Plan de Accion apoyo transversa'!AK173</f>
        <v xml:space="preserve"># de posesionados / # de nombramientos comunicados y aceptados </v>
      </c>
      <c r="J284" s="217">
        <f>+'Plan de Accion apoyo transversa'!AT173</f>
        <v>0.25</v>
      </c>
      <c r="K284" s="483">
        <f>+'Plan de Accion apoyo transversa'!CE173</f>
        <v>1</v>
      </c>
      <c r="L284" s="483">
        <f>IF(K284&gt;100%,100%,K284)</f>
        <v>1</v>
      </c>
      <c r="M284" s="483">
        <f>+'Plan de Accion apoyo transversa'!AX173</f>
        <v>0.25</v>
      </c>
      <c r="N284" s="483">
        <f t="shared" si="243"/>
        <v>0.25</v>
      </c>
      <c r="O284" s="485">
        <f>+N284</f>
        <v>0.25</v>
      </c>
      <c r="P284" s="216"/>
      <c r="Q284" s="217">
        <f>+'Plan de Accion apoyo transversa'!BD173</f>
        <v>0.25</v>
      </c>
      <c r="R284" s="253">
        <f>+'Plan de Accion apoyo transversa'!CG173</f>
        <v>1</v>
      </c>
      <c r="S284" s="215">
        <f>IF(R284&gt;100%,100%,R284)</f>
        <v>1</v>
      </c>
      <c r="T284" s="311">
        <f>+'Plan de Accion apoyo transversa'!BH173</f>
        <v>0.5</v>
      </c>
      <c r="U284" s="311">
        <f t="shared" si="266"/>
        <v>0.5</v>
      </c>
      <c r="V284" s="214">
        <f t="shared" si="269"/>
        <v>0.5</v>
      </c>
      <c r="W284" s="216"/>
      <c r="X284" s="217">
        <f>+'Plan de Accion apoyo transversa'!BN173</f>
        <v>0.25</v>
      </c>
      <c r="Y284" s="253">
        <f>+'Plan de Accion apoyo transversa'!CI173</f>
        <v>1</v>
      </c>
      <c r="Z284" s="215">
        <f>IF(Y284&gt;100%,100%,Y284)</f>
        <v>1</v>
      </c>
      <c r="AA284" s="220">
        <f>+'Plan de Accion apoyo transversa'!BR173</f>
        <v>0.75</v>
      </c>
      <c r="AB284" s="220">
        <f t="shared" si="264"/>
        <v>0.75</v>
      </c>
      <c r="AC284" s="219">
        <f t="shared" si="267"/>
        <v>0.75</v>
      </c>
      <c r="AD284" s="216"/>
      <c r="AE284" s="217">
        <f>+'Plan de Accion apoyo transversa'!BX173</f>
        <v>0</v>
      </c>
      <c r="AF284" s="253">
        <f>+'Plan de Accion apoyo transversa'!CK173</f>
        <v>0</v>
      </c>
      <c r="AG284" s="215">
        <f>IF(AF284&gt;100%,100%,AF284)</f>
        <v>0</v>
      </c>
      <c r="AH284" s="253">
        <f>+'Plan de Accion apoyo transversa'!CB173</f>
        <v>0.75</v>
      </c>
      <c r="AI284" s="214">
        <f t="shared" si="268"/>
        <v>0.75</v>
      </c>
      <c r="AJ284" s="224"/>
      <c r="AL284" s="318"/>
      <c r="AM284" s="225"/>
      <c r="AN284" s="207"/>
      <c r="AO284" s="318"/>
      <c r="AP284" s="225"/>
      <c r="AQ284" s="207"/>
      <c r="AR284" s="318"/>
      <c r="AS284" s="225"/>
      <c r="AT284" s="207"/>
      <c r="AU284" s="318"/>
      <c r="AV284" s="225"/>
      <c r="AW284" s="205"/>
      <c r="AX284" s="224"/>
      <c r="AZ284" s="318"/>
      <c r="BA284" s="225"/>
      <c r="BB284" s="207"/>
      <c r="BC284" s="318"/>
      <c r="BD284" s="225"/>
      <c r="BE284" s="207"/>
      <c r="BF284" s="318"/>
      <c r="BG284" s="225"/>
      <c r="BH284" s="207"/>
      <c r="BI284" s="318"/>
      <c r="BJ284" s="225"/>
      <c r="BK284" s="205"/>
      <c r="BL284" s="224"/>
      <c r="BN284" s="318"/>
      <c r="BO284" s="225"/>
      <c r="BP284" s="207"/>
      <c r="BQ284" s="318"/>
      <c r="BR284" s="225"/>
      <c r="BS284" s="207"/>
      <c r="BT284" s="318"/>
      <c r="BU284" s="225"/>
      <c r="BV284" s="207"/>
      <c r="BW284" s="318"/>
      <c r="BX284" s="225"/>
      <c r="BY284" s="205"/>
      <c r="BZ284" s="224"/>
      <c r="CB284" s="318"/>
      <c r="CC284" s="225"/>
      <c r="CD284" s="207"/>
      <c r="CE284" s="318"/>
      <c r="CF284" s="225"/>
      <c r="CG284" s="207"/>
      <c r="CH284" s="318"/>
      <c r="CI284" s="225"/>
      <c r="CJ284" s="207"/>
      <c r="CK284" s="318"/>
      <c r="CL284" s="225"/>
      <c r="CM284" s="205"/>
      <c r="CN284" s="224"/>
    </row>
    <row r="285" spans="2:92" ht="57.75" thickBot="1" x14ac:dyDescent="0.25">
      <c r="B285" s="1455"/>
      <c r="C285" s="1450"/>
      <c r="D285" s="1317"/>
      <c r="E285" s="1320"/>
      <c r="F285" s="519" t="s">
        <v>529</v>
      </c>
      <c r="G285" s="530" t="str">
        <f>+'Plan de Accion apoyo transversa'!X180</f>
        <v>Autodiagnóstico frente al cumplimiento del Régimen de protección de datos personales</v>
      </c>
      <c r="H285" s="218" t="str">
        <f>+'Plan de Accion apoyo transversa'!AK180</f>
        <v># Autodiagnósticos de Ley de Protección de Datos - LPD realizados</v>
      </c>
      <c r="J285" s="221">
        <f>+'Plan de Accion apoyo transversa'!AT180</f>
        <v>1</v>
      </c>
      <c r="K285" s="522">
        <f>+'Plan de Accion apoyo transversa'!CE180</f>
        <v>1</v>
      </c>
      <c r="L285" s="522">
        <f>IF(K285&gt;100%,100%,K285)</f>
        <v>1</v>
      </c>
      <c r="M285" s="522">
        <f>+'Plan de Accion apoyo transversa'!AX180</f>
        <v>1</v>
      </c>
      <c r="N285" s="522">
        <f t="shared" si="243"/>
        <v>1</v>
      </c>
      <c r="O285" s="523">
        <f>+N285</f>
        <v>1</v>
      </c>
      <c r="P285" s="216"/>
      <c r="Q285" s="221">
        <f>+'Plan de Accion apoyo transversa'!BD180</f>
        <v>0</v>
      </c>
      <c r="R285" s="253" t="str">
        <f>+'Plan de Accion apoyo transversa'!CG180</f>
        <v>No Prog ni Ejec</v>
      </c>
      <c r="S285" s="215" t="s">
        <v>204</v>
      </c>
      <c r="T285" s="522">
        <f>+'Plan de Accion apoyo transversa'!BH180</f>
        <v>1</v>
      </c>
      <c r="U285" s="522">
        <f t="shared" si="266"/>
        <v>1</v>
      </c>
      <c r="V285" s="214">
        <f t="shared" si="269"/>
        <v>1</v>
      </c>
      <c r="W285" s="216"/>
      <c r="X285" s="221">
        <f>+'Plan de Accion apoyo transversa'!BN180</f>
        <v>0</v>
      </c>
      <c r="Y285" s="253" t="str">
        <f>+'Plan de Accion apoyo transversa'!CI180</f>
        <v>No Prog ni Ejec</v>
      </c>
      <c r="Z285" s="215" t="s">
        <v>204</v>
      </c>
      <c r="AA285" s="220">
        <f>+'Plan de Accion apoyo transversa'!BR180</f>
        <v>1</v>
      </c>
      <c r="AB285" s="220">
        <f t="shared" si="264"/>
        <v>1</v>
      </c>
      <c r="AC285" s="219">
        <f t="shared" si="267"/>
        <v>1</v>
      </c>
      <c r="AD285" s="216"/>
      <c r="AE285" s="221">
        <f>+'Plan de Accion apoyo transversa'!BX180</f>
        <v>0</v>
      </c>
      <c r="AF285" s="253" t="str">
        <f>+'Plan de Accion apoyo transversa'!CK180</f>
        <v>No Prog ni Ejec</v>
      </c>
      <c r="AG285" s="215" t="s">
        <v>204</v>
      </c>
      <c r="AH285" s="253">
        <f>+'Plan de Accion apoyo transversa'!CB180</f>
        <v>1</v>
      </c>
      <c r="AI285" s="214">
        <f t="shared" si="268"/>
        <v>1</v>
      </c>
      <c r="AJ285" s="224"/>
      <c r="AL285" s="527"/>
      <c r="AM285" s="225"/>
      <c r="AN285" s="207"/>
      <c r="AO285" s="527"/>
      <c r="AP285" s="225"/>
      <c r="AQ285" s="207"/>
      <c r="AR285" s="527"/>
      <c r="AS285" s="225"/>
      <c r="AT285" s="207"/>
      <c r="AU285" s="527"/>
      <c r="AV285" s="225"/>
      <c r="AW285" s="205"/>
      <c r="AX285" s="224"/>
      <c r="AZ285" s="527"/>
      <c r="BA285" s="225"/>
      <c r="BB285" s="207"/>
      <c r="BC285" s="527"/>
      <c r="BD285" s="225"/>
      <c r="BE285" s="207"/>
      <c r="BF285" s="527"/>
      <c r="BG285" s="225"/>
      <c r="BH285" s="207"/>
      <c r="BI285" s="527"/>
      <c r="BJ285" s="225"/>
      <c r="BK285" s="205"/>
      <c r="BL285" s="224"/>
      <c r="BN285" s="527"/>
      <c r="BO285" s="225"/>
      <c r="BP285" s="207"/>
      <c r="BQ285" s="527"/>
      <c r="BR285" s="225"/>
      <c r="BS285" s="207"/>
      <c r="BT285" s="527"/>
      <c r="BU285" s="225"/>
      <c r="BV285" s="207"/>
      <c r="BW285" s="527"/>
      <c r="BX285" s="225"/>
      <c r="BY285" s="205"/>
      <c r="BZ285" s="224"/>
      <c r="CB285" s="527"/>
      <c r="CC285" s="225"/>
      <c r="CD285" s="207"/>
      <c r="CE285" s="527"/>
      <c r="CF285" s="225"/>
      <c r="CG285" s="207"/>
      <c r="CH285" s="527"/>
      <c r="CI285" s="225"/>
      <c r="CJ285" s="207"/>
      <c r="CK285" s="527"/>
      <c r="CL285" s="225"/>
      <c r="CM285" s="205"/>
      <c r="CN285" s="224"/>
    </row>
    <row r="286" spans="2:92" ht="57.75" thickBot="1" x14ac:dyDescent="0.25">
      <c r="B286" s="1455"/>
      <c r="C286" s="1450"/>
      <c r="D286" s="1317"/>
      <c r="E286" s="1320"/>
      <c r="F286" s="1316" t="s">
        <v>992</v>
      </c>
      <c r="G286" s="672" t="str">
        <f>+'Plan de Accion apoyo transversa'!X175</f>
        <v>Contratos suscritos</v>
      </c>
      <c r="H286" s="218" t="str">
        <f>+'Plan de Accion apoyo transversa'!AK175</f>
        <v># Contratos del Plan de Adquisiciones suscritos / # contrataciones del Plan de Adquisiciones</v>
      </c>
      <c r="J286" s="217">
        <f>+'Plan de Accion apoyo transversa'!AT175</f>
        <v>0</v>
      </c>
      <c r="K286" s="659" t="s">
        <v>180</v>
      </c>
      <c r="L286" s="659" t="s">
        <v>204</v>
      </c>
      <c r="M286" s="659" t="s">
        <v>204</v>
      </c>
      <c r="N286" s="659" t="s">
        <v>204</v>
      </c>
      <c r="O286" s="660" t="s">
        <v>204</v>
      </c>
      <c r="P286" s="216"/>
      <c r="Q286" s="217">
        <f>+'Plan de Accion apoyo transversa'!BD175</f>
        <v>0.17546583850931677</v>
      </c>
      <c r="R286" s="253">
        <f>+'Plan de Accion apoyo transversa'!CG175</f>
        <v>0.70186335403726707</v>
      </c>
      <c r="S286" s="215">
        <f>IF(R286&gt;100%,100%,R286)</f>
        <v>0.70186335403726707</v>
      </c>
      <c r="T286" s="659">
        <f>+'Plan de Accion apoyo transversa'!BH175</f>
        <v>0.23395445134575568</v>
      </c>
      <c r="U286" s="659">
        <f t="shared" ref="U286" si="270">IF(T286&gt;100%,100%,T286)</f>
        <v>0.23395445134575568</v>
      </c>
      <c r="V286" s="214">
        <f t="shared" si="269"/>
        <v>0.23395445134575568</v>
      </c>
      <c r="W286" s="216"/>
      <c r="X286" s="217">
        <f>+'Plan de Accion apoyo transversa'!BN175</f>
        <v>0.20882352941176471</v>
      </c>
      <c r="Y286" s="253">
        <f>+'Plan de Accion apoyo transversa'!CI175</f>
        <v>0.83529411764705885</v>
      </c>
      <c r="Z286" s="215">
        <f>IF(Y286&gt;100%,100%,Y286)</f>
        <v>0.83529411764705885</v>
      </c>
      <c r="AA286" s="220">
        <f>+'Plan de Accion apoyo transversa'!BR175</f>
        <v>0.51238582389477527</v>
      </c>
      <c r="AB286" s="220">
        <f t="shared" ref="AB286" si="271">IF(AA286&gt;100%,100%,AA286)</f>
        <v>0.51238582389477527</v>
      </c>
      <c r="AC286" s="219">
        <f>+AB286</f>
        <v>0.51238582389477527</v>
      </c>
      <c r="AD286" s="216"/>
      <c r="AE286" s="217">
        <f>+'Plan de Accion apoyo transversa'!BX175</f>
        <v>0</v>
      </c>
      <c r="AF286" s="253">
        <f>+'Plan de Accion apoyo transversa'!CK175</f>
        <v>0</v>
      </c>
      <c r="AG286" s="215">
        <f>IF(AF286&gt;100%,100%,AF286)</f>
        <v>0</v>
      </c>
      <c r="AH286" s="253">
        <f>+'Plan de Accion apoyo transversa'!CB175</f>
        <v>0.51238582389477527</v>
      </c>
      <c r="AI286" s="214">
        <f t="shared" ref="AI286" si="272">IF(AH286&gt;100%,100%,AH286)</f>
        <v>0.51238582389477527</v>
      </c>
      <c r="AJ286" s="224"/>
      <c r="AL286" s="667"/>
      <c r="AM286" s="225"/>
      <c r="AN286" s="207"/>
      <c r="AO286" s="667"/>
      <c r="AP286" s="225"/>
      <c r="AQ286" s="207"/>
      <c r="AR286" s="667"/>
      <c r="AS286" s="225"/>
      <c r="AT286" s="207"/>
      <c r="AU286" s="667"/>
      <c r="AV286" s="225"/>
      <c r="AW286" s="205"/>
      <c r="AX286" s="224"/>
      <c r="AZ286" s="667"/>
      <c r="BA286" s="225"/>
      <c r="BB286" s="207"/>
      <c r="BC286" s="667"/>
      <c r="BD286" s="225"/>
      <c r="BE286" s="207"/>
      <c r="BF286" s="667"/>
      <c r="BG286" s="225"/>
      <c r="BH286" s="207"/>
      <c r="BI286" s="667"/>
      <c r="BJ286" s="225"/>
      <c r="BK286" s="205"/>
      <c r="BL286" s="224"/>
      <c r="BN286" s="667"/>
      <c r="BO286" s="225"/>
      <c r="BP286" s="207"/>
      <c r="BQ286" s="667"/>
      <c r="BR286" s="225"/>
      <c r="BS286" s="207"/>
      <c r="BT286" s="667"/>
      <c r="BU286" s="225"/>
      <c r="BV286" s="207"/>
      <c r="BW286" s="667"/>
      <c r="BX286" s="225"/>
      <c r="BY286" s="205"/>
      <c r="BZ286" s="224"/>
      <c r="CB286" s="667"/>
      <c r="CC286" s="225"/>
      <c r="CD286" s="207"/>
      <c r="CE286" s="667"/>
      <c r="CF286" s="225"/>
      <c r="CG286" s="207"/>
      <c r="CH286" s="667"/>
      <c r="CI286" s="225"/>
      <c r="CJ286" s="207"/>
      <c r="CK286" s="667"/>
      <c r="CL286" s="225"/>
      <c r="CM286" s="205"/>
      <c r="CN286" s="224"/>
    </row>
    <row r="287" spans="2:92" ht="74.25" customHeight="1" thickBot="1" x14ac:dyDescent="0.25">
      <c r="B287" s="1455"/>
      <c r="C287" s="1450"/>
      <c r="D287" s="1318"/>
      <c r="E287" s="1321"/>
      <c r="F287" s="1318"/>
      <c r="G287" s="322" t="str">
        <f>+'Plan de Accion apoyo transversa'!X174</f>
        <v>Contratos suscritos</v>
      </c>
      <c r="H287" s="218" t="str">
        <f>+'Plan de Accion apoyo transversa'!AK174</f>
        <v># Contratos del Plan de Adquisiciones suscritos / # contrataciones del Plan de Adquisiciones</v>
      </c>
      <c r="J287" s="217">
        <f>+'Plan de Accion apoyo transversa'!AT174</f>
        <v>0.14873417721518986</v>
      </c>
      <c r="K287" s="483">
        <f>+'Plan de Accion apoyo transversa'!CE174</f>
        <v>0.59493670886075944</v>
      </c>
      <c r="L287" s="483">
        <f>IF(K287&gt;100%,100%,K287)</f>
        <v>0.59493670886075944</v>
      </c>
      <c r="M287" s="483">
        <f>+'Plan de Accion apoyo transversa'!AX174</f>
        <v>0.59493670886075944</v>
      </c>
      <c r="N287" s="483">
        <f t="shared" si="243"/>
        <v>0.59493670886075944</v>
      </c>
      <c r="O287" s="485">
        <f>+N287</f>
        <v>0.59493670886075944</v>
      </c>
      <c r="P287" s="216"/>
      <c r="Q287" s="217" t="str">
        <f>+'Plan de Accion apoyo transversa'!BD174</f>
        <v>N.A</v>
      </c>
      <c r="R287" s="253" t="s">
        <v>180</v>
      </c>
      <c r="S287" s="215" t="s">
        <v>204</v>
      </c>
      <c r="T287" s="311" t="s">
        <v>204</v>
      </c>
      <c r="U287" s="311" t="s">
        <v>204</v>
      </c>
      <c r="V287" s="214">
        <v>0.59</v>
      </c>
      <c r="W287" s="216"/>
      <c r="X287" s="217" t="str">
        <f>+'Plan de Accion apoyo transversa'!BN174</f>
        <v>N.A</v>
      </c>
      <c r="Y287" s="253" t="s">
        <v>180</v>
      </c>
      <c r="Z287" s="215" t="s">
        <v>204</v>
      </c>
      <c r="AA287" s="220" t="s">
        <v>204</v>
      </c>
      <c r="AB287" s="220" t="s">
        <v>204</v>
      </c>
      <c r="AC287" s="219" t="s">
        <v>204</v>
      </c>
      <c r="AD287" s="216"/>
      <c r="AE287" s="217">
        <f>+'Plan de Accion apoyo transversa'!BX174</f>
        <v>0</v>
      </c>
      <c r="AF287" s="253" t="s">
        <v>180</v>
      </c>
      <c r="AG287" s="215" t="s">
        <v>204</v>
      </c>
      <c r="AH287" s="253" t="s">
        <v>204</v>
      </c>
      <c r="AI287" s="214" t="s">
        <v>204</v>
      </c>
      <c r="AJ287" s="224"/>
      <c r="AL287" s="318"/>
      <c r="AM287" s="225"/>
      <c r="AN287" s="207"/>
      <c r="AO287" s="318"/>
      <c r="AP287" s="225"/>
      <c r="AQ287" s="207"/>
      <c r="AR287" s="318"/>
      <c r="AS287" s="225"/>
      <c r="AT287" s="207"/>
      <c r="AU287" s="318"/>
      <c r="AV287" s="225"/>
      <c r="AW287" s="205"/>
      <c r="AX287" s="224"/>
      <c r="AZ287" s="318"/>
      <c r="BA287" s="225"/>
      <c r="BB287" s="207"/>
      <c r="BC287" s="318"/>
      <c r="BD287" s="225"/>
      <c r="BE287" s="207"/>
      <c r="BF287" s="318"/>
      <c r="BG287" s="225"/>
      <c r="BH287" s="207"/>
      <c r="BI287" s="318"/>
      <c r="BJ287" s="225"/>
      <c r="BK287" s="205"/>
      <c r="BL287" s="224"/>
      <c r="BN287" s="318"/>
      <c r="BO287" s="225"/>
      <c r="BP287" s="207"/>
      <c r="BQ287" s="318"/>
      <c r="BR287" s="225"/>
      <c r="BS287" s="207"/>
      <c r="BT287" s="318"/>
      <c r="BU287" s="225"/>
      <c r="BV287" s="207"/>
      <c r="BW287" s="318"/>
      <c r="BX287" s="225"/>
      <c r="BY287" s="205"/>
      <c r="BZ287" s="224"/>
      <c r="CB287" s="318"/>
      <c r="CC287" s="225"/>
      <c r="CD287" s="207"/>
      <c r="CE287" s="318"/>
      <c r="CF287" s="225"/>
      <c r="CG287" s="207"/>
      <c r="CH287" s="318"/>
      <c r="CI287" s="225"/>
      <c r="CJ287" s="207"/>
      <c r="CK287" s="318"/>
      <c r="CL287" s="225"/>
      <c r="CM287" s="205"/>
      <c r="CN287" s="224"/>
    </row>
    <row r="288" spans="2:92" ht="86.25" thickBot="1" x14ac:dyDescent="0.25">
      <c r="B288" s="1455"/>
      <c r="C288" s="1450"/>
      <c r="D288" s="1316" t="s">
        <v>204</v>
      </c>
      <c r="E288" s="1319" t="s">
        <v>230</v>
      </c>
      <c r="F288" s="1316" t="s">
        <v>529</v>
      </c>
      <c r="G288" s="322" t="str">
        <f>+'Plan de Accion apoyo transversa'!X135</f>
        <v>Servicios, infraestructura, Sistemas de información migrados (Transición) a IPV6 y compatibilidad con IPV4</v>
      </c>
      <c r="H288" s="218" t="str">
        <f>+'Plan de Accion apoyo transversa'!AK135</f>
        <v>(Servicios, infraestructura, Sistemas de información) migrados a IPV6 / (Servicios, infraestructura, Sistemas de información) compatibles a migración IPV6</v>
      </c>
      <c r="J288" s="217">
        <f>+'Plan de Accion apoyo transversa'!AT135</f>
        <v>0</v>
      </c>
      <c r="K288" s="483" t="str">
        <f>+'Plan de Accion apoyo transversa'!CE135</f>
        <v>No Prog ni Ejec</v>
      </c>
      <c r="L288" s="483" t="s">
        <v>204</v>
      </c>
      <c r="M288" s="483">
        <f>+'Plan de Accion apoyo transversa'!AX135</f>
        <v>0</v>
      </c>
      <c r="N288" s="483">
        <f t="shared" si="243"/>
        <v>0</v>
      </c>
      <c r="O288" s="485" t="s">
        <v>204</v>
      </c>
      <c r="P288" s="216"/>
      <c r="Q288" s="217">
        <f>+'Plan de Accion apoyo transversa'!BD135</f>
        <v>0</v>
      </c>
      <c r="R288" s="253" t="str">
        <f>+'Plan de Accion apoyo transversa'!CG135</f>
        <v>No Prog ni Ejec</v>
      </c>
      <c r="S288" s="215" t="s">
        <v>204</v>
      </c>
      <c r="T288" s="311">
        <f>+'Plan de Accion apoyo transversa'!BH135</f>
        <v>0</v>
      </c>
      <c r="U288" s="311">
        <f t="shared" si="266"/>
        <v>0</v>
      </c>
      <c r="V288" s="214" t="s">
        <v>204</v>
      </c>
      <c r="W288" s="216"/>
      <c r="X288" s="217">
        <f>+'Plan de Accion apoyo transversa'!BN135</f>
        <v>0</v>
      </c>
      <c r="Y288" s="253" t="str">
        <f>+'Plan de Accion apoyo transversa'!CI135</f>
        <v>No Prog ni Ejec</v>
      </c>
      <c r="Z288" s="215" t="s">
        <v>204</v>
      </c>
      <c r="AA288" s="220">
        <f>+'Plan de Accion apoyo transversa'!BR135</f>
        <v>0</v>
      </c>
      <c r="AB288" s="220">
        <f t="shared" si="264"/>
        <v>0</v>
      </c>
      <c r="AC288" s="219" t="s">
        <v>204</v>
      </c>
      <c r="AD288" s="216"/>
      <c r="AE288" s="217">
        <f>+'Plan de Accion apoyo transversa'!BX135</f>
        <v>0</v>
      </c>
      <c r="AF288" s="253">
        <f>+'Plan de Accion apoyo transversa'!CK135</f>
        <v>0</v>
      </c>
      <c r="AG288" s="215">
        <f>IF(AF288&gt;100%,100%,AF288)</f>
        <v>0</v>
      </c>
      <c r="AH288" s="253">
        <f>+'Plan de Accion apoyo transversa'!CB135</f>
        <v>0</v>
      </c>
      <c r="AI288" s="214">
        <f t="shared" si="268"/>
        <v>0</v>
      </c>
      <c r="AJ288" s="224"/>
      <c r="AL288" s="318"/>
      <c r="AM288" s="225"/>
      <c r="AN288" s="207"/>
      <c r="AO288" s="318"/>
      <c r="AP288" s="225"/>
      <c r="AQ288" s="207"/>
      <c r="AR288" s="318"/>
      <c r="AS288" s="225"/>
      <c r="AT288" s="207"/>
      <c r="AU288" s="318"/>
      <c r="AV288" s="225"/>
      <c r="AW288" s="205"/>
      <c r="AX288" s="224"/>
      <c r="AZ288" s="318"/>
      <c r="BA288" s="225"/>
      <c r="BB288" s="207"/>
      <c r="BC288" s="318"/>
      <c r="BD288" s="225"/>
      <c r="BE288" s="207"/>
      <c r="BF288" s="318"/>
      <c r="BG288" s="225"/>
      <c r="BH288" s="207"/>
      <c r="BI288" s="318"/>
      <c r="BJ288" s="225"/>
      <c r="BK288" s="205"/>
      <c r="BL288" s="224"/>
      <c r="BN288" s="318"/>
      <c r="BO288" s="225"/>
      <c r="BP288" s="207"/>
      <c r="BQ288" s="318"/>
      <c r="BR288" s="225"/>
      <c r="BS288" s="207"/>
      <c r="BT288" s="318"/>
      <c r="BU288" s="225"/>
      <c r="BV288" s="207"/>
      <c r="BW288" s="318"/>
      <c r="BX288" s="225"/>
      <c r="BY288" s="205"/>
      <c r="BZ288" s="224"/>
      <c r="CB288" s="318"/>
      <c r="CC288" s="225"/>
      <c r="CD288" s="207"/>
      <c r="CE288" s="318"/>
      <c r="CF288" s="225"/>
      <c r="CG288" s="207"/>
      <c r="CH288" s="318"/>
      <c r="CI288" s="225"/>
      <c r="CJ288" s="207"/>
      <c r="CK288" s="318"/>
      <c r="CL288" s="225"/>
      <c r="CM288" s="205"/>
      <c r="CN288" s="224"/>
    </row>
    <row r="289" spans="2:92" ht="72" thickBot="1" x14ac:dyDescent="0.25">
      <c r="B289" s="1455"/>
      <c r="C289" s="1450"/>
      <c r="D289" s="1317"/>
      <c r="E289" s="1320"/>
      <c r="F289" s="1317"/>
      <c r="G289" s="322" t="str">
        <f>+'Plan de Accion apoyo transversa'!X136</f>
        <v>Informe sobre servicios técnicos para realizar análisis de vulnerabilidades, ethical Hacking y pruebas de Ingeniería Social adquiridos</v>
      </c>
      <c r="H289" s="218" t="str">
        <f>+'Plan de Accion apoyo transversa'!AK136</f>
        <v># Informes sobre servicios técnicos para realizar análisis de vulnerabilidades, Ethical Hacking y pruebas de Ingeniería Social adquiridos</v>
      </c>
      <c r="J289" s="221">
        <f>+'Plan de Accion apoyo transversa'!AT136</f>
        <v>0</v>
      </c>
      <c r="K289" s="483" t="str">
        <f>+'Plan de Accion apoyo transversa'!CE136</f>
        <v>No Prog ni Ejec</v>
      </c>
      <c r="L289" s="483" t="s">
        <v>204</v>
      </c>
      <c r="M289" s="483">
        <f>+'Plan de Accion apoyo transversa'!AX136</f>
        <v>0</v>
      </c>
      <c r="N289" s="483">
        <f t="shared" si="243"/>
        <v>0</v>
      </c>
      <c r="O289" s="485" t="s">
        <v>204</v>
      </c>
      <c r="P289" s="216"/>
      <c r="Q289" s="221">
        <f>+'Plan de Accion apoyo transversa'!BD136</f>
        <v>0</v>
      </c>
      <c r="R289" s="253" t="str">
        <f>+'Plan de Accion apoyo transversa'!CG136</f>
        <v>No Prog ni Ejec</v>
      </c>
      <c r="S289" s="215" t="s">
        <v>204</v>
      </c>
      <c r="T289" s="311" t="s">
        <v>204</v>
      </c>
      <c r="U289" s="311" t="s">
        <v>204</v>
      </c>
      <c r="V289" s="214" t="s">
        <v>204</v>
      </c>
      <c r="W289" s="216"/>
      <c r="X289" s="221">
        <f>+'Plan de Accion apoyo transversa'!BN136</f>
        <v>0</v>
      </c>
      <c r="Y289" s="253" t="str">
        <f>+'Plan de Accion apoyo transversa'!CI136</f>
        <v>No Prog ni Ejec</v>
      </c>
      <c r="Z289" s="215" t="s">
        <v>204</v>
      </c>
      <c r="AA289" s="220" t="s">
        <v>204</v>
      </c>
      <c r="AB289" s="220" t="s">
        <v>204</v>
      </c>
      <c r="AC289" s="219" t="s">
        <v>204</v>
      </c>
      <c r="AD289" s="216"/>
      <c r="AE289" s="221" t="s">
        <v>204</v>
      </c>
      <c r="AF289" s="253" t="s">
        <v>180</v>
      </c>
      <c r="AG289" s="215" t="s">
        <v>204</v>
      </c>
      <c r="AH289" s="253" t="s">
        <v>204</v>
      </c>
      <c r="AI289" s="214" t="s">
        <v>204</v>
      </c>
      <c r="AJ289" s="224"/>
      <c r="AL289" s="318"/>
      <c r="AM289" s="225"/>
      <c r="AN289" s="207"/>
      <c r="AO289" s="318"/>
      <c r="AP289" s="225"/>
      <c r="AQ289" s="207"/>
      <c r="AR289" s="318"/>
      <c r="AS289" s="225"/>
      <c r="AT289" s="207"/>
      <c r="AU289" s="318"/>
      <c r="AV289" s="225"/>
      <c r="AW289" s="205"/>
      <c r="AX289" s="224"/>
      <c r="AZ289" s="318"/>
      <c r="BA289" s="225"/>
      <c r="BB289" s="207"/>
      <c r="BC289" s="318"/>
      <c r="BD289" s="225"/>
      <c r="BE289" s="207"/>
      <c r="BF289" s="318"/>
      <c r="BG289" s="225"/>
      <c r="BH289" s="207"/>
      <c r="BI289" s="318"/>
      <c r="BJ289" s="225"/>
      <c r="BK289" s="205"/>
      <c r="BL289" s="224"/>
      <c r="BN289" s="318"/>
      <c r="BO289" s="225"/>
      <c r="BP289" s="207"/>
      <c r="BQ289" s="318"/>
      <c r="BR289" s="225"/>
      <c r="BS289" s="207"/>
      <c r="BT289" s="318"/>
      <c r="BU289" s="225"/>
      <c r="BV289" s="207"/>
      <c r="BW289" s="318"/>
      <c r="BX289" s="225"/>
      <c r="BY289" s="205"/>
      <c r="BZ289" s="224"/>
      <c r="CB289" s="318"/>
      <c r="CC289" s="225"/>
      <c r="CD289" s="207"/>
      <c r="CE289" s="318"/>
      <c r="CF289" s="225"/>
      <c r="CG289" s="207"/>
      <c r="CH289" s="318"/>
      <c r="CI289" s="225"/>
      <c r="CJ289" s="207"/>
      <c r="CK289" s="318"/>
      <c r="CL289" s="225"/>
      <c r="CM289" s="205"/>
      <c r="CN289" s="224"/>
    </row>
    <row r="290" spans="2:92" ht="57.75" thickBot="1" x14ac:dyDescent="0.25">
      <c r="B290" s="1455"/>
      <c r="C290" s="1450"/>
      <c r="D290" s="1317"/>
      <c r="E290" s="1320"/>
      <c r="F290" s="1317"/>
      <c r="G290" s="486" t="str">
        <f>+'Plan de Accion apoyo transversa'!X180</f>
        <v>Autodiagnóstico frente al cumplimiento del Régimen de protección de datos personales</v>
      </c>
      <c r="H290" s="218" t="str">
        <f>+'Plan de Accion apoyo transversa'!AK180</f>
        <v># Autodiagnósticos de Ley de Protección de Datos - LPD realizados</v>
      </c>
      <c r="J290" s="221">
        <f>+'Plan de Accion apoyo transversa'!AT180</f>
        <v>1</v>
      </c>
      <c r="K290" s="483">
        <f>+'Plan de Accion apoyo transversa'!CE180</f>
        <v>1</v>
      </c>
      <c r="L290" s="483">
        <f>IF(K290&gt;100%,100%,K290)</f>
        <v>1</v>
      </c>
      <c r="M290" s="483">
        <f>+'Plan de Accion apoyo transversa'!AX180</f>
        <v>1</v>
      </c>
      <c r="N290" s="483">
        <f>IF(M290&gt;100%,100%,M290)</f>
        <v>1</v>
      </c>
      <c r="O290" s="485">
        <f>+N290</f>
        <v>1</v>
      </c>
      <c r="P290" s="216"/>
      <c r="Q290" s="221">
        <f>+'Plan de Accion apoyo transversa'!BD180</f>
        <v>0</v>
      </c>
      <c r="R290" s="253" t="str">
        <f>+'Plan de Accion apoyo transversa'!CG180</f>
        <v>No Prog ni Ejec</v>
      </c>
      <c r="S290" s="215" t="s">
        <v>204</v>
      </c>
      <c r="T290" s="483">
        <f>+'Plan de Accion apoyo transversa'!BH180</f>
        <v>1</v>
      </c>
      <c r="U290" s="483">
        <f t="shared" si="266"/>
        <v>1</v>
      </c>
      <c r="V290" s="214">
        <f t="shared" ref="V290:V295" si="273">+U290</f>
        <v>1</v>
      </c>
      <c r="W290" s="216"/>
      <c r="X290" s="221">
        <f>+'Plan de Accion apoyo transversa'!BN180</f>
        <v>0</v>
      </c>
      <c r="Y290" s="253" t="str">
        <f>+'Plan de Accion apoyo transversa'!CI180</f>
        <v>No Prog ni Ejec</v>
      </c>
      <c r="Z290" s="215" t="s">
        <v>204</v>
      </c>
      <c r="AA290" s="220">
        <f>+'Plan de Accion apoyo transversa'!BR180</f>
        <v>1</v>
      </c>
      <c r="AB290" s="220">
        <f>IF(AA290&gt;100%,100%,AA290)</f>
        <v>1</v>
      </c>
      <c r="AC290" s="219">
        <f t="shared" ref="AC290:AC295" si="274">+AB290</f>
        <v>1</v>
      </c>
      <c r="AD290" s="216"/>
      <c r="AE290" s="221">
        <f>+'Plan de Accion apoyo transversa'!BX180</f>
        <v>0</v>
      </c>
      <c r="AF290" s="253" t="str">
        <f>+'Plan de Accion apoyo transversa'!CK180</f>
        <v>No Prog ni Ejec</v>
      </c>
      <c r="AG290" s="215" t="s">
        <v>204</v>
      </c>
      <c r="AH290" s="253">
        <f>+'Plan de Accion apoyo transversa'!CB180</f>
        <v>1</v>
      </c>
      <c r="AI290" s="214">
        <f t="shared" si="268"/>
        <v>1</v>
      </c>
      <c r="AJ290" s="224"/>
      <c r="AL290" s="488"/>
      <c r="AM290" s="225"/>
      <c r="AN290" s="207"/>
      <c r="AO290" s="488"/>
      <c r="AP290" s="225"/>
      <c r="AQ290" s="207"/>
      <c r="AR290" s="488"/>
      <c r="AS290" s="225"/>
      <c r="AT290" s="207"/>
      <c r="AU290" s="488"/>
      <c r="AV290" s="225"/>
      <c r="AW290" s="205"/>
      <c r="AX290" s="224"/>
      <c r="AZ290" s="488"/>
      <c r="BA290" s="225"/>
      <c r="BB290" s="207"/>
      <c r="BC290" s="488"/>
      <c r="BD290" s="225"/>
      <c r="BE290" s="207"/>
      <c r="BF290" s="488"/>
      <c r="BG290" s="225"/>
      <c r="BH290" s="207"/>
      <c r="BI290" s="488"/>
      <c r="BJ290" s="225"/>
      <c r="BK290" s="205"/>
      <c r="BL290" s="224"/>
      <c r="BN290" s="488"/>
      <c r="BO290" s="225"/>
      <c r="BP290" s="207"/>
      <c r="BQ290" s="488"/>
      <c r="BR290" s="225"/>
      <c r="BS290" s="207"/>
      <c r="BT290" s="488"/>
      <c r="BU290" s="225"/>
      <c r="BV290" s="207"/>
      <c r="BW290" s="488"/>
      <c r="BX290" s="225"/>
      <c r="BY290" s="205"/>
      <c r="BZ290" s="224"/>
      <c r="CB290" s="488"/>
      <c r="CC290" s="225"/>
      <c r="CD290" s="207"/>
      <c r="CE290" s="488"/>
      <c r="CF290" s="225"/>
      <c r="CG290" s="207"/>
      <c r="CH290" s="488"/>
      <c r="CI290" s="225"/>
      <c r="CJ290" s="207"/>
      <c r="CK290" s="488"/>
      <c r="CL290" s="225"/>
      <c r="CM290" s="205"/>
      <c r="CN290" s="224"/>
    </row>
    <row r="291" spans="2:92" ht="43.5" thickBot="1" x14ac:dyDescent="0.25">
      <c r="B291" s="1455"/>
      <c r="C291" s="1450"/>
      <c r="D291" s="1317"/>
      <c r="E291" s="1320"/>
      <c r="F291" s="1318"/>
      <c r="G291" s="322" t="str">
        <f>+'Plan de Accion apoyo transversa'!X137</f>
        <v>Vulnerabilidades resueltas del ejercicio de ethical hacking del año anterior</v>
      </c>
      <c r="H291" s="218" t="str">
        <f>+'Plan de Accion apoyo transversa'!AK137</f>
        <v># Vulnerabilidades resueltas / # vulnerabilidades identificadas</v>
      </c>
      <c r="J291" s="217">
        <f>+'Plan de Accion apoyo transversa'!AT137</f>
        <v>0.2</v>
      </c>
      <c r="K291" s="483">
        <f>+'Plan de Accion apoyo transversa'!CE137</f>
        <v>1</v>
      </c>
      <c r="L291" s="483">
        <f>IF(K291&gt;100%,100%,K291)</f>
        <v>1</v>
      </c>
      <c r="M291" s="483">
        <f>+'Plan de Accion apoyo transversa'!AX137</f>
        <v>0.25</v>
      </c>
      <c r="N291" s="483">
        <f t="shared" si="243"/>
        <v>0.25</v>
      </c>
      <c r="O291" s="485">
        <f>+N291</f>
        <v>0.25</v>
      </c>
      <c r="P291" s="216"/>
      <c r="Q291" s="217">
        <f>+'Plan de Accion apoyo transversa'!BD137</f>
        <v>0</v>
      </c>
      <c r="R291" s="253" t="s">
        <v>180</v>
      </c>
      <c r="S291" s="215" t="s">
        <v>204</v>
      </c>
      <c r="T291" s="311">
        <f>+'Plan de Accion apoyo transversa'!BH137</f>
        <v>0.25</v>
      </c>
      <c r="U291" s="311">
        <f t="shared" si="266"/>
        <v>0.25</v>
      </c>
      <c r="V291" s="214">
        <f t="shared" si="273"/>
        <v>0.25</v>
      </c>
      <c r="W291" s="216"/>
      <c r="X291" s="217">
        <f>+'Plan de Accion apoyo transversa'!BN137</f>
        <v>0</v>
      </c>
      <c r="Y291" s="253" t="s">
        <v>180</v>
      </c>
      <c r="Z291" s="215" t="s">
        <v>204</v>
      </c>
      <c r="AA291" s="220">
        <f>+'Plan de Accion apoyo transversa'!BR137</f>
        <v>0.25</v>
      </c>
      <c r="AB291" s="220">
        <f t="shared" si="264"/>
        <v>0.25</v>
      </c>
      <c r="AC291" s="219">
        <f t="shared" si="274"/>
        <v>0.25</v>
      </c>
      <c r="AD291" s="216"/>
      <c r="AE291" s="217">
        <f>+'Plan de Accion apoyo transversa'!BX137</f>
        <v>0</v>
      </c>
      <c r="AF291" s="253" t="s">
        <v>180</v>
      </c>
      <c r="AG291" s="215" t="s">
        <v>204</v>
      </c>
      <c r="AH291" s="253">
        <f>+'Plan de Accion apoyo transversa'!CB137</f>
        <v>0.25</v>
      </c>
      <c r="AI291" s="214">
        <f t="shared" si="268"/>
        <v>0.25</v>
      </c>
      <c r="AJ291" s="224"/>
      <c r="AL291" s="318"/>
      <c r="AM291" s="225"/>
      <c r="AN291" s="207"/>
      <c r="AO291" s="318"/>
      <c r="AP291" s="225"/>
      <c r="AQ291" s="207"/>
      <c r="AR291" s="318"/>
      <c r="AS291" s="225"/>
      <c r="AT291" s="207"/>
      <c r="AU291" s="318"/>
      <c r="AV291" s="225"/>
      <c r="AW291" s="205"/>
      <c r="AX291" s="224"/>
      <c r="AZ291" s="318"/>
      <c r="BA291" s="225"/>
      <c r="BB291" s="207"/>
      <c r="BC291" s="318"/>
      <c r="BD291" s="225"/>
      <c r="BE291" s="207"/>
      <c r="BF291" s="318"/>
      <c r="BG291" s="225"/>
      <c r="BH291" s="207"/>
      <c r="BI291" s="318"/>
      <c r="BJ291" s="225"/>
      <c r="BK291" s="205"/>
      <c r="BL291" s="224"/>
      <c r="BN291" s="318"/>
      <c r="BO291" s="225"/>
      <c r="BP291" s="207"/>
      <c r="BQ291" s="318"/>
      <c r="BR291" s="225"/>
      <c r="BS291" s="207"/>
      <c r="BT291" s="318"/>
      <c r="BU291" s="225"/>
      <c r="BV291" s="207"/>
      <c r="BW291" s="318"/>
      <c r="BX291" s="225"/>
      <c r="BY291" s="205"/>
      <c r="BZ291" s="224"/>
      <c r="CB291" s="318"/>
      <c r="CC291" s="225"/>
      <c r="CD291" s="207"/>
      <c r="CE291" s="318"/>
      <c r="CF291" s="225"/>
      <c r="CG291" s="207"/>
      <c r="CH291" s="318"/>
      <c r="CI291" s="225"/>
      <c r="CJ291" s="207"/>
      <c r="CK291" s="318"/>
      <c r="CL291" s="225"/>
      <c r="CM291" s="205"/>
      <c r="CN291" s="224"/>
    </row>
    <row r="292" spans="2:92" ht="43.5" thickBot="1" x14ac:dyDescent="0.25">
      <c r="B292" s="1455"/>
      <c r="C292" s="1450"/>
      <c r="D292" s="1317"/>
      <c r="E292" s="1320"/>
      <c r="F292" s="1316" t="s">
        <v>332</v>
      </c>
      <c r="G292" s="322" t="str">
        <f>+'Plan de Accion apoyo transversa'!X146</f>
        <v>Autodiagnóstico del Modelo de Seguridad y Privacidad Revisado</v>
      </c>
      <c r="H292" s="218" t="str">
        <f>+'Plan de Accion apoyo transversa'!AK146</f>
        <v xml:space="preserve"># Autodiagnósticos realizados </v>
      </c>
      <c r="J292" s="221">
        <f>+'Plan de Accion apoyo transversa'!AT146</f>
        <v>0</v>
      </c>
      <c r="K292" s="483" t="str">
        <f>+'Plan de Accion apoyo transversa'!CE146</f>
        <v>No Prog ni Ejec</v>
      </c>
      <c r="L292" s="483" t="s">
        <v>204</v>
      </c>
      <c r="M292" s="483">
        <f>+'Plan de Accion apoyo transversa'!AX146</f>
        <v>0</v>
      </c>
      <c r="N292" s="483">
        <f t="shared" si="243"/>
        <v>0</v>
      </c>
      <c r="O292" s="485" t="s">
        <v>204</v>
      </c>
      <c r="P292" s="216"/>
      <c r="Q292" s="221">
        <f>+'Plan de Accion apoyo transversa'!BD146</f>
        <v>1</v>
      </c>
      <c r="R292" s="253">
        <f>+'Plan de Accion apoyo transversa'!CG146</f>
        <v>1</v>
      </c>
      <c r="S292" s="215">
        <f>IF(R292&gt;100%,100%,R292)</f>
        <v>1</v>
      </c>
      <c r="T292" s="311">
        <f>+'Plan de Accion apoyo transversa'!BH146</f>
        <v>0.5</v>
      </c>
      <c r="U292" s="311">
        <f t="shared" si="266"/>
        <v>0.5</v>
      </c>
      <c r="V292" s="214">
        <f t="shared" si="273"/>
        <v>0.5</v>
      </c>
      <c r="W292" s="216"/>
      <c r="X292" s="221">
        <f>+'Plan de Accion apoyo transversa'!BN146</f>
        <v>0</v>
      </c>
      <c r="Y292" s="253" t="str">
        <f>+'Plan de Accion apoyo transversa'!CI146</f>
        <v>No Prog ni Ejec</v>
      </c>
      <c r="Z292" s="215" t="s">
        <v>204</v>
      </c>
      <c r="AA292" s="220">
        <f>+'Plan de Accion apoyo transversa'!BR146</f>
        <v>0.5</v>
      </c>
      <c r="AB292" s="220">
        <f t="shared" si="264"/>
        <v>0.5</v>
      </c>
      <c r="AC292" s="219">
        <f t="shared" si="274"/>
        <v>0.5</v>
      </c>
      <c r="AD292" s="216"/>
      <c r="AE292" s="221">
        <f>+'Plan de Accion apoyo transversa'!BX146</f>
        <v>0</v>
      </c>
      <c r="AF292" s="253">
        <f>+'Plan de Accion apoyo transversa'!CK146</f>
        <v>0</v>
      </c>
      <c r="AG292" s="215">
        <f>IF(AF292&gt;100%,100%,AF292)</f>
        <v>0</v>
      </c>
      <c r="AH292" s="253">
        <f>+'Plan de Accion apoyo transversa'!CB146</f>
        <v>0.5</v>
      </c>
      <c r="AI292" s="214">
        <f t="shared" si="268"/>
        <v>0.5</v>
      </c>
      <c r="AJ292" s="224"/>
      <c r="AL292" s="318"/>
      <c r="AM292" s="225"/>
      <c r="AN292" s="207"/>
      <c r="AO292" s="318"/>
      <c r="AP292" s="225"/>
      <c r="AQ292" s="207"/>
      <c r="AR292" s="318"/>
      <c r="AS292" s="225"/>
      <c r="AT292" s="207"/>
      <c r="AU292" s="318"/>
      <c r="AV292" s="225"/>
      <c r="AW292" s="205"/>
      <c r="AX292" s="224"/>
      <c r="AZ292" s="318"/>
      <c r="BA292" s="225"/>
      <c r="BB292" s="207"/>
      <c r="BC292" s="318"/>
      <c r="BD292" s="225"/>
      <c r="BE292" s="207"/>
      <c r="BF292" s="318"/>
      <c r="BG292" s="225"/>
      <c r="BH292" s="207"/>
      <c r="BI292" s="318"/>
      <c r="BJ292" s="225"/>
      <c r="BK292" s="205"/>
      <c r="BL292" s="224"/>
      <c r="BN292" s="318"/>
      <c r="BO292" s="225"/>
      <c r="BP292" s="207"/>
      <c r="BQ292" s="318"/>
      <c r="BR292" s="225"/>
      <c r="BS292" s="207"/>
      <c r="BT292" s="318"/>
      <c r="BU292" s="225"/>
      <c r="BV292" s="207"/>
      <c r="BW292" s="318"/>
      <c r="BX292" s="225"/>
      <c r="BY292" s="205"/>
      <c r="BZ292" s="224"/>
      <c r="CB292" s="318"/>
      <c r="CC292" s="225"/>
      <c r="CD292" s="207"/>
      <c r="CE292" s="318"/>
      <c r="CF292" s="225"/>
      <c r="CG292" s="207"/>
      <c r="CH292" s="318"/>
      <c r="CI292" s="225"/>
      <c r="CJ292" s="207"/>
      <c r="CK292" s="318"/>
      <c r="CL292" s="225"/>
      <c r="CM292" s="205"/>
      <c r="CN292" s="224"/>
    </row>
    <row r="293" spans="2:92" ht="43.5" thickBot="1" x14ac:dyDescent="0.25">
      <c r="B293" s="1455"/>
      <c r="C293" s="1450"/>
      <c r="D293" s="1317"/>
      <c r="E293" s="1320"/>
      <c r="F293" s="1317"/>
      <c r="G293" s="322" t="str">
        <f>+'Plan de Accion apoyo transversa'!X147</f>
        <v>Políticas General y Específicas de Seguridad y Privacidad de la Información</v>
      </c>
      <c r="H293" s="218" t="str">
        <f>+'Plan de Accion apoyo transversa'!AK147</f>
        <v># Políticas aprobadas mediante acto administrativo o equivalente</v>
      </c>
      <c r="J293" s="221">
        <f>+'Plan de Accion apoyo transversa'!AT147</f>
        <v>2</v>
      </c>
      <c r="K293" s="483">
        <f>+'Plan de Accion apoyo transversa'!CE147</f>
        <v>1</v>
      </c>
      <c r="L293" s="483">
        <f>IF(K293&gt;100%,100%,K293)</f>
        <v>1</v>
      </c>
      <c r="M293" s="483">
        <f>+'Plan de Accion apoyo transversa'!AX147</f>
        <v>1</v>
      </c>
      <c r="N293" s="483">
        <f t="shared" si="243"/>
        <v>1</v>
      </c>
      <c r="O293" s="485">
        <f>+N293</f>
        <v>1</v>
      </c>
      <c r="P293" s="216"/>
      <c r="Q293" s="221">
        <f>+'Plan de Accion apoyo transversa'!BD147</f>
        <v>0</v>
      </c>
      <c r="R293" s="253" t="str">
        <f>+'Plan de Accion apoyo transversa'!CG147</f>
        <v>No Prog ni Ejec</v>
      </c>
      <c r="S293" s="215" t="s">
        <v>204</v>
      </c>
      <c r="T293" s="311">
        <f>+'Plan de Accion apoyo transversa'!BH147</f>
        <v>1</v>
      </c>
      <c r="U293" s="311">
        <f t="shared" si="266"/>
        <v>1</v>
      </c>
      <c r="V293" s="214">
        <f t="shared" si="273"/>
        <v>1</v>
      </c>
      <c r="W293" s="216"/>
      <c r="X293" s="221">
        <f>+'Plan de Accion apoyo transversa'!BN147</f>
        <v>0</v>
      </c>
      <c r="Y293" s="253" t="str">
        <f>+'Plan de Accion apoyo transversa'!CI147</f>
        <v>No Prog ni Ejec</v>
      </c>
      <c r="Z293" s="215" t="s">
        <v>204</v>
      </c>
      <c r="AA293" s="220">
        <f>+'Plan de Accion apoyo transversa'!BR147</f>
        <v>1</v>
      </c>
      <c r="AB293" s="220">
        <f t="shared" si="264"/>
        <v>1</v>
      </c>
      <c r="AC293" s="219">
        <f t="shared" si="274"/>
        <v>1</v>
      </c>
      <c r="AD293" s="216"/>
      <c r="AE293" s="221">
        <f>+'Plan de Accion apoyo transversa'!BX147</f>
        <v>0</v>
      </c>
      <c r="AF293" s="253" t="str">
        <f>+'Plan de Accion apoyo transversa'!CK147</f>
        <v>No Prog ni Ejec</v>
      </c>
      <c r="AG293" s="215" t="s">
        <v>204</v>
      </c>
      <c r="AH293" s="253">
        <f>+'Plan de Accion apoyo transversa'!CB147</f>
        <v>1</v>
      </c>
      <c r="AI293" s="214">
        <f t="shared" si="268"/>
        <v>1</v>
      </c>
      <c r="AJ293" s="224"/>
      <c r="AL293" s="318"/>
      <c r="AM293" s="225"/>
      <c r="AN293" s="207"/>
      <c r="AO293" s="318"/>
      <c r="AP293" s="225"/>
      <c r="AQ293" s="207"/>
      <c r="AR293" s="318"/>
      <c r="AS293" s="225"/>
      <c r="AT293" s="207"/>
      <c r="AU293" s="318"/>
      <c r="AV293" s="225"/>
      <c r="AW293" s="205"/>
      <c r="AX293" s="224"/>
      <c r="AZ293" s="318"/>
      <c r="BA293" s="225"/>
      <c r="BB293" s="207"/>
      <c r="BC293" s="318"/>
      <c r="BD293" s="225"/>
      <c r="BE293" s="207"/>
      <c r="BF293" s="318"/>
      <c r="BG293" s="225"/>
      <c r="BH293" s="207"/>
      <c r="BI293" s="318"/>
      <c r="BJ293" s="225"/>
      <c r="BK293" s="205"/>
      <c r="BL293" s="224"/>
      <c r="BN293" s="318"/>
      <c r="BO293" s="225"/>
      <c r="BP293" s="207"/>
      <c r="BQ293" s="318"/>
      <c r="BR293" s="225"/>
      <c r="BS293" s="207"/>
      <c r="BT293" s="318"/>
      <c r="BU293" s="225"/>
      <c r="BV293" s="207"/>
      <c r="BW293" s="318"/>
      <c r="BX293" s="225"/>
      <c r="BY293" s="205"/>
      <c r="BZ293" s="224"/>
      <c r="CB293" s="318"/>
      <c r="CC293" s="225"/>
      <c r="CD293" s="207"/>
      <c r="CE293" s="318"/>
      <c r="CF293" s="225"/>
      <c r="CG293" s="207"/>
      <c r="CH293" s="318"/>
      <c r="CI293" s="225"/>
      <c r="CJ293" s="207"/>
      <c r="CK293" s="318"/>
      <c r="CL293" s="225"/>
      <c r="CM293" s="205"/>
      <c r="CN293" s="224"/>
    </row>
    <row r="294" spans="2:92" ht="43.5" thickBot="1" x14ac:dyDescent="0.25">
      <c r="B294" s="1455"/>
      <c r="C294" s="1450"/>
      <c r="D294" s="1317"/>
      <c r="E294" s="1320"/>
      <c r="F294" s="1317"/>
      <c r="G294" s="322" t="str">
        <f>+'Plan de Accion apoyo transversa'!X148</f>
        <v>Inventario y registro de activos de información actualizados</v>
      </c>
      <c r="H294" s="218" t="str">
        <f>+'Plan de Accion apoyo transversa'!AK148</f>
        <v xml:space="preserve"> # Matrices de inventario y registro de activos de información actualizados </v>
      </c>
      <c r="J294" s="221">
        <f>+'Plan de Accion apoyo transversa'!AT148</f>
        <v>0</v>
      </c>
      <c r="K294" s="483" t="str">
        <f>+'Plan de Accion apoyo transversa'!CE148</f>
        <v>No Prog ni Ejec</v>
      </c>
      <c r="L294" s="483" t="s">
        <v>204</v>
      </c>
      <c r="M294" s="483">
        <f>+'Plan de Accion apoyo transversa'!AX148</f>
        <v>0</v>
      </c>
      <c r="N294" s="483">
        <f t="shared" si="243"/>
        <v>0</v>
      </c>
      <c r="O294" s="485" t="s">
        <v>204</v>
      </c>
      <c r="P294" s="216"/>
      <c r="Q294" s="221">
        <f>+'Plan de Accion apoyo transversa'!BD148</f>
        <v>1</v>
      </c>
      <c r="R294" s="253">
        <f>+'Plan de Accion apoyo transversa'!CG148</f>
        <v>1</v>
      </c>
      <c r="S294" s="215">
        <f>IF(R294&gt;100%,100%,R294)</f>
        <v>1</v>
      </c>
      <c r="T294" s="311">
        <f>+'Plan de Accion apoyo transversa'!BH148</f>
        <v>0.5</v>
      </c>
      <c r="U294" s="311">
        <f t="shared" si="266"/>
        <v>0.5</v>
      </c>
      <c r="V294" s="214">
        <f t="shared" si="273"/>
        <v>0.5</v>
      </c>
      <c r="W294" s="216"/>
      <c r="X294" s="221">
        <f>+'Plan de Accion apoyo transversa'!BN148</f>
        <v>0</v>
      </c>
      <c r="Y294" s="253" t="str">
        <f>+'Plan de Accion apoyo transversa'!CI148</f>
        <v>No Prog ni Ejec</v>
      </c>
      <c r="Z294" s="215" t="s">
        <v>204</v>
      </c>
      <c r="AA294" s="220">
        <f>+'Plan de Accion apoyo transversa'!BR148</f>
        <v>0.5</v>
      </c>
      <c r="AB294" s="220">
        <f t="shared" si="264"/>
        <v>0.5</v>
      </c>
      <c r="AC294" s="219">
        <f t="shared" si="274"/>
        <v>0.5</v>
      </c>
      <c r="AD294" s="216"/>
      <c r="AE294" s="221">
        <f>+'Plan de Accion apoyo transversa'!BX148</f>
        <v>0</v>
      </c>
      <c r="AF294" s="253">
        <f>+'Plan de Accion apoyo transversa'!CK148</f>
        <v>0</v>
      </c>
      <c r="AG294" s="215">
        <f t="shared" ref="AG294:AG299" si="275">IF(AF294&gt;100%,100%,AF294)</f>
        <v>0</v>
      </c>
      <c r="AH294" s="253">
        <f>+'Plan de Accion apoyo transversa'!CB148</f>
        <v>0.5</v>
      </c>
      <c r="AI294" s="214">
        <f t="shared" si="268"/>
        <v>0.5</v>
      </c>
      <c r="AJ294" s="224"/>
      <c r="AL294" s="318"/>
      <c r="AM294" s="225"/>
      <c r="AN294" s="207"/>
      <c r="AO294" s="318"/>
      <c r="AP294" s="225"/>
      <c r="AQ294" s="207"/>
      <c r="AR294" s="318"/>
      <c r="AS294" s="225"/>
      <c r="AT294" s="207"/>
      <c r="AU294" s="318"/>
      <c r="AV294" s="225"/>
      <c r="AW294" s="205"/>
      <c r="AX294" s="224"/>
      <c r="AZ294" s="318"/>
      <c r="BA294" s="225"/>
      <c r="BB294" s="207"/>
      <c r="BC294" s="318"/>
      <c r="BD294" s="225"/>
      <c r="BE294" s="207"/>
      <c r="BF294" s="318"/>
      <c r="BG294" s="225"/>
      <c r="BH294" s="207"/>
      <c r="BI294" s="318"/>
      <c r="BJ294" s="225"/>
      <c r="BK294" s="205"/>
      <c r="BL294" s="224"/>
      <c r="BN294" s="318"/>
      <c r="BO294" s="225"/>
      <c r="BP294" s="207"/>
      <c r="BQ294" s="318"/>
      <c r="BR294" s="225"/>
      <c r="BS294" s="207"/>
      <c r="BT294" s="318"/>
      <c r="BU294" s="225"/>
      <c r="BV294" s="207"/>
      <c r="BW294" s="318"/>
      <c r="BX294" s="225"/>
      <c r="BY294" s="205"/>
      <c r="BZ294" s="224"/>
      <c r="CB294" s="318"/>
      <c r="CC294" s="225"/>
      <c r="CD294" s="207"/>
      <c r="CE294" s="318"/>
      <c r="CF294" s="225"/>
      <c r="CG294" s="207"/>
      <c r="CH294" s="318"/>
      <c r="CI294" s="225"/>
      <c r="CJ294" s="207"/>
      <c r="CK294" s="318"/>
      <c r="CL294" s="225"/>
      <c r="CM294" s="205"/>
      <c r="CN294" s="224"/>
    </row>
    <row r="295" spans="2:92" ht="43.5" thickBot="1" x14ac:dyDescent="0.25">
      <c r="B295" s="1455"/>
      <c r="C295" s="1450"/>
      <c r="D295" s="1317"/>
      <c r="E295" s="1320"/>
      <c r="F295" s="1318"/>
      <c r="G295" s="322" t="str">
        <f>+'Plan de Accion apoyo transversa'!X149</f>
        <v>Procedimientos relacionados con Seguridad de la Información</v>
      </c>
      <c r="H295" s="218" t="str">
        <f>+'Plan de Accion apoyo transversa'!AK149</f>
        <v xml:space="preserve"># Procedimientos aprobados </v>
      </c>
      <c r="J295" s="221">
        <f>+'Plan de Accion apoyo transversa'!AT149</f>
        <v>4</v>
      </c>
      <c r="K295" s="483">
        <f>+'Plan de Accion apoyo transversa'!CE149</f>
        <v>1</v>
      </c>
      <c r="L295" s="483">
        <f>IF(K295&gt;100%,100%,K295)</f>
        <v>1</v>
      </c>
      <c r="M295" s="483">
        <f>+'Plan de Accion apoyo transversa'!AX149</f>
        <v>0.21052631578947367</v>
      </c>
      <c r="N295" s="483">
        <f t="shared" si="243"/>
        <v>0.21052631578947367</v>
      </c>
      <c r="O295" s="485">
        <f>+N295</f>
        <v>0.21052631578947367</v>
      </c>
      <c r="P295" s="216"/>
      <c r="Q295" s="221">
        <f>+'Plan de Accion apoyo transversa'!BD149</f>
        <v>0</v>
      </c>
      <c r="R295" s="253" t="str">
        <f>+'Plan de Accion apoyo transversa'!CG149</f>
        <v>No Prog ni Ejec</v>
      </c>
      <c r="S295" s="215" t="s">
        <v>204</v>
      </c>
      <c r="T295" s="311">
        <f>+'Plan de Accion apoyo transversa'!BH149</f>
        <v>0.21052631578947367</v>
      </c>
      <c r="U295" s="311">
        <f t="shared" si="266"/>
        <v>0.21052631578947367</v>
      </c>
      <c r="V295" s="214">
        <f t="shared" si="273"/>
        <v>0.21052631578947367</v>
      </c>
      <c r="W295" s="216"/>
      <c r="X295" s="221">
        <f>+'Plan de Accion apoyo transversa'!BN149</f>
        <v>5</v>
      </c>
      <c r="Y295" s="253">
        <f>+'Plan de Accion apoyo transversa'!CI149</f>
        <v>1</v>
      </c>
      <c r="Z295" s="215">
        <f>IF(Y295&gt;100%,100%,Y295)</f>
        <v>1</v>
      </c>
      <c r="AA295" s="220">
        <f>+'Plan de Accion apoyo transversa'!BR149</f>
        <v>0.47368421052631576</v>
      </c>
      <c r="AB295" s="220">
        <f t="shared" si="264"/>
        <v>0.47368421052631576</v>
      </c>
      <c r="AC295" s="219">
        <f t="shared" si="274"/>
        <v>0.47368421052631576</v>
      </c>
      <c r="AD295" s="216"/>
      <c r="AE295" s="221">
        <f>+'Plan de Accion apoyo transversa'!BX149</f>
        <v>0</v>
      </c>
      <c r="AF295" s="253">
        <f>+'Plan de Accion apoyo transversa'!CK149</f>
        <v>0</v>
      </c>
      <c r="AG295" s="215">
        <f t="shared" si="275"/>
        <v>0</v>
      </c>
      <c r="AH295" s="253">
        <f>+'Plan de Accion apoyo transversa'!CB149</f>
        <v>0.47368421052631576</v>
      </c>
      <c r="AI295" s="214">
        <f t="shared" si="268"/>
        <v>0.47368421052631576</v>
      </c>
      <c r="AJ295" s="224"/>
      <c r="AL295" s="318"/>
      <c r="AM295" s="225"/>
      <c r="AN295" s="207"/>
      <c r="AO295" s="318"/>
      <c r="AP295" s="225"/>
      <c r="AQ295" s="207"/>
      <c r="AR295" s="318"/>
      <c r="AS295" s="225"/>
      <c r="AT295" s="207"/>
      <c r="AU295" s="318"/>
      <c r="AV295" s="225"/>
      <c r="AW295" s="205"/>
      <c r="AX295" s="224"/>
      <c r="AZ295" s="318"/>
      <c r="BA295" s="225"/>
      <c r="BB295" s="207"/>
      <c r="BC295" s="318"/>
      <c r="BD295" s="225"/>
      <c r="BE295" s="207"/>
      <c r="BF295" s="318"/>
      <c r="BG295" s="225"/>
      <c r="BH295" s="207"/>
      <c r="BI295" s="318"/>
      <c r="BJ295" s="225"/>
      <c r="BK295" s="205"/>
      <c r="BL295" s="224"/>
      <c r="BN295" s="318"/>
      <c r="BO295" s="225"/>
      <c r="BP295" s="207"/>
      <c r="BQ295" s="318"/>
      <c r="BR295" s="225"/>
      <c r="BS295" s="207"/>
      <c r="BT295" s="318"/>
      <c r="BU295" s="225"/>
      <c r="BV295" s="207"/>
      <c r="BW295" s="318"/>
      <c r="BX295" s="225"/>
      <c r="BY295" s="205"/>
      <c r="BZ295" s="224"/>
      <c r="CB295" s="318"/>
      <c r="CC295" s="225"/>
      <c r="CD295" s="207"/>
      <c r="CE295" s="318"/>
      <c r="CF295" s="225"/>
      <c r="CG295" s="207"/>
      <c r="CH295" s="318"/>
      <c r="CI295" s="225"/>
      <c r="CJ295" s="207"/>
      <c r="CK295" s="318"/>
      <c r="CL295" s="225"/>
      <c r="CM295" s="205"/>
      <c r="CN295" s="224"/>
    </row>
    <row r="296" spans="2:92" ht="100.5" thickBot="1" x14ac:dyDescent="0.25">
      <c r="B296" s="1455"/>
      <c r="C296" s="1450"/>
      <c r="D296" s="1317"/>
      <c r="E296" s="1320"/>
      <c r="F296" s="1316" t="s">
        <v>330</v>
      </c>
      <c r="G296" s="322" t="str">
        <f>+'Plan de Accion apoyo transversa'!X138</f>
        <v>Flujos de correspondencia, que incluya impresión de stickers, firma digital de documentos, estampado cronológico, reconocimiento OCR e integración con los flujos de PQRSD y Tutelas</v>
      </c>
      <c r="H296" s="218" t="str">
        <f>+'Plan de Accion apoyo transversa'!AK138</f>
        <v>Flujos de correspondencia implementados con el cumplimiento de requisitos / Flujos de correspondencia requeridos</v>
      </c>
      <c r="J296" s="217">
        <f>+'Plan de Accion apoyo transversa'!AT138</f>
        <v>0</v>
      </c>
      <c r="K296" s="483" t="str">
        <f>+'Plan de Accion apoyo transversa'!CE138</f>
        <v>No Prog ni Ejec</v>
      </c>
      <c r="L296" s="483" t="s">
        <v>204</v>
      </c>
      <c r="M296" s="483">
        <f>+'Plan de Accion apoyo transversa'!AX138</f>
        <v>0</v>
      </c>
      <c r="N296" s="483">
        <f t="shared" si="243"/>
        <v>0</v>
      </c>
      <c r="O296" s="485" t="s">
        <v>204</v>
      </c>
      <c r="P296" s="216"/>
      <c r="Q296" s="217">
        <f>+'Plan de Accion apoyo transversa'!BD138</f>
        <v>0</v>
      </c>
      <c r="R296" s="253" t="str">
        <f>+'Plan de Accion apoyo transversa'!CG138</f>
        <v>No Prog ni Ejec</v>
      </c>
      <c r="S296" s="215" t="s">
        <v>204</v>
      </c>
      <c r="T296" s="311">
        <f>+'Plan de Accion apoyo transversa'!BH138</f>
        <v>0</v>
      </c>
      <c r="U296" s="311">
        <f t="shared" si="266"/>
        <v>0</v>
      </c>
      <c r="V296" s="214" t="s">
        <v>204</v>
      </c>
      <c r="W296" s="216"/>
      <c r="X296" s="217">
        <f>+'Plan de Accion apoyo transversa'!BN138</f>
        <v>0</v>
      </c>
      <c r="Y296" s="253" t="str">
        <f>+'Plan de Accion apoyo transversa'!CI138</f>
        <v>No Prog ni Ejec</v>
      </c>
      <c r="Z296" s="215" t="s">
        <v>204</v>
      </c>
      <c r="AA296" s="220">
        <f>+'Plan de Accion apoyo transversa'!BR138</f>
        <v>0</v>
      </c>
      <c r="AB296" s="220">
        <f t="shared" ref="AB296:AB308" si="276">IF(AA296&gt;100%,100%,AA296)</f>
        <v>0</v>
      </c>
      <c r="AC296" s="219" t="s">
        <v>204</v>
      </c>
      <c r="AD296" s="216"/>
      <c r="AE296" s="217">
        <f>+'Plan de Accion apoyo transversa'!BX138</f>
        <v>0</v>
      </c>
      <c r="AF296" s="253">
        <f>+'Plan de Accion apoyo transversa'!CK138</f>
        <v>0</v>
      </c>
      <c r="AG296" s="215">
        <f t="shared" si="275"/>
        <v>0</v>
      </c>
      <c r="AH296" s="253">
        <f>+'Plan de Accion apoyo transversa'!CB138</f>
        <v>0</v>
      </c>
      <c r="AI296" s="214">
        <f t="shared" si="268"/>
        <v>0</v>
      </c>
      <c r="AJ296" s="224"/>
      <c r="AL296" s="318"/>
      <c r="AM296" s="225"/>
      <c r="AN296" s="207"/>
      <c r="AO296" s="318"/>
      <c r="AP296" s="225"/>
      <c r="AQ296" s="207"/>
      <c r="AR296" s="318"/>
      <c r="AS296" s="225"/>
      <c r="AT296" s="207"/>
      <c r="AU296" s="318"/>
      <c r="AV296" s="225"/>
      <c r="AW296" s="205"/>
      <c r="AX296" s="224"/>
      <c r="AZ296" s="318"/>
      <c r="BA296" s="225"/>
      <c r="BB296" s="207"/>
      <c r="BC296" s="318"/>
      <c r="BD296" s="225"/>
      <c r="BE296" s="207"/>
      <c r="BF296" s="318"/>
      <c r="BG296" s="225"/>
      <c r="BH296" s="207"/>
      <c r="BI296" s="318"/>
      <c r="BJ296" s="225"/>
      <c r="BK296" s="205"/>
      <c r="BL296" s="224"/>
      <c r="BN296" s="318"/>
      <c r="BO296" s="225"/>
      <c r="BP296" s="207"/>
      <c r="BQ296" s="318"/>
      <c r="BR296" s="225"/>
      <c r="BS296" s="207"/>
      <c r="BT296" s="318"/>
      <c r="BU296" s="225"/>
      <c r="BV296" s="207"/>
      <c r="BW296" s="318"/>
      <c r="BX296" s="225"/>
      <c r="BY296" s="205"/>
      <c r="BZ296" s="224"/>
      <c r="CB296" s="318"/>
      <c r="CC296" s="225"/>
      <c r="CD296" s="207"/>
      <c r="CE296" s="318"/>
      <c r="CF296" s="225"/>
      <c r="CG296" s="207"/>
      <c r="CH296" s="318"/>
      <c r="CI296" s="225"/>
      <c r="CJ296" s="207"/>
      <c r="CK296" s="318"/>
      <c r="CL296" s="225"/>
      <c r="CM296" s="205"/>
      <c r="CN296" s="224"/>
    </row>
    <row r="297" spans="2:92" ht="43.5" thickBot="1" x14ac:dyDescent="0.25">
      <c r="B297" s="1455"/>
      <c r="C297" s="1450"/>
      <c r="D297" s="1317"/>
      <c r="E297" s="1320"/>
      <c r="F297" s="1318"/>
      <c r="G297" s="322" t="str">
        <f>+'Plan de Accion apoyo transversa'!X140</f>
        <v>Servicio de documentación de los servicios TI y Sistemas de Información</v>
      </c>
      <c r="H297" s="218" t="str">
        <f>+'Plan de Accion apoyo transversa'!AK140</f>
        <v># Manuales documentados/ # manuales requeridos</v>
      </c>
      <c r="J297" s="217">
        <f>+'Plan de Accion apoyo transversa'!AT140</f>
        <v>0</v>
      </c>
      <c r="K297" s="483" t="str">
        <f>+'Plan de Accion apoyo transversa'!CE140</f>
        <v>No Prog ni Ejec</v>
      </c>
      <c r="L297" s="483" t="s">
        <v>204</v>
      </c>
      <c r="M297" s="483">
        <f>+'Plan de Accion apoyo transversa'!AX140</f>
        <v>0</v>
      </c>
      <c r="N297" s="483">
        <f t="shared" si="243"/>
        <v>0</v>
      </c>
      <c r="O297" s="485" t="s">
        <v>204</v>
      </c>
      <c r="P297" s="216"/>
      <c r="Q297" s="217">
        <f>+'Plan de Accion apoyo transversa'!BD140</f>
        <v>0</v>
      </c>
      <c r="R297" s="253" t="str">
        <f>+'Plan de Accion apoyo transversa'!CG140</f>
        <v>No Prog ni Ejec</v>
      </c>
      <c r="S297" s="215" t="s">
        <v>204</v>
      </c>
      <c r="T297" s="311">
        <f>+'Plan de Accion apoyo transversa'!BH140</f>
        <v>0</v>
      </c>
      <c r="U297" s="311">
        <f t="shared" si="266"/>
        <v>0</v>
      </c>
      <c r="V297" s="214" t="s">
        <v>204</v>
      </c>
      <c r="W297" s="216"/>
      <c r="X297" s="217">
        <f>+'Plan de Accion apoyo transversa'!BN140</f>
        <v>1</v>
      </c>
      <c r="Y297" s="253">
        <f>+'Plan de Accion apoyo transversa'!CI140</f>
        <v>5</v>
      </c>
      <c r="Z297" s="215">
        <f>IF(Y297&gt;100%,100%,Y297)</f>
        <v>1</v>
      </c>
      <c r="AA297" s="220">
        <f>+'Plan de Accion apoyo transversa'!BR140</f>
        <v>1</v>
      </c>
      <c r="AB297" s="220">
        <f t="shared" si="276"/>
        <v>1</v>
      </c>
      <c r="AC297" s="219">
        <f>+AB297</f>
        <v>1</v>
      </c>
      <c r="AD297" s="216">
        <v>1</v>
      </c>
      <c r="AE297" s="217">
        <f>+'Plan de Accion apoyo transversa'!BX140</f>
        <v>0</v>
      </c>
      <c r="AF297" s="253">
        <f>+'Plan de Accion apoyo transversa'!CK140</f>
        <v>0</v>
      </c>
      <c r="AG297" s="215">
        <f t="shared" si="275"/>
        <v>0</v>
      </c>
      <c r="AH297" s="253">
        <f>+'Plan de Accion apoyo transversa'!CB140</f>
        <v>1</v>
      </c>
      <c r="AI297" s="214">
        <f t="shared" si="268"/>
        <v>1</v>
      </c>
      <c r="AJ297" s="224"/>
      <c r="AL297" s="318"/>
      <c r="AM297" s="225"/>
      <c r="AN297" s="207"/>
      <c r="AO297" s="318"/>
      <c r="AP297" s="225"/>
      <c r="AQ297" s="207"/>
      <c r="AR297" s="318"/>
      <c r="AS297" s="225"/>
      <c r="AT297" s="207"/>
      <c r="AU297" s="318"/>
      <c r="AV297" s="225"/>
      <c r="AW297" s="205"/>
      <c r="AX297" s="224"/>
      <c r="AZ297" s="318"/>
      <c r="BA297" s="225"/>
      <c r="BB297" s="207"/>
      <c r="BC297" s="318"/>
      <c r="BD297" s="225"/>
      <c r="BE297" s="207"/>
      <c r="BF297" s="318"/>
      <c r="BG297" s="225"/>
      <c r="BH297" s="207"/>
      <c r="BI297" s="318"/>
      <c r="BJ297" s="225"/>
      <c r="BK297" s="205"/>
      <c r="BL297" s="224"/>
      <c r="BN297" s="318"/>
      <c r="BO297" s="225"/>
      <c r="BP297" s="207"/>
      <c r="BQ297" s="318"/>
      <c r="BR297" s="225"/>
      <c r="BS297" s="207"/>
      <c r="BT297" s="318"/>
      <c r="BU297" s="225"/>
      <c r="BV297" s="207"/>
      <c r="BW297" s="318"/>
      <c r="BX297" s="225"/>
      <c r="BY297" s="205"/>
      <c r="BZ297" s="224"/>
      <c r="CB297" s="318"/>
      <c r="CC297" s="225"/>
      <c r="CD297" s="207"/>
      <c r="CE297" s="318"/>
      <c r="CF297" s="225"/>
      <c r="CG297" s="207"/>
      <c r="CH297" s="318"/>
      <c r="CI297" s="225"/>
      <c r="CJ297" s="207"/>
      <c r="CK297" s="318"/>
      <c r="CL297" s="225"/>
      <c r="CM297" s="205"/>
      <c r="CN297" s="224"/>
    </row>
    <row r="298" spans="2:92" ht="57.75" thickBot="1" x14ac:dyDescent="0.25">
      <c r="B298" s="1455"/>
      <c r="C298" s="1450"/>
      <c r="D298" s="1317"/>
      <c r="E298" s="1320"/>
      <c r="F298" s="306" t="s">
        <v>1184</v>
      </c>
      <c r="G298" s="322" t="str">
        <f>+'Plan de Accion apoyo transversa'!X139</f>
        <v>Plan Estratégico de TI  estructurado, elaborado y aprobado</v>
      </c>
      <c r="H298" s="218" t="str">
        <f>+'Plan de Accion apoyo transversa'!AK139</f>
        <v># Planes Estratégicos de TI elaborados.</v>
      </c>
      <c r="J298" s="221">
        <f>+'Plan de Accion apoyo transversa'!AT139</f>
        <v>0</v>
      </c>
      <c r="K298" s="483" t="str">
        <f>+'Plan de Accion apoyo transversa'!CE139</f>
        <v>No Prog ni Ejec</v>
      </c>
      <c r="L298" s="483" t="s">
        <v>204</v>
      </c>
      <c r="M298" s="483">
        <f>+'Plan de Accion apoyo transversa'!AX139</f>
        <v>0</v>
      </c>
      <c r="N298" s="483">
        <f t="shared" si="243"/>
        <v>0</v>
      </c>
      <c r="O298" s="485" t="s">
        <v>204</v>
      </c>
      <c r="P298" s="216"/>
      <c r="Q298" s="221">
        <f>+'Plan de Accion apoyo transversa'!BD139</f>
        <v>0</v>
      </c>
      <c r="R298" s="253" t="str">
        <f>+'Plan de Accion apoyo transversa'!CG139</f>
        <v>No Prog ni Ejec</v>
      </c>
      <c r="S298" s="215" t="s">
        <v>204</v>
      </c>
      <c r="T298" s="311">
        <f>+'Plan de Accion apoyo transversa'!BH139</f>
        <v>0</v>
      </c>
      <c r="U298" s="311">
        <f t="shared" si="266"/>
        <v>0</v>
      </c>
      <c r="V298" s="214" t="s">
        <v>204</v>
      </c>
      <c r="W298" s="216"/>
      <c r="X298" s="221">
        <f>+'Plan de Accion apoyo transversa'!BN139</f>
        <v>0</v>
      </c>
      <c r="Y298" s="253" t="str">
        <f>+'Plan de Accion apoyo transversa'!CI139</f>
        <v>No Prog ni Ejec</v>
      </c>
      <c r="Z298" s="215" t="s">
        <v>204</v>
      </c>
      <c r="AA298" s="220">
        <f>+'Plan de Accion apoyo transversa'!BR139</f>
        <v>0</v>
      </c>
      <c r="AB298" s="220">
        <f t="shared" si="276"/>
        <v>0</v>
      </c>
      <c r="AC298" s="219" t="s">
        <v>204</v>
      </c>
      <c r="AD298" s="216"/>
      <c r="AE298" s="221">
        <f>+'Plan de Accion apoyo transversa'!BX139</f>
        <v>0</v>
      </c>
      <c r="AF298" s="253">
        <f>+'Plan de Accion apoyo transversa'!CK139</f>
        <v>0</v>
      </c>
      <c r="AG298" s="215">
        <f t="shared" si="275"/>
        <v>0</v>
      </c>
      <c r="AH298" s="253">
        <f>+'Plan de Accion apoyo transversa'!CB139</f>
        <v>0</v>
      </c>
      <c r="AI298" s="214">
        <f t="shared" si="268"/>
        <v>0</v>
      </c>
      <c r="AJ298" s="224"/>
      <c r="AL298" s="318"/>
      <c r="AM298" s="225"/>
      <c r="AN298" s="207"/>
      <c r="AO298" s="318"/>
      <c r="AP298" s="225"/>
      <c r="AQ298" s="207"/>
      <c r="AR298" s="318"/>
      <c r="AS298" s="225"/>
      <c r="AT298" s="207"/>
      <c r="AU298" s="318"/>
      <c r="AV298" s="225"/>
      <c r="AW298" s="205"/>
      <c r="AX298" s="224"/>
      <c r="AZ298" s="318"/>
      <c r="BA298" s="225"/>
      <c r="BB298" s="207"/>
      <c r="BC298" s="318"/>
      <c r="BD298" s="225"/>
      <c r="BE298" s="207"/>
      <c r="BF298" s="318"/>
      <c r="BG298" s="225"/>
      <c r="BH298" s="207"/>
      <c r="BI298" s="318"/>
      <c r="BJ298" s="225"/>
      <c r="BK298" s="205"/>
      <c r="BL298" s="224"/>
      <c r="BN298" s="318"/>
      <c r="BO298" s="225"/>
      <c r="BP298" s="207"/>
      <c r="BQ298" s="318"/>
      <c r="BR298" s="225"/>
      <c r="BS298" s="207"/>
      <c r="BT298" s="318"/>
      <c r="BU298" s="225"/>
      <c r="BV298" s="207"/>
      <c r="BW298" s="318"/>
      <c r="BX298" s="225"/>
      <c r="BY298" s="205"/>
      <c r="BZ298" s="224"/>
      <c r="CB298" s="318"/>
      <c r="CC298" s="225"/>
      <c r="CD298" s="207"/>
      <c r="CE298" s="318"/>
      <c r="CF298" s="225"/>
      <c r="CG298" s="207"/>
      <c r="CH298" s="318"/>
      <c r="CI298" s="225"/>
      <c r="CJ298" s="207"/>
      <c r="CK298" s="318"/>
      <c r="CL298" s="225"/>
      <c r="CM298" s="205"/>
      <c r="CN298" s="224"/>
    </row>
    <row r="299" spans="2:92" ht="100.5" thickBot="1" x14ac:dyDescent="0.25">
      <c r="B299" s="1455"/>
      <c r="C299" s="1450"/>
      <c r="D299" s="1317"/>
      <c r="E299" s="1320"/>
      <c r="F299" s="307" t="s">
        <v>336</v>
      </c>
      <c r="G299" s="322" t="str">
        <f>+'Plan de Accion apoyo transversa'!X141</f>
        <v>Reuniones de autocontrol y seguimiento a  los procesos que evidencien monitoreo a los riesgos, indicadores, planes de mejoramiento, manuales y documentos asociados</v>
      </c>
      <c r="H299" s="218" t="str">
        <f>+'Plan de Accion apoyo transversa'!AK141</f>
        <v># reuniones realizadas</v>
      </c>
      <c r="J299" s="221">
        <f>+'Plan de Accion apoyo transversa'!AT141</f>
        <v>0</v>
      </c>
      <c r="K299" s="483" t="str">
        <f>+'Plan de Accion apoyo transversa'!CE141</f>
        <v>No Prog ni Ejec</v>
      </c>
      <c r="L299" s="483" t="s">
        <v>204</v>
      </c>
      <c r="M299" s="483">
        <f>+'Plan de Accion apoyo transversa'!AX141</f>
        <v>0</v>
      </c>
      <c r="N299" s="483">
        <f t="shared" si="243"/>
        <v>0</v>
      </c>
      <c r="O299" s="485" t="s">
        <v>204</v>
      </c>
      <c r="P299" s="216"/>
      <c r="Q299" s="221">
        <f>+'Plan de Accion apoyo transversa'!BD141</f>
        <v>1</v>
      </c>
      <c r="R299" s="253">
        <f>+'Plan de Accion apoyo transversa'!CG141</f>
        <v>1</v>
      </c>
      <c r="S299" s="215">
        <f>IF(R299&gt;100%,100%,R299)</f>
        <v>1</v>
      </c>
      <c r="T299" s="311">
        <f>+'Plan de Accion apoyo transversa'!BH141</f>
        <v>0.33333333333333331</v>
      </c>
      <c r="U299" s="311">
        <f t="shared" si="266"/>
        <v>0.33333333333333331</v>
      </c>
      <c r="V299" s="214">
        <f>+U299</f>
        <v>0.33333333333333331</v>
      </c>
      <c r="W299" s="216"/>
      <c r="X299" s="221">
        <f>+'Plan de Accion apoyo transversa'!BN141</f>
        <v>1</v>
      </c>
      <c r="Y299" s="253">
        <f>+'Plan de Accion apoyo transversa'!CI141</f>
        <v>1</v>
      </c>
      <c r="Z299" s="215">
        <f>IF(Y299&gt;100%,100%,Y299)</f>
        <v>1</v>
      </c>
      <c r="AA299" s="220">
        <f>+'Plan de Accion apoyo transversa'!BR141</f>
        <v>0.66666666666666663</v>
      </c>
      <c r="AB299" s="220">
        <f t="shared" si="276"/>
        <v>0.66666666666666663</v>
      </c>
      <c r="AC299" s="219">
        <f t="shared" ref="AC299:AC305" si="277">+AB299</f>
        <v>0.66666666666666663</v>
      </c>
      <c r="AD299" s="216"/>
      <c r="AE299" s="221">
        <f>+'Plan de Accion apoyo transversa'!BX141</f>
        <v>0</v>
      </c>
      <c r="AF299" s="253">
        <f>+'Plan de Accion apoyo transversa'!CK141</f>
        <v>0</v>
      </c>
      <c r="AG299" s="215">
        <f t="shared" si="275"/>
        <v>0</v>
      </c>
      <c r="AH299" s="253">
        <f>+'Plan de Accion apoyo transversa'!CB141</f>
        <v>0.66666666666666663</v>
      </c>
      <c r="AI299" s="214">
        <f t="shared" si="268"/>
        <v>0.66666666666666663</v>
      </c>
      <c r="AJ299" s="224"/>
      <c r="AL299" s="318"/>
      <c r="AM299" s="225"/>
      <c r="AN299" s="207"/>
      <c r="AO299" s="318"/>
      <c r="AP299" s="225"/>
      <c r="AQ299" s="207"/>
      <c r="AR299" s="318"/>
      <c r="AS299" s="225"/>
      <c r="AT299" s="207"/>
      <c r="AU299" s="318"/>
      <c r="AV299" s="225"/>
      <c r="AW299" s="205"/>
      <c r="AX299" s="224"/>
      <c r="AZ299" s="318"/>
      <c r="BA299" s="225"/>
      <c r="BB299" s="207"/>
      <c r="BC299" s="318"/>
      <c r="BD299" s="225"/>
      <c r="BE299" s="207"/>
      <c r="BF299" s="318"/>
      <c r="BG299" s="225"/>
      <c r="BH299" s="207"/>
      <c r="BI299" s="318"/>
      <c r="BJ299" s="225"/>
      <c r="BK299" s="205"/>
      <c r="BL299" s="224"/>
      <c r="BN299" s="318"/>
      <c r="BO299" s="225"/>
      <c r="BP299" s="207"/>
      <c r="BQ299" s="318"/>
      <c r="BR299" s="225"/>
      <c r="BS299" s="207"/>
      <c r="BT299" s="318"/>
      <c r="BU299" s="225"/>
      <c r="BV299" s="207"/>
      <c r="BW299" s="318"/>
      <c r="BX299" s="225"/>
      <c r="BY299" s="205"/>
      <c r="BZ299" s="224"/>
      <c r="CB299" s="318"/>
      <c r="CC299" s="225"/>
      <c r="CD299" s="207"/>
      <c r="CE299" s="318"/>
      <c r="CF299" s="225"/>
      <c r="CG299" s="207"/>
      <c r="CH299" s="318"/>
      <c r="CI299" s="225"/>
      <c r="CJ299" s="207"/>
      <c r="CK299" s="318"/>
      <c r="CL299" s="225"/>
      <c r="CM299" s="205"/>
      <c r="CN299" s="224"/>
    </row>
    <row r="300" spans="2:92" ht="129" customHeight="1" thickBot="1" x14ac:dyDescent="0.25">
      <c r="B300" s="1455"/>
      <c r="C300" s="1450"/>
      <c r="D300" s="1317"/>
      <c r="E300" s="1320"/>
      <c r="F300" s="1355" t="s">
        <v>1185</v>
      </c>
      <c r="G300" s="322" t="str">
        <f>+'Plan de Accion apoyo transversa'!X143</f>
        <v>Política aprobada y publicada en la página Web</v>
      </c>
      <c r="H300" s="218" t="str">
        <f>+'Plan de Accion apoyo transversa'!AK143</f>
        <v># Políticas aprobadas y publicadas en la página Web</v>
      </c>
      <c r="J300" s="221">
        <f>+'Plan de Accion apoyo transversa'!AT143</f>
        <v>0</v>
      </c>
      <c r="K300" s="483" t="str">
        <f>+'Plan de Accion apoyo transversa'!CE143</f>
        <v>No Prog ni Ejec</v>
      </c>
      <c r="L300" s="483" t="s">
        <v>204</v>
      </c>
      <c r="M300" s="483">
        <f>+'Plan de Accion apoyo transversa'!AX143</f>
        <v>0</v>
      </c>
      <c r="N300" s="483">
        <f t="shared" si="243"/>
        <v>0</v>
      </c>
      <c r="O300" s="485" t="s">
        <v>204</v>
      </c>
      <c r="P300" s="216"/>
      <c r="Q300" s="221">
        <f>+'Plan de Accion apoyo transversa'!BD143</f>
        <v>0</v>
      </c>
      <c r="R300" s="253">
        <f>+'Plan de Accion apoyo transversa'!CG143</f>
        <v>0</v>
      </c>
      <c r="S300" s="215">
        <f>IF(R300&gt;100%,100%,R300)</f>
        <v>0</v>
      </c>
      <c r="T300" s="311">
        <f>+'Plan de Accion apoyo transversa'!BH143</f>
        <v>0</v>
      </c>
      <c r="U300" s="311">
        <f t="shared" si="266"/>
        <v>0</v>
      </c>
      <c r="V300" s="214">
        <f>+U300</f>
        <v>0</v>
      </c>
      <c r="W300" s="216"/>
      <c r="X300" s="221">
        <f>+'Plan de Accion apoyo transversa'!BN143</f>
        <v>1</v>
      </c>
      <c r="Y300" s="253">
        <f>+'Plan de Accion apoyo transversa'!CI143</f>
        <v>1</v>
      </c>
      <c r="Z300" s="215">
        <f>+Y300</f>
        <v>1</v>
      </c>
      <c r="AA300" s="220">
        <f>+'Plan de Accion apoyo transversa'!BR143</f>
        <v>1</v>
      </c>
      <c r="AB300" s="220">
        <f t="shared" si="276"/>
        <v>1</v>
      </c>
      <c r="AC300" s="219">
        <f t="shared" si="277"/>
        <v>1</v>
      </c>
      <c r="AD300" s="216"/>
      <c r="AE300" s="221">
        <f>+'Plan de Accion apoyo transversa'!BX143</f>
        <v>0</v>
      </c>
      <c r="AF300" s="253" t="str">
        <f>+'Plan de Accion apoyo transversa'!CK143</f>
        <v>No Prog ni Ejec</v>
      </c>
      <c r="AG300" s="215" t="s">
        <v>204</v>
      </c>
      <c r="AH300" s="253">
        <f>+'Plan de Accion apoyo transversa'!CB143</f>
        <v>1</v>
      </c>
      <c r="AI300" s="214">
        <f t="shared" si="268"/>
        <v>1</v>
      </c>
      <c r="AJ300" s="224"/>
      <c r="AL300" s="318"/>
      <c r="AM300" s="225"/>
      <c r="AN300" s="207"/>
      <c r="AO300" s="318"/>
      <c r="AP300" s="225"/>
      <c r="AQ300" s="207"/>
      <c r="AR300" s="318"/>
      <c r="AS300" s="225"/>
      <c r="AT300" s="207"/>
      <c r="AU300" s="318"/>
      <c r="AV300" s="225"/>
      <c r="AW300" s="205"/>
      <c r="AX300" s="224"/>
      <c r="AZ300" s="318"/>
      <c r="BA300" s="225"/>
      <c r="BB300" s="207"/>
      <c r="BC300" s="318"/>
      <c r="BD300" s="225"/>
      <c r="BE300" s="207"/>
      <c r="BF300" s="318"/>
      <c r="BG300" s="225"/>
      <c r="BH300" s="207"/>
      <c r="BI300" s="318"/>
      <c r="BJ300" s="225"/>
      <c r="BK300" s="205"/>
      <c r="BL300" s="224"/>
      <c r="BN300" s="318"/>
      <c r="BO300" s="225"/>
      <c r="BP300" s="207"/>
      <c r="BQ300" s="318"/>
      <c r="BR300" s="225"/>
      <c r="BS300" s="207"/>
      <c r="BT300" s="318"/>
      <c r="BU300" s="225"/>
      <c r="BV300" s="207"/>
      <c r="BW300" s="318"/>
      <c r="BX300" s="225"/>
      <c r="BY300" s="205"/>
      <c r="BZ300" s="224"/>
      <c r="CB300" s="318"/>
      <c r="CC300" s="225"/>
      <c r="CD300" s="207"/>
      <c r="CE300" s="318"/>
      <c r="CF300" s="225"/>
      <c r="CG300" s="207"/>
      <c r="CH300" s="318"/>
      <c r="CI300" s="225"/>
      <c r="CJ300" s="207"/>
      <c r="CK300" s="318"/>
      <c r="CL300" s="225"/>
      <c r="CM300" s="205"/>
      <c r="CN300" s="224"/>
    </row>
    <row r="301" spans="2:92" ht="57.75" thickBot="1" x14ac:dyDescent="0.25">
      <c r="B301" s="1455"/>
      <c r="C301" s="1450"/>
      <c r="D301" s="1318"/>
      <c r="E301" s="1321"/>
      <c r="F301" s="1355"/>
      <c r="G301" s="322" t="str">
        <f>+'Plan de Accion apoyo transversa'!X144</f>
        <v xml:space="preserve">Procesos con Riesgos de Seguridad de la Información identificados </v>
      </c>
      <c r="H301" s="218" t="str">
        <f>+'Plan de Accion apoyo transversa'!AK144</f>
        <v># Procesos con riesgos de Seguridad de la Información identificados / # procesos vigentes</v>
      </c>
      <c r="J301" s="221">
        <f>+'Plan de Accion apoyo transversa'!AT144</f>
        <v>0</v>
      </c>
      <c r="K301" s="483" t="str">
        <f>+'Plan de Accion apoyo transversa'!CE144</f>
        <v>No Prog ni Ejec</v>
      </c>
      <c r="L301" s="483" t="s">
        <v>204</v>
      </c>
      <c r="M301" s="483">
        <f>+'Plan de Accion apoyo transversa'!AX144</f>
        <v>0</v>
      </c>
      <c r="N301" s="483">
        <f t="shared" si="243"/>
        <v>0</v>
      </c>
      <c r="O301" s="485" t="s">
        <v>204</v>
      </c>
      <c r="P301" s="216"/>
      <c r="Q301" s="217">
        <f>+'Plan de Accion apoyo transversa'!BD144</f>
        <v>0</v>
      </c>
      <c r="R301" s="253" t="str">
        <f>+'Plan de Accion apoyo transversa'!CG144</f>
        <v>No Prog ni Ejec</v>
      </c>
      <c r="S301" s="215" t="s">
        <v>204</v>
      </c>
      <c r="T301" s="311">
        <f>+'Plan de Accion apoyo transversa'!BH144</f>
        <v>0</v>
      </c>
      <c r="U301" s="311">
        <f t="shared" si="266"/>
        <v>0</v>
      </c>
      <c r="V301" s="214" t="s">
        <v>204</v>
      </c>
      <c r="W301" s="216"/>
      <c r="X301" s="217">
        <f>+'Plan de Accion apoyo transversa'!BN144</f>
        <v>0</v>
      </c>
      <c r="Y301" s="253" t="str">
        <f>+'Plan de Accion apoyo transversa'!CI144</f>
        <v>No Prog ni Ejec</v>
      </c>
      <c r="Z301" s="215" t="s">
        <v>204</v>
      </c>
      <c r="AA301" s="220">
        <f>+'Plan de Accion apoyo transversa'!BR144</f>
        <v>0</v>
      </c>
      <c r="AB301" s="220">
        <f t="shared" si="276"/>
        <v>0</v>
      </c>
      <c r="AC301" s="219" t="s">
        <v>204</v>
      </c>
      <c r="AD301" s="216"/>
      <c r="AE301" s="217">
        <f>+'Plan de Accion apoyo transversa'!BX144</f>
        <v>0</v>
      </c>
      <c r="AF301" s="253">
        <f>+'Plan de Accion apoyo transversa'!CK144</f>
        <v>0</v>
      </c>
      <c r="AG301" s="215">
        <f>IF(AF301&gt;100%,100%,AF301)</f>
        <v>0</v>
      </c>
      <c r="AH301" s="253">
        <f>+'Plan de Accion apoyo transversa'!CB144</f>
        <v>0</v>
      </c>
      <c r="AI301" s="214">
        <f t="shared" si="268"/>
        <v>0</v>
      </c>
      <c r="AJ301" s="224"/>
      <c r="AL301" s="318"/>
      <c r="AM301" s="225"/>
      <c r="AN301" s="207"/>
      <c r="AO301" s="318"/>
      <c r="AP301" s="225"/>
      <c r="AQ301" s="207"/>
      <c r="AR301" s="318"/>
      <c r="AS301" s="225"/>
      <c r="AT301" s="207"/>
      <c r="AU301" s="318"/>
      <c r="AV301" s="225"/>
      <c r="AW301" s="205"/>
      <c r="AX301" s="224"/>
      <c r="AZ301" s="318"/>
      <c r="BA301" s="225"/>
      <c r="BB301" s="207"/>
      <c r="BC301" s="318"/>
      <c r="BD301" s="225"/>
      <c r="BE301" s="207"/>
      <c r="BF301" s="318"/>
      <c r="BG301" s="225"/>
      <c r="BH301" s="207"/>
      <c r="BI301" s="318"/>
      <c r="BJ301" s="225"/>
      <c r="BK301" s="205"/>
      <c r="BL301" s="224"/>
      <c r="BN301" s="318"/>
      <c r="BO301" s="225"/>
      <c r="BP301" s="207"/>
      <c r="BQ301" s="318"/>
      <c r="BR301" s="225"/>
      <c r="BS301" s="207"/>
      <c r="BT301" s="318"/>
      <c r="BU301" s="225"/>
      <c r="BV301" s="207"/>
      <c r="BW301" s="318"/>
      <c r="BX301" s="225"/>
      <c r="BY301" s="205"/>
      <c r="BZ301" s="224"/>
      <c r="CB301" s="318"/>
      <c r="CC301" s="225"/>
      <c r="CD301" s="207"/>
      <c r="CE301" s="318"/>
      <c r="CF301" s="225"/>
      <c r="CG301" s="207"/>
      <c r="CH301" s="318"/>
      <c r="CI301" s="225"/>
      <c r="CJ301" s="207"/>
      <c r="CK301" s="318"/>
      <c r="CL301" s="225"/>
      <c r="CM301" s="205"/>
      <c r="CN301" s="224"/>
    </row>
    <row r="302" spans="2:92" ht="72" thickBot="1" x14ac:dyDescent="0.25">
      <c r="B302" s="1455"/>
      <c r="C302" s="1450"/>
      <c r="D302" s="1316" t="s">
        <v>204</v>
      </c>
      <c r="E302" s="1319" t="s">
        <v>1188</v>
      </c>
      <c r="F302" s="1316" t="s">
        <v>336</v>
      </c>
      <c r="G302" s="322" t="str">
        <f>+'Plan de Accion apoyo transversa'!X152</f>
        <v>Acto Administrativo que formaliza para ADRES la actualización de la Política de Administración de Riesgos</v>
      </c>
      <c r="H302" s="218" t="str">
        <f>+'Plan de Accion apoyo transversa'!AK152</f>
        <v># Actos administrativos de formalización de la política</v>
      </c>
      <c r="J302" s="221">
        <f>+'Plan de Accion apoyo transversa'!AT152</f>
        <v>0</v>
      </c>
      <c r="K302" s="483" t="str">
        <f>+'Plan de Accion apoyo transversa'!CE152</f>
        <v>No Prog ni Ejec</v>
      </c>
      <c r="L302" s="483" t="s">
        <v>204</v>
      </c>
      <c r="M302" s="483">
        <f>+'Plan de Accion apoyo transversa'!AX152</f>
        <v>0</v>
      </c>
      <c r="N302" s="483">
        <f t="shared" si="243"/>
        <v>0</v>
      </c>
      <c r="O302" s="485" t="s">
        <v>204</v>
      </c>
      <c r="P302" s="216"/>
      <c r="Q302" s="221">
        <f>+'Plan de Accion apoyo transversa'!BD152</f>
        <v>1</v>
      </c>
      <c r="R302" s="253">
        <f>+'Plan de Accion apoyo transversa'!CG152</f>
        <v>1</v>
      </c>
      <c r="S302" s="215">
        <f t="shared" ref="S302:S308" si="278">IF(R302&gt;100%,100%,R302)</f>
        <v>1</v>
      </c>
      <c r="T302" s="311">
        <f>+'Plan de Accion apoyo transversa'!BH152</f>
        <v>1</v>
      </c>
      <c r="U302" s="311">
        <f t="shared" si="266"/>
        <v>1</v>
      </c>
      <c r="V302" s="214">
        <f t="shared" ref="V302:V308" si="279">+U302</f>
        <v>1</v>
      </c>
      <c r="W302" s="216"/>
      <c r="X302" s="221">
        <f>+'Plan de Accion apoyo transversa'!BN152</f>
        <v>0</v>
      </c>
      <c r="Y302" s="253" t="str">
        <f>+'Plan de Accion apoyo transversa'!CI152</f>
        <v>No Prog ni Ejec</v>
      </c>
      <c r="Z302" s="215" t="s">
        <v>204</v>
      </c>
      <c r="AA302" s="220">
        <f>+'Plan de Accion apoyo transversa'!BR152</f>
        <v>1</v>
      </c>
      <c r="AB302" s="220">
        <f t="shared" si="276"/>
        <v>1</v>
      </c>
      <c r="AC302" s="219">
        <f t="shared" si="277"/>
        <v>1</v>
      </c>
      <c r="AD302" s="216"/>
      <c r="AE302" s="221">
        <f>+'Plan de Accion apoyo transversa'!BX152</f>
        <v>0</v>
      </c>
      <c r="AF302" s="253" t="str">
        <f>+'Plan de Accion apoyo transversa'!CK152</f>
        <v>No Prog ni Ejec</v>
      </c>
      <c r="AG302" s="215" t="s">
        <v>204</v>
      </c>
      <c r="AH302" s="253">
        <f>+'Plan de Accion apoyo transversa'!CB152</f>
        <v>1</v>
      </c>
      <c r="AI302" s="214">
        <f t="shared" si="268"/>
        <v>1</v>
      </c>
      <c r="AJ302" s="224"/>
      <c r="AL302" s="318"/>
      <c r="AM302" s="225"/>
      <c r="AN302" s="207"/>
      <c r="AO302" s="318"/>
      <c r="AP302" s="225"/>
      <c r="AQ302" s="207"/>
      <c r="AR302" s="318"/>
      <c r="AS302" s="225"/>
      <c r="AT302" s="207"/>
      <c r="AU302" s="318"/>
      <c r="AV302" s="225"/>
      <c r="AW302" s="205"/>
      <c r="AX302" s="224"/>
      <c r="AZ302" s="318"/>
      <c r="BA302" s="225"/>
      <c r="BB302" s="207"/>
      <c r="BC302" s="318"/>
      <c r="BD302" s="225"/>
      <c r="BE302" s="207"/>
      <c r="BF302" s="318"/>
      <c r="BG302" s="225"/>
      <c r="BH302" s="207"/>
      <c r="BI302" s="318"/>
      <c r="BJ302" s="225"/>
      <c r="BK302" s="205"/>
      <c r="BL302" s="224"/>
      <c r="BN302" s="318"/>
      <c r="BO302" s="225"/>
      <c r="BP302" s="207"/>
      <c r="BQ302" s="318"/>
      <c r="BR302" s="225"/>
      <c r="BS302" s="207"/>
      <c r="BT302" s="318"/>
      <c r="BU302" s="225"/>
      <c r="BV302" s="207"/>
      <c r="BW302" s="318"/>
      <c r="BX302" s="225"/>
      <c r="BY302" s="205"/>
      <c r="BZ302" s="224"/>
      <c r="CB302" s="318"/>
      <c r="CC302" s="225"/>
      <c r="CD302" s="207"/>
      <c r="CE302" s="318"/>
      <c r="CF302" s="225"/>
      <c r="CG302" s="207"/>
      <c r="CH302" s="318"/>
      <c r="CI302" s="225"/>
      <c r="CJ302" s="207"/>
      <c r="CK302" s="318"/>
      <c r="CL302" s="225"/>
      <c r="CM302" s="205"/>
      <c r="CN302" s="224"/>
    </row>
    <row r="303" spans="2:92" ht="43.5" thickBot="1" x14ac:dyDescent="0.25">
      <c r="B303" s="1455"/>
      <c r="C303" s="1450"/>
      <c r="D303" s="1317"/>
      <c r="E303" s="1320"/>
      <c r="F303" s="1317"/>
      <c r="G303" s="1319" t="str">
        <f>+'Plan de Accion apoyo transversa'!X155</f>
        <v>Mapa de riesgos actualizado, publicado y socializado</v>
      </c>
      <c r="H303" s="218" t="str">
        <f>+'Plan de Accion apoyo transversa'!AK155</f>
        <v xml:space="preserve"># Riesgos actualizados en el Mapa de Riesgos Institucional / Total de Riesgos </v>
      </c>
      <c r="J303" s="217">
        <f>+'Plan de Accion apoyo transversa'!AT155</f>
        <v>9.7826086956521743E-2</v>
      </c>
      <c r="K303" s="483">
        <f>+'Plan de Accion apoyo transversa'!CE155</f>
        <v>0.39130434782608697</v>
      </c>
      <c r="L303" s="483">
        <f>IF(K303&gt;100%,100%,K303)</f>
        <v>0.39130434782608697</v>
      </c>
      <c r="M303" s="483">
        <f>+'Plan de Accion apoyo transversa'!AX155</f>
        <v>9.7826086956521743E-2</v>
      </c>
      <c r="N303" s="483">
        <f t="shared" si="243"/>
        <v>9.7826086956521743E-2</v>
      </c>
      <c r="O303" s="485">
        <f>+N303</f>
        <v>9.7826086956521743E-2</v>
      </c>
      <c r="P303" s="216"/>
      <c r="Q303" s="217">
        <f>+'Plan de Accion apoyo transversa'!BD155</f>
        <v>0</v>
      </c>
      <c r="R303" s="253" t="str">
        <f>+'Plan de Accion apoyo transversa'!CG155</f>
        <v>No Prog ni Ejec</v>
      </c>
      <c r="S303" s="215" t="s">
        <v>204</v>
      </c>
      <c r="T303" s="311">
        <f>+'Plan de Accion apoyo transversa'!BH155</f>
        <v>9.7826086956521743E-2</v>
      </c>
      <c r="U303" s="311">
        <f t="shared" si="266"/>
        <v>9.7826086956521743E-2</v>
      </c>
      <c r="V303" s="214">
        <f t="shared" si="279"/>
        <v>9.7826086956521743E-2</v>
      </c>
      <c r="W303" s="216"/>
      <c r="X303" s="217">
        <f>+'Plan de Accion apoyo transversa'!BN155</f>
        <v>0</v>
      </c>
      <c r="Y303" s="253" t="str">
        <f>+'Plan de Accion apoyo transversa'!CI155</f>
        <v>No Prog ni Ejec</v>
      </c>
      <c r="Z303" s="215" t="s">
        <v>204</v>
      </c>
      <c r="AA303" s="220">
        <f>+'Plan de Accion apoyo transversa'!BR155</f>
        <v>9.7826086956521743E-2</v>
      </c>
      <c r="AB303" s="220">
        <f t="shared" si="276"/>
        <v>9.7826086956521743E-2</v>
      </c>
      <c r="AC303" s="219">
        <f t="shared" si="277"/>
        <v>9.7826086956521743E-2</v>
      </c>
      <c r="AD303" s="216"/>
      <c r="AE303" s="217">
        <f>+'Plan de Accion apoyo transversa'!BX155</f>
        <v>0</v>
      </c>
      <c r="AF303" s="253">
        <f>+'Plan de Accion apoyo transversa'!CK155</f>
        <v>0</v>
      </c>
      <c r="AG303" s="215">
        <f t="shared" ref="AG303:AG304" si="280">IF(AF303&gt;100%,100%,AF303)</f>
        <v>0</v>
      </c>
      <c r="AH303" s="253">
        <f>+'Plan de Accion apoyo transversa'!CB155</f>
        <v>9.7826086956521743E-2</v>
      </c>
      <c r="AI303" s="214">
        <f t="shared" si="268"/>
        <v>9.7826086956521743E-2</v>
      </c>
      <c r="AJ303" s="224"/>
      <c r="AL303" s="318"/>
      <c r="AM303" s="225"/>
      <c r="AN303" s="207"/>
      <c r="AO303" s="318"/>
      <c r="AP303" s="225"/>
      <c r="AQ303" s="207"/>
      <c r="AR303" s="318"/>
      <c r="AS303" s="225"/>
      <c r="AT303" s="207"/>
      <c r="AU303" s="318"/>
      <c r="AV303" s="225"/>
      <c r="AW303" s="205"/>
      <c r="AX303" s="224"/>
      <c r="AZ303" s="318"/>
      <c r="BA303" s="225"/>
      <c r="BB303" s="207"/>
      <c r="BC303" s="318"/>
      <c r="BD303" s="225"/>
      <c r="BE303" s="207"/>
      <c r="BF303" s="318"/>
      <c r="BG303" s="225"/>
      <c r="BH303" s="207"/>
      <c r="BI303" s="318"/>
      <c r="BJ303" s="225"/>
      <c r="BK303" s="205"/>
      <c r="BL303" s="224"/>
      <c r="BN303" s="318"/>
      <c r="BO303" s="225"/>
      <c r="BP303" s="207"/>
      <c r="BQ303" s="318"/>
      <c r="BR303" s="225"/>
      <c r="BS303" s="207"/>
      <c r="BT303" s="318"/>
      <c r="BU303" s="225"/>
      <c r="BV303" s="207"/>
      <c r="BW303" s="318"/>
      <c r="BX303" s="225"/>
      <c r="BY303" s="205"/>
      <c r="BZ303" s="224"/>
      <c r="CB303" s="318"/>
      <c r="CC303" s="225"/>
      <c r="CD303" s="207"/>
      <c r="CE303" s="318"/>
      <c r="CF303" s="225"/>
      <c r="CG303" s="207"/>
      <c r="CH303" s="318"/>
      <c r="CI303" s="225"/>
      <c r="CJ303" s="207"/>
      <c r="CK303" s="318"/>
      <c r="CL303" s="225"/>
      <c r="CM303" s="205"/>
      <c r="CN303" s="224"/>
    </row>
    <row r="304" spans="2:92" ht="57.75" thickBot="1" x14ac:dyDescent="0.25">
      <c r="B304" s="1455"/>
      <c r="C304" s="1450"/>
      <c r="D304" s="1317"/>
      <c r="E304" s="1320"/>
      <c r="F304" s="1317"/>
      <c r="G304" s="1320"/>
      <c r="H304" s="218" t="str">
        <f>+'Plan de Accion apoyo transversa'!AK156</f>
        <v># Mapas de riesgos publicado en página web y socializado a todo el personal de la entidad mediante correo electrónico</v>
      </c>
      <c r="J304" s="217">
        <f>+'Plan de Accion apoyo transversa'!AT156</f>
        <v>0</v>
      </c>
      <c r="K304" s="618" t="str">
        <f>+'Plan de Accion apoyo transversa'!CE156</f>
        <v>No Prog ni Ejec</v>
      </c>
      <c r="L304" s="618" t="s">
        <v>204</v>
      </c>
      <c r="M304" s="618">
        <f>+'Plan de Accion apoyo transversa'!AX156</f>
        <v>0</v>
      </c>
      <c r="N304" s="618">
        <f t="shared" ref="N304:N305" si="281">IF(M304&gt;100%,100%,M304)</f>
        <v>0</v>
      </c>
      <c r="O304" s="619" t="s">
        <v>204</v>
      </c>
      <c r="P304" s="216"/>
      <c r="Q304" s="217">
        <f>+'Plan de Accion apoyo transversa'!BD156</f>
        <v>0</v>
      </c>
      <c r="R304" s="253" t="str">
        <f>+'Plan de Accion apoyo transversa'!CG156</f>
        <v>No Prog ni Ejec</v>
      </c>
      <c r="S304" s="215" t="s">
        <v>204</v>
      </c>
      <c r="T304" s="618">
        <f>+'Plan de Accion apoyo transversa'!BH156</f>
        <v>0</v>
      </c>
      <c r="U304" s="618">
        <f t="shared" ref="U304" si="282">IF(T304&gt;100%,100%,T304)</f>
        <v>0</v>
      </c>
      <c r="V304" s="214" t="s">
        <v>204</v>
      </c>
      <c r="W304" s="216"/>
      <c r="X304" s="217">
        <f>+'Plan de Accion apoyo transversa'!BN156</f>
        <v>0</v>
      </c>
      <c r="Y304" s="253" t="str">
        <f>+'Plan de Accion apoyo transversa'!CI156</f>
        <v>No Prog ni Ejec</v>
      </c>
      <c r="Z304" s="215" t="s">
        <v>204</v>
      </c>
      <c r="AA304" s="220">
        <f>+'Plan de Accion apoyo transversa'!BR156</f>
        <v>0</v>
      </c>
      <c r="AB304" s="220">
        <f t="shared" ref="AB304" si="283">IF(AA304&gt;100%,100%,AA304)</f>
        <v>0</v>
      </c>
      <c r="AC304" s="219" t="s">
        <v>204</v>
      </c>
      <c r="AD304" s="216"/>
      <c r="AE304" s="217">
        <f>+'Plan de Accion apoyo transversa'!BX156</f>
        <v>0</v>
      </c>
      <c r="AF304" s="253">
        <f>+'Plan de Accion apoyo transversa'!CK156</f>
        <v>0</v>
      </c>
      <c r="AG304" s="215">
        <f t="shared" si="280"/>
        <v>0</v>
      </c>
      <c r="AH304" s="253">
        <f>+'Plan de Accion apoyo transversa'!CB156</f>
        <v>0</v>
      </c>
      <c r="AI304" s="214">
        <f t="shared" ref="AI304" si="284">IF(AH304&gt;100%,100%,AH304)</f>
        <v>0</v>
      </c>
      <c r="AJ304" s="224"/>
      <c r="AL304" s="620"/>
      <c r="AM304" s="225"/>
      <c r="AN304" s="207"/>
      <c r="AO304" s="620"/>
      <c r="AP304" s="225"/>
      <c r="AQ304" s="207"/>
      <c r="AR304" s="620"/>
      <c r="AS304" s="225"/>
      <c r="AT304" s="207"/>
      <c r="AU304" s="620"/>
      <c r="AV304" s="225"/>
      <c r="AW304" s="205"/>
      <c r="AX304" s="224"/>
      <c r="AZ304" s="620"/>
      <c r="BA304" s="225"/>
      <c r="BB304" s="207"/>
      <c r="BC304" s="620"/>
      <c r="BD304" s="225"/>
      <c r="BE304" s="207"/>
      <c r="BF304" s="620"/>
      <c r="BG304" s="225"/>
      <c r="BH304" s="207"/>
      <c r="BI304" s="620"/>
      <c r="BJ304" s="225"/>
      <c r="BK304" s="205"/>
      <c r="BL304" s="224"/>
      <c r="BN304" s="620"/>
      <c r="BO304" s="225"/>
      <c r="BP304" s="207"/>
      <c r="BQ304" s="620"/>
      <c r="BR304" s="225"/>
      <c r="BS304" s="207"/>
      <c r="BT304" s="620"/>
      <c r="BU304" s="225"/>
      <c r="BV304" s="207"/>
      <c r="BW304" s="620"/>
      <c r="BX304" s="225"/>
      <c r="BY304" s="205"/>
      <c r="BZ304" s="224"/>
      <c r="CB304" s="620"/>
      <c r="CC304" s="225"/>
      <c r="CD304" s="207"/>
      <c r="CE304" s="620"/>
      <c r="CF304" s="225"/>
      <c r="CG304" s="207"/>
      <c r="CH304" s="620"/>
      <c r="CI304" s="225"/>
      <c r="CJ304" s="207"/>
      <c r="CK304" s="620"/>
      <c r="CL304" s="225"/>
      <c r="CM304" s="205"/>
      <c r="CN304" s="224"/>
    </row>
    <row r="305" spans="2:92" ht="72" thickBot="1" x14ac:dyDescent="0.25">
      <c r="B305" s="1455"/>
      <c r="C305" s="1450"/>
      <c r="D305" s="1317"/>
      <c r="E305" s="1320"/>
      <c r="F305" s="1318"/>
      <c r="G305" s="1321"/>
      <c r="H305" s="218" t="str">
        <f>+'Plan de Accion apoyo transversa'!AK157</f>
        <v># Mapas de riesgos publicados en página web en el periodo / # Mapas de riesgos actualizados en el periodo</v>
      </c>
      <c r="J305" s="217">
        <f>+'Plan de Accion apoyo transversa'!AT157</f>
        <v>0</v>
      </c>
      <c r="K305" s="682">
        <f>+'Plan de Accion apoyo transversa'!CE157</f>
        <v>0</v>
      </c>
      <c r="L305" s="682">
        <f>IF(K305&gt;100%,100%,K305)</f>
        <v>0</v>
      </c>
      <c r="M305" s="682">
        <f>+'Plan de Accion apoyo transversa'!AX157</f>
        <v>0</v>
      </c>
      <c r="N305" s="682">
        <f t="shared" si="281"/>
        <v>0</v>
      </c>
      <c r="O305" s="683">
        <f>+N305</f>
        <v>0</v>
      </c>
      <c r="P305" s="216"/>
      <c r="Q305" s="217" t="s">
        <v>204</v>
      </c>
      <c r="R305" s="253" t="s">
        <v>180</v>
      </c>
      <c r="S305" s="215" t="s">
        <v>204</v>
      </c>
      <c r="T305" s="311" t="s">
        <v>204</v>
      </c>
      <c r="U305" s="311" t="s">
        <v>204</v>
      </c>
      <c r="V305" s="214" t="str">
        <f t="shared" si="279"/>
        <v>N.A</v>
      </c>
      <c r="W305" s="216"/>
      <c r="X305" s="217" t="s">
        <v>204</v>
      </c>
      <c r="Y305" s="253" t="s">
        <v>180</v>
      </c>
      <c r="Z305" s="215" t="s">
        <v>204</v>
      </c>
      <c r="AA305" s="220" t="s">
        <v>204</v>
      </c>
      <c r="AB305" s="220" t="s">
        <v>204</v>
      </c>
      <c r="AC305" s="219" t="str">
        <f t="shared" si="277"/>
        <v>N.A</v>
      </c>
      <c r="AD305" s="216"/>
      <c r="AE305" s="217" t="s">
        <v>204</v>
      </c>
      <c r="AF305" s="253" t="s">
        <v>180</v>
      </c>
      <c r="AG305" s="215" t="s">
        <v>204</v>
      </c>
      <c r="AH305" s="253" t="s">
        <v>204</v>
      </c>
      <c r="AI305" s="214" t="s">
        <v>204</v>
      </c>
      <c r="AJ305" s="224"/>
      <c r="AL305" s="318"/>
      <c r="AM305" s="225"/>
      <c r="AN305" s="207"/>
      <c r="AO305" s="318"/>
      <c r="AP305" s="225"/>
      <c r="AQ305" s="207"/>
      <c r="AR305" s="318"/>
      <c r="AS305" s="225"/>
      <c r="AT305" s="207"/>
      <c r="AU305" s="318"/>
      <c r="AV305" s="225"/>
      <c r="AW305" s="205"/>
      <c r="AX305" s="224"/>
      <c r="AZ305" s="318"/>
      <c r="BA305" s="225"/>
      <c r="BB305" s="207"/>
      <c r="BC305" s="318"/>
      <c r="BD305" s="225"/>
      <c r="BE305" s="207"/>
      <c r="BF305" s="318"/>
      <c r="BG305" s="225"/>
      <c r="BH305" s="207"/>
      <c r="BI305" s="318"/>
      <c r="BJ305" s="225"/>
      <c r="BK305" s="205"/>
      <c r="BL305" s="224"/>
      <c r="BN305" s="318"/>
      <c r="BO305" s="225"/>
      <c r="BP305" s="207"/>
      <c r="BQ305" s="318"/>
      <c r="BR305" s="225"/>
      <c r="BS305" s="207"/>
      <c r="BT305" s="318"/>
      <c r="BU305" s="225"/>
      <c r="BV305" s="207"/>
      <c r="BW305" s="318"/>
      <c r="BX305" s="225"/>
      <c r="BY305" s="205"/>
      <c r="BZ305" s="224"/>
      <c r="CB305" s="318"/>
      <c r="CC305" s="225"/>
      <c r="CD305" s="207"/>
      <c r="CE305" s="318"/>
      <c r="CF305" s="225"/>
      <c r="CG305" s="207"/>
      <c r="CH305" s="318"/>
      <c r="CI305" s="225"/>
      <c r="CJ305" s="207"/>
      <c r="CK305" s="318"/>
      <c r="CL305" s="225"/>
      <c r="CM305" s="205"/>
      <c r="CN305" s="224"/>
    </row>
    <row r="306" spans="2:92" ht="43.5" thickBot="1" x14ac:dyDescent="0.25">
      <c r="B306" s="1455"/>
      <c r="C306" s="1450"/>
      <c r="D306" s="1318"/>
      <c r="E306" s="1321"/>
      <c r="F306" s="306" t="s">
        <v>330</v>
      </c>
      <c r="G306" s="322" t="str">
        <f>+'Plan de Accion apoyo transversa'!X179</f>
        <v>Matriz de avance en la implementación del MIPG</v>
      </c>
      <c r="H306" s="218" t="str">
        <f>+'Plan de Accion apoyo transversa'!AK179</f>
        <v># Matrices de avance en la implementación del MIPG elaboradas</v>
      </c>
      <c r="J306" s="221">
        <f>+'Plan de Accion apoyo transversa'!AT179</f>
        <v>0.25</v>
      </c>
      <c r="K306" s="483">
        <f>+'Plan de Accion apoyo transversa'!CE179</f>
        <v>1</v>
      </c>
      <c r="L306" s="483">
        <f>IF(K306&gt;100%,100%,K306)</f>
        <v>1</v>
      </c>
      <c r="M306" s="483">
        <f>+'Plan de Accion apoyo transversa'!AX179</f>
        <v>0.25</v>
      </c>
      <c r="N306" s="483">
        <f t="shared" si="243"/>
        <v>0.25</v>
      </c>
      <c r="O306" s="485">
        <f>+N306</f>
        <v>0.25</v>
      </c>
      <c r="P306" s="216"/>
      <c r="Q306" s="221">
        <f>+'Plan de Accion apoyo transversa'!BD179</f>
        <v>0</v>
      </c>
      <c r="R306" s="253" t="str">
        <f>+'Plan de Accion apoyo transversa'!CG179</f>
        <v>No Prog ni Ejec</v>
      </c>
      <c r="S306" s="215" t="s">
        <v>204</v>
      </c>
      <c r="T306" s="311">
        <f>+'Plan de Accion apoyo transversa'!BH179</f>
        <v>0.25</v>
      </c>
      <c r="U306" s="311">
        <f t="shared" si="266"/>
        <v>0.25</v>
      </c>
      <c r="V306" s="214">
        <f t="shared" si="279"/>
        <v>0.25</v>
      </c>
      <c r="W306" s="216"/>
      <c r="X306" s="221">
        <f>+'Plan de Accion apoyo transversa'!BN179</f>
        <v>0.75</v>
      </c>
      <c r="Y306" s="253">
        <f>+'Plan de Accion apoyo transversa'!CI179</f>
        <v>1</v>
      </c>
      <c r="Z306" s="215">
        <f t="shared" ref="Z306:Z309" si="285">IF(Y306&gt;100%,100%,Y306)</f>
        <v>1</v>
      </c>
      <c r="AA306" s="220">
        <f>+'Plan de Accion apoyo transversa'!BR179</f>
        <v>1</v>
      </c>
      <c r="AB306" s="220">
        <f>IF(AA306&gt;100%,100%,AA306)</f>
        <v>1</v>
      </c>
      <c r="AC306" s="219">
        <f>+AB306</f>
        <v>1</v>
      </c>
      <c r="AD306" s="216"/>
      <c r="AE306" s="221">
        <f>+'Plan de Accion apoyo transversa'!BX179</f>
        <v>0</v>
      </c>
      <c r="AF306" s="253" t="str">
        <f>+'Plan de Accion apoyo transversa'!CK179</f>
        <v>No Prog ni Ejec</v>
      </c>
      <c r="AG306" s="215" t="s">
        <v>204</v>
      </c>
      <c r="AH306" s="253">
        <f>+'Plan de Accion apoyo transversa'!CB179</f>
        <v>1</v>
      </c>
      <c r="AI306" s="214">
        <f t="shared" si="268"/>
        <v>1</v>
      </c>
      <c r="AJ306" s="224"/>
      <c r="AL306" s="318"/>
      <c r="AM306" s="225"/>
      <c r="AN306" s="207"/>
      <c r="AO306" s="318"/>
      <c r="AP306" s="225"/>
      <c r="AQ306" s="207"/>
      <c r="AR306" s="318"/>
      <c r="AS306" s="225"/>
      <c r="AT306" s="207"/>
      <c r="AU306" s="318"/>
      <c r="AV306" s="225"/>
      <c r="AW306" s="205"/>
      <c r="AX306" s="224"/>
      <c r="AZ306" s="318"/>
      <c r="BA306" s="225"/>
      <c r="BB306" s="207"/>
      <c r="BC306" s="318"/>
      <c r="BD306" s="225"/>
      <c r="BE306" s="207"/>
      <c r="BF306" s="318"/>
      <c r="BG306" s="225"/>
      <c r="BH306" s="207"/>
      <c r="BI306" s="318"/>
      <c r="BJ306" s="225"/>
      <c r="BK306" s="205"/>
      <c r="BL306" s="224"/>
      <c r="BN306" s="318"/>
      <c r="BO306" s="225"/>
      <c r="BP306" s="207"/>
      <c r="BQ306" s="318"/>
      <c r="BR306" s="225"/>
      <c r="BS306" s="207"/>
      <c r="BT306" s="318"/>
      <c r="BU306" s="225"/>
      <c r="BV306" s="207"/>
      <c r="BW306" s="318"/>
      <c r="BX306" s="225"/>
      <c r="BY306" s="205"/>
      <c r="BZ306" s="224"/>
      <c r="CB306" s="318"/>
      <c r="CC306" s="225"/>
      <c r="CD306" s="207"/>
      <c r="CE306" s="318"/>
      <c r="CF306" s="225"/>
      <c r="CG306" s="207"/>
      <c r="CH306" s="318"/>
      <c r="CI306" s="225"/>
      <c r="CJ306" s="207"/>
      <c r="CK306" s="318"/>
      <c r="CL306" s="225"/>
      <c r="CM306" s="205"/>
      <c r="CN306" s="224"/>
    </row>
    <row r="307" spans="2:92" ht="100.5" thickBot="1" x14ac:dyDescent="0.25">
      <c r="B307" s="1455"/>
      <c r="C307" s="1450"/>
      <c r="D307" s="307" t="s">
        <v>204</v>
      </c>
      <c r="E307" s="322" t="s">
        <v>1190</v>
      </c>
      <c r="F307" s="1316" t="s">
        <v>336</v>
      </c>
      <c r="G307" s="322" t="str">
        <f>+'Plan de Accion apoyo transversa'!X177</f>
        <v>Reuniones de autocontrol y seguimiento a  los procesos que evidencien monitoreo a los riesgos, indicadores, planes de mejoramiento, manuales y documentos asociados</v>
      </c>
      <c r="H307" s="218" t="str">
        <f>+'Plan de Accion apoyo transversa'!AK177</f>
        <v># reuniones realizadas</v>
      </c>
      <c r="J307" s="221">
        <f>+'Plan de Accion apoyo transversa'!AT177</f>
        <v>0</v>
      </c>
      <c r="K307" s="483" t="str">
        <f>+'Plan de Accion apoyo transversa'!CE177</f>
        <v>No Prog ni Ejec</v>
      </c>
      <c r="L307" s="483" t="s">
        <v>204</v>
      </c>
      <c r="M307" s="483">
        <f>+'Plan de Accion apoyo transversa'!AX177</f>
        <v>0</v>
      </c>
      <c r="N307" s="483">
        <f t="shared" si="243"/>
        <v>0</v>
      </c>
      <c r="O307" s="485" t="s">
        <v>204</v>
      </c>
      <c r="P307" s="216"/>
      <c r="Q307" s="221">
        <f>+'Plan de Accion apoyo transversa'!BD177</f>
        <v>1</v>
      </c>
      <c r="R307" s="253">
        <f>+'Plan de Accion apoyo transversa'!CG177</f>
        <v>1</v>
      </c>
      <c r="S307" s="215">
        <f t="shared" si="278"/>
        <v>1</v>
      </c>
      <c r="T307" s="311">
        <f>+'Plan de Accion apoyo transversa'!BH177</f>
        <v>0.33333333333333331</v>
      </c>
      <c r="U307" s="311">
        <f t="shared" si="266"/>
        <v>0.33333333333333331</v>
      </c>
      <c r="V307" s="214">
        <f t="shared" si="279"/>
        <v>0.33333333333333331</v>
      </c>
      <c r="W307" s="216"/>
      <c r="X307" s="221">
        <f>+'Plan de Accion apoyo transversa'!BN177</f>
        <v>1</v>
      </c>
      <c r="Y307" s="253">
        <f>+'Plan de Accion apoyo transversa'!CI177</f>
        <v>1</v>
      </c>
      <c r="Z307" s="215">
        <f t="shared" si="285"/>
        <v>1</v>
      </c>
      <c r="AA307" s="220">
        <f>+'Plan de Accion apoyo transversa'!BR177</f>
        <v>0.66666666666666663</v>
      </c>
      <c r="AB307" s="220">
        <f t="shared" si="276"/>
        <v>0.66666666666666663</v>
      </c>
      <c r="AC307" s="219">
        <f>+AB307</f>
        <v>0.66666666666666663</v>
      </c>
      <c r="AD307" s="216"/>
      <c r="AE307" s="221">
        <f>+'Plan de Accion apoyo transversa'!BX177</f>
        <v>0</v>
      </c>
      <c r="AF307" s="253">
        <f>+'Plan de Accion apoyo transversa'!CK177</f>
        <v>0</v>
      </c>
      <c r="AG307" s="215">
        <f t="shared" ref="AG307:AG309" si="286">IF(AF307&gt;100%,100%,AF307)</f>
        <v>0</v>
      </c>
      <c r="AH307" s="253">
        <f>+'Plan de Accion apoyo transversa'!CB177</f>
        <v>0.66666666666666663</v>
      </c>
      <c r="AI307" s="214">
        <f t="shared" si="268"/>
        <v>0.66666666666666663</v>
      </c>
      <c r="AJ307" s="224"/>
      <c r="AL307" s="318"/>
      <c r="AM307" s="225"/>
      <c r="AN307" s="207"/>
      <c r="AO307" s="318"/>
      <c r="AP307" s="225"/>
      <c r="AQ307" s="207"/>
      <c r="AR307" s="318"/>
      <c r="AS307" s="225"/>
      <c r="AT307" s="207"/>
      <c r="AU307" s="318"/>
      <c r="AV307" s="225"/>
      <c r="AW307" s="205"/>
      <c r="AX307" s="224"/>
      <c r="AZ307" s="318"/>
      <c r="BA307" s="225"/>
      <c r="BB307" s="207"/>
      <c r="BC307" s="318"/>
      <c r="BD307" s="225"/>
      <c r="BE307" s="207"/>
      <c r="BF307" s="318"/>
      <c r="BG307" s="225"/>
      <c r="BH307" s="207"/>
      <c r="BI307" s="318"/>
      <c r="BJ307" s="225"/>
      <c r="BK307" s="205"/>
      <c r="BL307" s="224"/>
      <c r="BN307" s="318"/>
      <c r="BO307" s="225"/>
      <c r="BP307" s="207"/>
      <c r="BQ307" s="318"/>
      <c r="BR307" s="225"/>
      <c r="BS307" s="207"/>
      <c r="BT307" s="318"/>
      <c r="BU307" s="225"/>
      <c r="BV307" s="207"/>
      <c r="BW307" s="318"/>
      <c r="BX307" s="225"/>
      <c r="BY307" s="205"/>
      <c r="BZ307" s="224"/>
      <c r="CB307" s="318"/>
      <c r="CC307" s="225"/>
      <c r="CD307" s="207"/>
      <c r="CE307" s="318"/>
      <c r="CF307" s="225"/>
      <c r="CG307" s="207"/>
      <c r="CH307" s="318"/>
      <c r="CI307" s="225"/>
      <c r="CJ307" s="207"/>
      <c r="CK307" s="318"/>
      <c r="CL307" s="225"/>
      <c r="CM307" s="205"/>
      <c r="CN307" s="224"/>
    </row>
    <row r="308" spans="2:92" ht="100.5" thickBot="1" x14ac:dyDescent="0.25">
      <c r="B308" s="1455"/>
      <c r="C308" s="1451"/>
      <c r="D308" s="307" t="s">
        <v>204</v>
      </c>
      <c r="E308" s="322" t="s">
        <v>13</v>
      </c>
      <c r="F308" s="1318"/>
      <c r="G308" s="322" t="str">
        <f>+'Plan de Accion apoyo transversa'!X178</f>
        <v>Reuniones de autocontrol y seguimiento a  los procesos que evidencien monitoreo a los riesgos, indicadores, planes de mejoramiento, manuales y documentos asociados</v>
      </c>
      <c r="H308" s="218" t="str">
        <f>+'Plan de Accion apoyo transversa'!AK178</f>
        <v># reuniones realizadas</v>
      </c>
      <c r="J308" s="221">
        <f>+'Plan de Accion apoyo transversa'!AT178</f>
        <v>0</v>
      </c>
      <c r="K308" s="483" t="str">
        <f>+'Plan de Accion apoyo transversa'!CE178</f>
        <v>No Prog ni Ejec</v>
      </c>
      <c r="L308" s="483" t="s">
        <v>204</v>
      </c>
      <c r="M308" s="483">
        <f>+'Plan de Accion apoyo transversa'!AX178</f>
        <v>0</v>
      </c>
      <c r="N308" s="483">
        <f t="shared" ref="N308:N364" si="287">IF(M308&gt;100%,100%,M308)</f>
        <v>0</v>
      </c>
      <c r="O308" s="485" t="s">
        <v>204</v>
      </c>
      <c r="P308" s="216"/>
      <c r="Q308" s="446">
        <f>+'Plan de Accion apoyo transversa'!BD178</f>
        <v>1</v>
      </c>
      <c r="R308" s="330">
        <f>+'Plan de Accion apoyo transversa'!CG178</f>
        <v>1</v>
      </c>
      <c r="S308" s="447">
        <f t="shared" si="278"/>
        <v>1</v>
      </c>
      <c r="T308" s="331">
        <f>+'Plan de Accion apoyo transversa'!BH178</f>
        <v>0.33333333333333331</v>
      </c>
      <c r="U308" s="331">
        <f t="shared" si="266"/>
        <v>0.33333333333333331</v>
      </c>
      <c r="V308" s="449">
        <f t="shared" si="279"/>
        <v>0.33333333333333331</v>
      </c>
      <c r="W308" s="216"/>
      <c r="X308" s="446">
        <f>+'Plan de Accion apoyo transversa'!BN178</f>
        <v>1</v>
      </c>
      <c r="Y308" s="330">
        <f>+'Plan de Accion apoyo transversa'!CI178</f>
        <v>1</v>
      </c>
      <c r="Z308" s="447">
        <f t="shared" si="285"/>
        <v>1</v>
      </c>
      <c r="AA308" s="448">
        <f>+'Plan de Accion apoyo transversa'!BR178</f>
        <v>0.66666666666666663</v>
      </c>
      <c r="AB308" s="448">
        <f t="shared" si="276"/>
        <v>0.66666666666666663</v>
      </c>
      <c r="AC308" s="338">
        <f>+AB308</f>
        <v>0.66666666666666663</v>
      </c>
      <c r="AD308" s="216"/>
      <c r="AE308" s="221">
        <f>+'Plan de Accion apoyo transversa'!BX178</f>
        <v>0</v>
      </c>
      <c r="AF308" s="253">
        <f>+'Plan de Accion apoyo transversa'!CK178</f>
        <v>0</v>
      </c>
      <c r="AG308" s="215">
        <f t="shared" si="286"/>
        <v>0</v>
      </c>
      <c r="AH308" s="253">
        <f>+'Plan de Accion apoyo transversa'!CB178</f>
        <v>0.66666666666666663</v>
      </c>
      <c r="AI308" s="214">
        <f t="shared" si="268"/>
        <v>0.66666666666666663</v>
      </c>
      <c r="AJ308" s="224"/>
      <c r="AL308" s="318"/>
      <c r="AM308" s="225"/>
      <c r="AN308" s="207"/>
      <c r="AO308" s="318"/>
      <c r="AP308" s="225"/>
      <c r="AQ308" s="207"/>
      <c r="AR308" s="318"/>
      <c r="AS308" s="225"/>
      <c r="AT308" s="207"/>
      <c r="AU308" s="318"/>
      <c r="AV308" s="225"/>
      <c r="AW308" s="205"/>
      <c r="AX308" s="224"/>
      <c r="AZ308" s="318"/>
      <c r="BA308" s="225"/>
      <c r="BB308" s="207"/>
      <c r="BC308" s="318"/>
      <c r="BD308" s="225"/>
      <c r="BE308" s="207"/>
      <c r="BF308" s="318"/>
      <c r="BG308" s="225"/>
      <c r="BH308" s="207"/>
      <c r="BI308" s="318"/>
      <c r="BJ308" s="225"/>
      <c r="BK308" s="205"/>
      <c r="BL308" s="224"/>
      <c r="BN308" s="318"/>
      <c r="BO308" s="225"/>
      <c r="BP308" s="207"/>
      <c r="BQ308" s="318"/>
      <c r="BR308" s="225"/>
      <c r="BS308" s="207"/>
      <c r="BT308" s="318"/>
      <c r="BU308" s="225"/>
      <c r="BV308" s="207"/>
      <c r="BW308" s="318"/>
      <c r="BX308" s="225"/>
      <c r="BY308" s="205"/>
      <c r="BZ308" s="224"/>
      <c r="CB308" s="318"/>
      <c r="CC308" s="225"/>
      <c r="CD308" s="207"/>
      <c r="CE308" s="318"/>
      <c r="CF308" s="225"/>
      <c r="CG308" s="207"/>
      <c r="CH308" s="318"/>
      <c r="CI308" s="225"/>
      <c r="CJ308" s="207"/>
      <c r="CK308" s="318"/>
      <c r="CL308" s="225"/>
      <c r="CM308" s="205"/>
      <c r="CN308" s="224"/>
    </row>
    <row r="309" spans="2:92" ht="20.25" thickBot="1" x14ac:dyDescent="0.3">
      <c r="B309" s="1357" t="s">
        <v>217</v>
      </c>
      <c r="C309" s="1392"/>
      <c r="D309" s="1358"/>
      <c r="E309" s="1358"/>
      <c r="F309" s="1359"/>
      <c r="G309" s="1359"/>
      <c r="H309" s="1360"/>
      <c r="J309" s="200" t="s">
        <v>204</v>
      </c>
      <c r="K309" s="199">
        <f>AVERAGE(K209:K308)</f>
        <v>0.73171598401586635</v>
      </c>
      <c r="L309" s="199">
        <f>IF(K309&gt;100%,100%,K309)</f>
        <v>0.73171598401586635</v>
      </c>
      <c r="M309" s="199">
        <f>AVERAGE(M209:M308)</f>
        <v>0.16000206211032059</v>
      </c>
      <c r="N309" s="199">
        <f>IF(M309&gt;25%,25%,M309)</f>
        <v>0.16000206211032059</v>
      </c>
      <c r="O309" s="202">
        <f>AVERAGE(O209:O308)</f>
        <v>0.31319552583296795</v>
      </c>
      <c r="P309" s="201"/>
      <c r="Q309" s="200" t="s">
        <v>204</v>
      </c>
      <c r="R309" s="199">
        <f>AVERAGE(R209:R308)</f>
        <v>0.98568764366951633</v>
      </c>
      <c r="S309" s="199">
        <f>IF(R309&gt;100%,100%,R309)</f>
        <v>0.98568764366951633</v>
      </c>
      <c r="T309" s="199">
        <f>AVERAGE(T209:T308)</f>
        <v>0.32259049116603533</v>
      </c>
      <c r="U309" s="199">
        <f>IF(T309&gt;50%,50%,T309)</f>
        <v>0.32259049116603533</v>
      </c>
      <c r="V309" s="202">
        <f>AVERAGE(V209:V308)</f>
        <v>0.4621834311523399</v>
      </c>
      <c r="W309" s="201"/>
      <c r="X309" s="200" t="s">
        <v>204</v>
      </c>
      <c r="Y309" s="199">
        <f>AVERAGE(Y209:Y308)</f>
        <v>0.99076089088072361</v>
      </c>
      <c r="Z309" s="199">
        <f t="shared" si="285"/>
        <v>0.99076089088072361</v>
      </c>
      <c r="AA309" s="1025">
        <f>AVERAGE(AA209:AA308)</f>
        <v>0.60483970974861667</v>
      </c>
      <c r="AB309" s="1025">
        <f>IF(AA309&gt;75%,75%,AA309)</f>
        <v>0.60483970974861667</v>
      </c>
      <c r="AC309" s="1026">
        <f>AVERAGE(AC209:AC308)</f>
        <v>0.68718282181418777</v>
      </c>
      <c r="AD309" s="201"/>
      <c r="AE309" s="200" t="s">
        <v>204</v>
      </c>
      <c r="AF309" s="199">
        <f>AVERAGE(AF209:AF308)</f>
        <v>0</v>
      </c>
      <c r="AG309" s="199">
        <f t="shared" si="286"/>
        <v>0</v>
      </c>
      <c r="AH309" s="199" t="e">
        <f>AVERAGE(AH209:AH308)</f>
        <v>#VALUE!</v>
      </c>
      <c r="AI309" s="202" t="e">
        <f>AVERAGE(AI209:AI308)</f>
        <v>#VALUE!</v>
      </c>
      <c r="AL309" s="196"/>
      <c r="AM309" s="198"/>
      <c r="AN309" s="197"/>
      <c r="AO309" s="196"/>
      <c r="AP309" s="195"/>
      <c r="AQ309" s="197"/>
      <c r="AR309" s="196"/>
      <c r="AS309" s="195"/>
      <c r="AT309" s="197"/>
      <c r="AU309" s="196"/>
      <c r="AV309" s="195"/>
      <c r="AZ309" s="196"/>
      <c r="BA309" s="198"/>
      <c r="BB309" s="197"/>
      <c r="BC309" s="196"/>
      <c r="BD309" s="195"/>
      <c r="BE309" s="197"/>
      <c r="BF309" s="196"/>
      <c r="BG309" s="195"/>
      <c r="BH309" s="197"/>
      <c r="BI309" s="196"/>
      <c r="BJ309" s="195"/>
      <c r="BN309" s="196"/>
      <c r="BO309" s="198"/>
      <c r="BP309" s="197"/>
      <c r="BQ309" s="196"/>
      <c r="BR309" s="195"/>
      <c r="BS309" s="197"/>
      <c r="BT309" s="196"/>
      <c r="BU309" s="195"/>
      <c r="BV309" s="197"/>
      <c r="BW309" s="196"/>
      <c r="BX309" s="195"/>
      <c r="CB309" s="196"/>
      <c r="CC309" s="198"/>
      <c r="CD309" s="197"/>
      <c r="CE309" s="196"/>
      <c r="CF309" s="195"/>
      <c r="CG309" s="197"/>
      <c r="CH309" s="196"/>
      <c r="CI309" s="195"/>
      <c r="CJ309" s="197"/>
      <c r="CK309" s="196"/>
      <c r="CL309" s="195"/>
    </row>
    <row r="310" spans="2:92" ht="106.5" customHeight="1" x14ac:dyDescent="0.2">
      <c r="B310" s="1454" t="s">
        <v>1157</v>
      </c>
      <c r="C310" s="1313" t="s">
        <v>94</v>
      </c>
      <c r="D310" s="1452" t="s">
        <v>204</v>
      </c>
      <c r="E310" s="1310" t="s">
        <v>14</v>
      </c>
      <c r="F310" s="1452" t="s">
        <v>1182</v>
      </c>
      <c r="G310" s="315" t="str">
        <f>+'Plan de Accion apoyo transversa'!X56</f>
        <v>Jornada de socialización y divulgación de las Políticas de SST y Prevención de alcohol y drogas a todos los servidores públicos y partes interesadas realizada</v>
      </c>
      <c r="H310" s="227" t="str">
        <f>+'Plan de Accion apoyo transversa'!AK56</f>
        <v># de actividades realizadas</v>
      </c>
      <c r="J310" s="221">
        <f>+'Plan de Accion apoyo transversa'!AT56</f>
        <v>1</v>
      </c>
      <c r="K310" s="483">
        <f>+'Plan de Accion apoyo transversa'!CE56</f>
        <v>1</v>
      </c>
      <c r="L310" s="483">
        <f>IF(K310&gt;100%,100%,K310)</f>
        <v>1</v>
      </c>
      <c r="M310" s="483">
        <f>+'Plan de Accion apoyo transversa'!AX56</f>
        <v>1</v>
      </c>
      <c r="N310" s="483">
        <f t="shared" si="287"/>
        <v>1</v>
      </c>
      <c r="O310" s="485">
        <f>+N310</f>
        <v>1</v>
      </c>
      <c r="P310" s="216"/>
      <c r="Q310" s="221">
        <f>+'Plan de Accion apoyo transversa'!BD56</f>
        <v>0</v>
      </c>
      <c r="R310" s="311" t="str">
        <f>+'Plan de Accion apoyo transversa'!CG56</f>
        <v>No Prog ni Ejec</v>
      </c>
      <c r="S310" s="215" t="s">
        <v>204</v>
      </c>
      <c r="T310" s="311">
        <f>+'Plan de Accion apoyo transversa'!BH56</f>
        <v>1</v>
      </c>
      <c r="U310" s="311">
        <f>IF(T310&gt;100%,100%,T310)</f>
        <v>1</v>
      </c>
      <c r="V310" s="214">
        <f>+U310</f>
        <v>1</v>
      </c>
      <c r="W310" s="216"/>
      <c r="X310" s="221">
        <f>+'Plan de Accion apoyo transversa'!BN56</f>
        <v>0</v>
      </c>
      <c r="Y310" s="311" t="str">
        <f>+'Plan de Accion apoyo transversa'!CI56</f>
        <v>No Prog ni Ejec</v>
      </c>
      <c r="Z310" s="215" t="s">
        <v>204</v>
      </c>
      <c r="AA310" s="296">
        <f>+'Plan de Accion apoyo transversa'!BR56</f>
        <v>1</v>
      </c>
      <c r="AB310" s="296">
        <f>IF(AA310&gt;100%,100%,AA310)</f>
        <v>1</v>
      </c>
      <c r="AC310" s="339">
        <f>+AB310</f>
        <v>1</v>
      </c>
      <c r="AD310" s="216"/>
      <c r="AE310" s="221">
        <f>+'Plan de Accion apoyo transversa'!BX56</f>
        <v>0</v>
      </c>
      <c r="AF310" s="311" t="str">
        <f>+'Plan de Accion apoyo transversa'!CK56</f>
        <v>No Prog ni Ejec</v>
      </c>
      <c r="AG310" s="215" t="s">
        <v>204</v>
      </c>
      <c r="AH310" s="311">
        <f>+'Plan de Accion apoyo transversa'!CB56</f>
        <v>1</v>
      </c>
      <c r="AI310" s="214">
        <f>IF(AH310&gt;100%,100%,AH310)</f>
        <v>1</v>
      </c>
      <c r="AJ310" s="1432"/>
      <c r="AL310" s="1435"/>
      <c r="AM310" s="1409"/>
      <c r="AN310" s="207"/>
      <c r="AO310" s="1438"/>
      <c r="AP310" s="1409"/>
      <c r="AQ310" s="207"/>
      <c r="AR310" s="1409"/>
      <c r="AS310" s="1409"/>
      <c r="AT310" s="207"/>
      <c r="AU310" s="1409"/>
      <c r="AV310" s="1409"/>
      <c r="AW310" s="205"/>
      <c r="AX310" s="1415"/>
      <c r="AZ310" s="1435"/>
      <c r="BA310" s="1409"/>
      <c r="BB310" s="207"/>
      <c r="BC310" s="1438"/>
      <c r="BD310" s="1409"/>
      <c r="BE310" s="207"/>
      <c r="BF310" s="1409"/>
      <c r="BG310" s="1409"/>
      <c r="BH310" s="207"/>
      <c r="BI310" s="1409"/>
      <c r="BJ310" s="1409"/>
      <c r="BK310" s="205"/>
      <c r="BL310" s="1415"/>
      <c r="BN310" s="1435"/>
      <c r="BO310" s="1409"/>
      <c r="BP310" s="207"/>
      <c r="BQ310" s="1438"/>
      <c r="BR310" s="1409"/>
      <c r="BS310" s="207"/>
      <c r="BT310" s="1409"/>
      <c r="BU310" s="1409"/>
      <c r="BV310" s="207"/>
      <c r="BW310" s="1409"/>
      <c r="BX310" s="1409"/>
      <c r="BY310" s="205"/>
      <c r="BZ310" s="1415"/>
      <c r="CB310" s="1435"/>
      <c r="CC310" s="1409"/>
      <c r="CD310" s="207"/>
      <c r="CE310" s="1438"/>
      <c r="CF310" s="1409"/>
      <c r="CG310" s="207"/>
      <c r="CH310" s="1409"/>
      <c r="CI310" s="1409"/>
      <c r="CJ310" s="207"/>
      <c r="CK310" s="1409"/>
      <c r="CL310" s="1409"/>
      <c r="CM310" s="205"/>
      <c r="CN310" s="1415"/>
    </row>
    <row r="311" spans="2:92" ht="95.25" customHeight="1" x14ac:dyDescent="0.2">
      <c r="B311" s="1454"/>
      <c r="C311" s="1314"/>
      <c r="D311" s="1352"/>
      <c r="E311" s="1311"/>
      <c r="F311" s="1352"/>
      <c r="G311" s="315" t="str">
        <f>+'Plan de Accion apoyo transversa'!X63</f>
        <v>Jornada de socialización y divulgación de los roles y responsabilidades a todos los servidores públicos y partes interesadas realizada</v>
      </c>
      <c r="H311" s="227" t="str">
        <f>+'Plan de Accion apoyo transversa'!AK63</f>
        <v># de actividades realizadas</v>
      </c>
      <c r="J311" s="221">
        <f>+'Plan de Accion apoyo transversa'!AT63</f>
        <v>1</v>
      </c>
      <c r="K311" s="483">
        <f>+'Plan de Accion apoyo transversa'!CE63</f>
        <v>1</v>
      </c>
      <c r="L311" s="483">
        <f>IF(K311&gt;100%,100%,K311)</f>
        <v>1</v>
      </c>
      <c r="M311" s="483">
        <f>+'Plan de Accion apoyo transversa'!AX63</f>
        <v>1</v>
      </c>
      <c r="N311" s="483">
        <f t="shared" si="287"/>
        <v>1</v>
      </c>
      <c r="O311" s="485">
        <f>+N311</f>
        <v>1</v>
      </c>
      <c r="P311" s="216"/>
      <c r="Q311" s="221">
        <f>+'Plan de Accion apoyo transversa'!BD63</f>
        <v>0</v>
      </c>
      <c r="R311" s="311" t="str">
        <f>+'Plan de Accion apoyo transversa'!CG63</f>
        <v>No Prog ni Ejec</v>
      </c>
      <c r="S311" s="447" t="s">
        <v>204</v>
      </c>
      <c r="T311" s="311">
        <f>+'Plan de Accion apoyo transversa'!BH63</f>
        <v>1</v>
      </c>
      <c r="U311" s="311">
        <f>IF(T311&gt;100%,100%,T311)</f>
        <v>1</v>
      </c>
      <c r="V311" s="214">
        <f>+U311</f>
        <v>1</v>
      </c>
      <c r="W311" s="216"/>
      <c r="X311" s="221">
        <f>+'Plan de Accion apoyo transversa'!BN63</f>
        <v>0</v>
      </c>
      <c r="Y311" s="311" t="str">
        <f>+'Plan de Accion apoyo transversa'!CI63</f>
        <v>No Prog ni Ejec</v>
      </c>
      <c r="Z311" s="215" t="s">
        <v>204</v>
      </c>
      <c r="AA311" s="220">
        <f>+'Plan de Accion apoyo transversa'!BR63</f>
        <v>1</v>
      </c>
      <c r="AB311" s="220">
        <f>IF(AA311&gt;100%,100%,AA311)</f>
        <v>1</v>
      </c>
      <c r="AC311" s="219">
        <f>+AB311</f>
        <v>1</v>
      </c>
      <c r="AD311" s="216"/>
      <c r="AE311" s="221">
        <f>+'Plan de Accion apoyo transversa'!BX63</f>
        <v>0</v>
      </c>
      <c r="AF311" s="311" t="str">
        <f>+'Plan de Accion apoyo transversa'!CK63</f>
        <v>No Prog ni Ejec</v>
      </c>
      <c r="AG311" s="215" t="s">
        <v>204</v>
      </c>
      <c r="AH311" s="311">
        <f>+'Plan de Accion apoyo transversa'!CB63</f>
        <v>1</v>
      </c>
      <c r="AI311" s="214">
        <f>IF(AH311&gt;100%,100%,AH311)</f>
        <v>1</v>
      </c>
      <c r="AJ311" s="1433"/>
      <c r="AL311" s="1436"/>
      <c r="AM311" s="1410"/>
      <c r="AN311" s="207"/>
      <c r="AO311" s="1439"/>
      <c r="AP311" s="1410"/>
      <c r="AQ311" s="207"/>
      <c r="AR311" s="1410"/>
      <c r="AS311" s="1410"/>
      <c r="AT311" s="207"/>
      <c r="AU311" s="1410"/>
      <c r="AV311" s="1410"/>
      <c r="AW311" s="205"/>
      <c r="AX311" s="1416"/>
      <c r="AZ311" s="1436"/>
      <c r="BA311" s="1410"/>
      <c r="BB311" s="207"/>
      <c r="BC311" s="1439"/>
      <c r="BD311" s="1410"/>
      <c r="BE311" s="207"/>
      <c r="BF311" s="1410"/>
      <c r="BG311" s="1410"/>
      <c r="BH311" s="207"/>
      <c r="BI311" s="1410"/>
      <c r="BJ311" s="1410"/>
      <c r="BK311" s="205"/>
      <c r="BL311" s="1416"/>
      <c r="BN311" s="1436"/>
      <c r="BO311" s="1410"/>
      <c r="BP311" s="207"/>
      <c r="BQ311" s="1439"/>
      <c r="BR311" s="1410"/>
      <c r="BS311" s="207"/>
      <c r="BT311" s="1410"/>
      <c r="BU311" s="1410"/>
      <c r="BV311" s="207"/>
      <c r="BW311" s="1410"/>
      <c r="BX311" s="1410"/>
      <c r="BY311" s="205"/>
      <c r="BZ311" s="1416"/>
      <c r="CB311" s="1436"/>
      <c r="CC311" s="1410"/>
      <c r="CD311" s="207"/>
      <c r="CE311" s="1439"/>
      <c r="CF311" s="1410"/>
      <c r="CG311" s="207"/>
      <c r="CH311" s="1410"/>
      <c r="CI311" s="1410"/>
      <c r="CJ311" s="207"/>
      <c r="CK311" s="1410"/>
      <c r="CL311" s="1410"/>
      <c r="CM311" s="205"/>
      <c r="CN311" s="1416"/>
    </row>
    <row r="312" spans="2:92" ht="42.75" x14ac:dyDescent="0.2">
      <c r="B312" s="1454"/>
      <c r="C312" s="1314"/>
      <c r="D312" s="1352"/>
      <c r="E312" s="1311"/>
      <c r="F312" s="1352"/>
      <c r="G312" s="315" t="str">
        <f>+'Plan de Accion apoyo transversa'!X65</f>
        <v>Jornada de divulgación del Plan de Emergencias realizada</v>
      </c>
      <c r="H312" s="227" t="str">
        <f>+'Plan de Accion apoyo transversa'!AK65</f>
        <v># de actividades realizadas</v>
      </c>
      <c r="J312" s="221">
        <f>+'Plan de Accion apoyo transversa'!AT65</f>
        <v>0</v>
      </c>
      <c r="K312" s="483">
        <f>+'Plan de Accion apoyo transversa'!CE65</f>
        <v>0</v>
      </c>
      <c r="L312" s="516">
        <f>IF(K312&gt;100%,100%,K312)</f>
        <v>0</v>
      </c>
      <c r="M312" s="483">
        <f>+'Plan de Accion apoyo transversa'!AX65</f>
        <v>0</v>
      </c>
      <c r="N312" s="483">
        <f t="shared" si="287"/>
        <v>0</v>
      </c>
      <c r="O312" s="517">
        <f>+N312</f>
        <v>0</v>
      </c>
      <c r="P312" s="216"/>
      <c r="Q312" s="221">
        <f>+'Plan de Accion apoyo transversa'!BD65</f>
        <v>0</v>
      </c>
      <c r="R312" s="311" t="s">
        <v>180</v>
      </c>
      <c r="S312" s="253" t="s">
        <v>204</v>
      </c>
      <c r="T312" s="659">
        <f>+'Plan de Accion apoyo transversa'!BH65</f>
        <v>0</v>
      </c>
      <c r="U312" s="659">
        <f>IF(T312&gt;100%,100%,T312)</f>
        <v>0</v>
      </c>
      <c r="V312" s="214">
        <f>+U312</f>
        <v>0</v>
      </c>
      <c r="W312" s="216"/>
      <c r="X312" s="221">
        <f>+'Plan de Accion apoyo transversa'!BN65</f>
        <v>0</v>
      </c>
      <c r="Y312" s="311" t="str">
        <f>+'Plan de Accion apoyo transversa'!CI65</f>
        <v>No Prog ni Ejec</v>
      </c>
      <c r="Z312" s="215" t="s">
        <v>204</v>
      </c>
      <c r="AA312" s="220">
        <f>+'Plan de Accion apoyo transversa'!BR65</f>
        <v>0</v>
      </c>
      <c r="AB312" s="220">
        <f t="shared" ref="AB312" si="288">IF(AA312&gt;100%,100%,AA312)</f>
        <v>0</v>
      </c>
      <c r="AC312" s="219">
        <f t="shared" ref="AC312" si="289">+AB312</f>
        <v>0</v>
      </c>
      <c r="AD312" s="216"/>
      <c r="AE312" s="221">
        <f>+'Plan de Accion apoyo transversa'!BX65</f>
        <v>0</v>
      </c>
      <c r="AF312" s="311" t="s">
        <v>180</v>
      </c>
      <c r="AG312" s="215" t="s">
        <v>204</v>
      </c>
      <c r="AH312" s="659">
        <f>+'Plan de Accion apoyo transversa'!CB65</f>
        <v>0</v>
      </c>
      <c r="AI312" s="214">
        <f>IF(AH312&gt;100%,100%,AH312)</f>
        <v>0</v>
      </c>
      <c r="AJ312" s="1433"/>
      <c r="AL312" s="1436"/>
      <c r="AM312" s="1410"/>
      <c r="AN312" s="207"/>
      <c r="AO312" s="1439"/>
      <c r="AP312" s="1410"/>
      <c r="AQ312" s="207"/>
      <c r="AR312" s="1410"/>
      <c r="AS312" s="1410"/>
      <c r="AT312" s="207"/>
      <c r="AU312" s="1410"/>
      <c r="AV312" s="1410"/>
      <c r="AW312" s="205"/>
      <c r="AX312" s="1416"/>
      <c r="AZ312" s="1436"/>
      <c r="BA312" s="1410"/>
      <c r="BB312" s="207"/>
      <c r="BC312" s="1439"/>
      <c r="BD312" s="1410"/>
      <c r="BE312" s="207"/>
      <c r="BF312" s="1410"/>
      <c r="BG312" s="1410"/>
      <c r="BH312" s="207"/>
      <c r="BI312" s="1410"/>
      <c r="BJ312" s="1410"/>
      <c r="BK312" s="205"/>
      <c r="BL312" s="1416"/>
      <c r="BN312" s="1436"/>
      <c r="BO312" s="1410"/>
      <c r="BP312" s="207"/>
      <c r="BQ312" s="1439"/>
      <c r="BR312" s="1410"/>
      <c r="BS312" s="207"/>
      <c r="BT312" s="1410"/>
      <c r="BU312" s="1410"/>
      <c r="BV312" s="207"/>
      <c r="BW312" s="1410"/>
      <c r="BX312" s="1410"/>
      <c r="BY312" s="205"/>
      <c r="BZ312" s="1416"/>
      <c r="CB312" s="1436"/>
      <c r="CC312" s="1410"/>
      <c r="CD312" s="207"/>
      <c r="CE312" s="1439"/>
      <c r="CF312" s="1410"/>
      <c r="CG312" s="207"/>
      <c r="CH312" s="1410"/>
      <c r="CI312" s="1410"/>
      <c r="CJ312" s="207"/>
      <c r="CK312" s="1410"/>
      <c r="CL312" s="1410"/>
      <c r="CM312" s="205"/>
      <c r="CN312" s="1416"/>
    </row>
    <row r="313" spans="2:92" ht="94.5" customHeight="1" x14ac:dyDescent="0.2">
      <c r="B313" s="1454"/>
      <c r="C313" s="1314"/>
      <c r="D313" s="1352"/>
      <c r="E313" s="1311"/>
      <c r="F313" s="1353"/>
      <c r="G313" s="315" t="str">
        <f>+'Plan de Accion apoyo transversa'!X75</f>
        <v>Elementos ergonómicos adquiridos</v>
      </c>
      <c r="H313" s="227" t="str">
        <f>+'Plan de Accion apoyo transversa'!AK75</f>
        <v># Elementos ergonómicos adquiridos/ # elementos ergonómicos requeridos</v>
      </c>
      <c r="J313" s="310">
        <f>+'Plan de Accion apoyo transversa'!AT75</f>
        <v>0</v>
      </c>
      <c r="K313" s="483" t="str">
        <f>+'Plan de Accion apoyo transversa'!CE75</f>
        <v>No Prog ni Ejec</v>
      </c>
      <c r="L313" s="483" t="s">
        <v>204</v>
      </c>
      <c r="M313" s="483">
        <f>+'Plan de Accion apoyo transversa'!AX75</f>
        <v>0</v>
      </c>
      <c r="N313" s="483">
        <f t="shared" si="287"/>
        <v>0</v>
      </c>
      <c r="O313" s="485" t="s">
        <v>204</v>
      </c>
      <c r="P313" s="216"/>
      <c r="Q313" s="310">
        <f>+'Plan de Accion apoyo transversa'!BD75</f>
        <v>0</v>
      </c>
      <c r="R313" s="311" t="str">
        <f>+'Plan de Accion apoyo transversa'!CG75</f>
        <v>No Prog ni Ejec</v>
      </c>
      <c r="S313" s="253" t="s">
        <v>204</v>
      </c>
      <c r="T313" s="311">
        <f>+'Plan de Accion apoyo transversa'!BH75</f>
        <v>0</v>
      </c>
      <c r="U313" s="311">
        <f>IF(T313&gt;100%,100%,T313)</f>
        <v>0</v>
      </c>
      <c r="V313" s="214" t="s">
        <v>204</v>
      </c>
      <c r="W313" s="216"/>
      <c r="X313" s="310">
        <f>+'Plan de Accion apoyo transversa'!BN75</f>
        <v>0</v>
      </c>
      <c r="Y313" s="311" t="str">
        <f>+'Plan de Accion apoyo transversa'!CI75</f>
        <v>No Prog ni Ejec</v>
      </c>
      <c r="Z313" s="215" t="s">
        <v>204</v>
      </c>
      <c r="AA313" s="220">
        <f>+'Plan de Accion apoyo transversa'!BR75</f>
        <v>0</v>
      </c>
      <c r="AB313" s="220">
        <f>IF(AA313&gt;100%,100%,AA313)</f>
        <v>0</v>
      </c>
      <c r="AC313" s="219" t="s">
        <v>204</v>
      </c>
      <c r="AD313" s="216"/>
      <c r="AE313" s="310">
        <f>+'Plan de Accion apoyo transversa'!BX75</f>
        <v>0</v>
      </c>
      <c r="AF313" s="311">
        <f>+'Plan de Accion apoyo transversa'!CK75</f>
        <v>0</v>
      </c>
      <c r="AG313" s="215">
        <f>IF(AF313&gt;100%,100%,AF313)</f>
        <v>0</v>
      </c>
      <c r="AH313" s="311">
        <f>+'Plan de Accion apoyo transversa'!CB75</f>
        <v>0</v>
      </c>
      <c r="AI313" s="214">
        <f>IF(AH313&gt;100%,100%,AH313)</f>
        <v>0</v>
      </c>
      <c r="AJ313" s="1433"/>
      <c r="AL313" s="1436"/>
      <c r="AM313" s="1410"/>
      <c r="AN313" s="207"/>
      <c r="AO313" s="1439"/>
      <c r="AP313" s="1410"/>
      <c r="AQ313" s="207"/>
      <c r="AR313" s="1410"/>
      <c r="AS313" s="1410"/>
      <c r="AT313" s="207"/>
      <c r="AU313" s="1410"/>
      <c r="AV313" s="1410"/>
      <c r="AW313" s="205"/>
      <c r="AX313" s="1416"/>
      <c r="AZ313" s="1436"/>
      <c r="BA313" s="1410"/>
      <c r="BB313" s="207"/>
      <c r="BC313" s="1439"/>
      <c r="BD313" s="1410"/>
      <c r="BE313" s="207"/>
      <c r="BF313" s="1410"/>
      <c r="BG313" s="1410"/>
      <c r="BH313" s="207"/>
      <c r="BI313" s="1410"/>
      <c r="BJ313" s="1410"/>
      <c r="BK313" s="205"/>
      <c r="BL313" s="1416"/>
      <c r="BN313" s="1436"/>
      <c r="BO313" s="1410"/>
      <c r="BP313" s="207"/>
      <c r="BQ313" s="1439"/>
      <c r="BR313" s="1410"/>
      <c r="BS313" s="207"/>
      <c r="BT313" s="1410"/>
      <c r="BU313" s="1410"/>
      <c r="BV313" s="207"/>
      <c r="BW313" s="1410"/>
      <c r="BX313" s="1410"/>
      <c r="BY313" s="205"/>
      <c r="BZ313" s="1416"/>
      <c r="CB313" s="1436"/>
      <c r="CC313" s="1410"/>
      <c r="CD313" s="207"/>
      <c r="CE313" s="1439"/>
      <c r="CF313" s="1410"/>
      <c r="CG313" s="207"/>
      <c r="CH313" s="1410"/>
      <c r="CI313" s="1410"/>
      <c r="CJ313" s="207"/>
      <c r="CK313" s="1410"/>
      <c r="CL313" s="1410"/>
      <c r="CM313" s="205"/>
      <c r="CN313" s="1416"/>
    </row>
    <row r="314" spans="2:92" ht="28.5" x14ac:dyDescent="0.2">
      <c r="B314" s="1454"/>
      <c r="C314" s="1314"/>
      <c r="D314" s="1352"/>
      <c r="E314" s="1311"/>
      <c r="F314" s="1316" t="s">
        <v>502</v>
      </c>
      <c r="G314" s="315" t="str">
        <f>+'Plan de Accion apoyo transversa'!X76</f>
        <v>Capacitación de Sistema de Seguridad Social realizada</v>
      </c>
      <c r="H314" s="227" t="str">
        <f>+'Plan de Accion apoyo transversa'!AK76</f>
        <v xml:space="preserve"># Capacitaciones realizadas </v>
      </c>
      <c r="J314" s="221">
        <f>+'Plan de Accion apoyo transversa'!AT76</f>
        <v>0</v>
      </c>
      <c r="K314" s="483" t="str">
        <f>+'Plan de Accion apoyo transversa'!CE76</f>
        <v>No Prog ni Ejec</v>
      </c>
      <c r="L314" s="483" t="s">
        <v>204</v>
      </c>
      <c r="M314" s="483">
        <f>+'Plan de Accion apoyo transversa'!AX76</f>
        <v>0</v>
      </c>
      <c r="N314" s="483">
        <f t="shared" si="287"/>
        <v>0</v>
      </c>
      <c r="O314" s="485" t="s">
        <v>204</v>
      </c>
      <c r="P314" s="216"/>
      <c r="Q314" s="221">
        <f>+'Plan de Accion apoyo transversa'!BD76</f>
        <v>0</v>
      </c>
      <c r="R314" s="311">
        <f>+'Plan de Accion apoyo transversa'!CG76</f>
        <v>0</v>
      </c>
      <c r="S314" s="253">
        <f>IF(R314&gt;100%,100%,R314)</f>
        <v>0</v>
      </c>
      <c r="T314" s="311">
        <f>+'Plan de Accion apoyo transversa'!BH76</f>
        <v>0</v>
      </c>
      <c r="U314" s="311">
        <f t="shared" ref="U314:U331" si="290">IF(T314&gt;100%,100%,T314)</f>
        <v>0</v>
      </c>
      <c r="V314" s="214">
        <f>+U314</f>
        <v>0</v>
      </c>
      <c r="W314" s="216"/>
      <c r="X314" s="221">
        <f>+'Plan de Accion apoyo transversa'!BN76</f>
        <v>0</v>
      </c>
      <c r="Y314" s="311" t="str">
        <f>+'Plan de Accion apoyo transversa'!CI76</f>
        <v>No Prog ni Ejec</v>
      </c>
      <c r="Z314" s="215" t="s">
        <v>204</v>
      </c>
      <c r="AA314" s="220">
        <f>+'Plan de Accion apoyo transversa'!BR76</f>
        <v>0</v>
      </c>
      <c r="AB314" s="220">
        <f t="shared" ref="AB314:AB331" si="291">IF(AA314&gt;100%,100%,AA314)</f>
        <v>0</v>
      </c>
      <c r="AC314" s="219">
        <f t="shared" ref="AC314:AC331" si="292">+AB314</f>
        <v>0</v>
      </c>
      <c r="AD314" s="216"/>
      <c r="AE314" s="221">
        <f>+'Plan de Accion apoyo transversa'!BX76</f>
        <v>0</v>
      </c>
      <c r="AF314" s="311" t="str">
        <f>+'Plan de Accion apoyo transversa'!CK76</f>
        <v>No Prog ni Ejec</v>
      </c>
      <c r="AG314" s="215" t="s">
        <v>204</v>
      </c>
      <c r="AH314" s="311">
        <f>+'Plan de Accion apoyo transversa'!CB76</f>
        <v>0</v>
      </c>
      <c r="AI314" s="214">
        <f t="shared" ref="AI314:AI331" si="293">IF(AH314&gt;100%,100%,AH314)</f>
        <v>0</v>
      </c>
      <c r="AJ314" s="1433"/>
      <c r="AL314" s="1436"/>
      <c r="AM314" s="1410"/>
      <c r="AN314" s="207"/>
      <c r="AO314" s="1439"/>
      <c r="AP314" s="1410"/>
      <c r="AQ314" s="207"/>
      <c r="AR314" s="1410"/>
      <c r="AS314" s="1410"/>
      <c r="AT314" s="207"/>
      <c r="AU314" s="1410"/>
      <c r="AV314" s="1410"/>
      <c r="AW314" s="205"/>
      <c r="AX314" s="1416"/>
      <c r="AZ314" s="1436"/>
      <c r="BA314" s="1410"/>
      <c r="BB314" s="207"/>
      <c r="BC314" s="1439"/>
      <c r="BD314" s="1410"/>
      <c r="BE314" s="207"/>
      <c r="BF314" s="1410"/>
      <c r="BG314" s="1410"/>
      <c r="BH314" s="207"/>
      <c r="BI314" s="1410"/>
      <c r="BJ314" s="1410"/>
      <c r="BK314" s="205"/>
      <c r="BL314" s="1416"/>
      <c r="BN314" s="1436"/>
      <c r="BO314" s="1410"/>
      <c r="BP314" s="207"/>
      <c r="BQ314" s="1439"/>
      <c r="BR314" s="1410"/>
      <c r="BS314" s="207"/>
      <c r="BT314" s="1410"/>
      <c r="BU314" s="1410"/>
      <c r="BV314" s="207"/>
      <c r="BW314" s="1410"/>
      <c r="BX314" s="1410"/>
      <c r="BY314" s="205"/>
      <c r="BZ314" s="1416"/>
      <c r="CB314" s="1436"/>
      <c r="CC314" s="1410"/>
      <c r="CD314" s="207"/>
      <c r="CE314" s="1439"/>
      <c r="CF314" s="1410"/>
      <c r="CG314" s="207"/>
      <c r="CH314" s="1410"/>
      <c r="CI314" s="1410"/>
      <c r="CJ314" s="207"/>
      <c r="CK314" s="1410"/>
      <c r="CL314" s="1410"/>
      <c r="CM314" s="205"/>
      <c r="CN314" s="1416"/>
    </row>
    <row r="315" spans="2:92" ht="22.5" customHeight="1" x14ac:dyDescent="0.2">
      <c r="B315" s="1454"/>
      <c r="C315" s="1314"/>
      <c r="D315" s="1352"/>
      <c r="E315" s="1311"/>
      <c r="F315" s="1317"/>
      <c r="G315" s="315" t="str">
        <f>+'Plan de Accion apoyo transversa'!X77</f>
        <v>Capacitación de Administración de personal sector publico y legislación laboral realizada</v>
      </c>
      <c r="H315" s="227" t="str">
        <f>+'Plan de Accion apoyo transversa'!AK77</f>
        <v xml:space="preserve"># Capacitaciones realizadas </v>
      </c>
      <c r="J315" s="221">
        <f>+'Plan de Accion apoyo transversa'!AT77</f>
        <v>0</v>
      </c>
      <c r="K315" s="483" t="str">
        <f>+'Plan de Accion apoyo transversa'!CE77</f>
        <v>No Prog ni Ejec</v>
      </c>
      <c r="L315" s="483" t="s">
        <v>204</v>
      </c>
      <c r="M315" s="483">
        <f>+'Plan de Accion apoyo transversa'!AX77</f>
        <v>0</v>
      </c>
      <c r="N315" s="483">
        <f t="shared" si="287"/>
        <v>0</v>
      </c>
      <c r="O315" s="485" t="s">
        <v>204</v>
      </c>
      <c r="P315" s="216"/>
      <c r="Q315" s="221">
        <f>+'Plan de Accion apoyo transversa'!BD77</f>
        <v>0</v>
      </c>
      <c r="R315" s="311" t="str">
        <f>+'Plan de Accion apoyo transversa'!CG77</f>
        <v>No Prog ni Ejec</v>
      </c>
      <c r="S315" s="253" t="s">
        <v>204</v>
      </c>
      <c r="T315" s="311">
        <f>+'Plan de Accion apoyo transversa'!BH77</f>
        <v>0</v>
      </c>
      <c r="U315" s="311">
        <f t="shared" si="290"/>
        <v>0</v>
      </c>
      <c r="V315" s="214" t="s">
        <v>204</v>
      </c>
      <c r="W315" s="216"/>
      <c r="X315" s="221">
        <f>+'Plan de Accion apoyo transversa'!BN77</f>
        <v>1</v>
      </c>
      <c r="Y315" s="311">
        <f>+'Plan de Accion apoyo transversa'!CI77</f>
        <v>1</v>
      </c>
      <c r="Z315" s="215">
        <f>IF(Y315&gt;100%,100%,Y315)</f>
        <v>1</v>
      </c>
      <c r="AA315" s="220">
        <f>+'Plan de Accion apoyo transversa'!BR77</f>
        <v>1</v>
      </c>
      <c r="AB315" s="220">
        <f t="shared" si="291"/>
        <v>1</v>
      </c>
      <c r="AC315" s="219">
        <f t="shared" si="292"/>
        <v>1</v>
      </c>
      <c r="AD315" s="216"/>
      <c r="AE315" s="221">
        <f>+'Plan de Accion apoyo transversa'!BX77</f>
        <v>0</v>
      </c>
      <c r="AF315" s="311" t="str">
        <f>+'Plan de Accion apoyo transversa'!CK77</f>
        <v>No Prog ni Ejec</v>
      </c>
      <c r="AG315" s="215" t="s">
        <v>204</v>
      </c>
      <c r="AH315" s="311">
        <f>+'Plan de Accion apoyo transversa'!CB77</f>
        <v>1</v>
      </c>
      <c r="AI315" s="214">
        <f t="shared" si="293"/>
        <v>1</v>
      </c>
      <c r="AJ315" s="1433"/>
      <c r="AL315" s="1436"/>
      <c r="AM315" s="1410"/>
      <c r="AN315" s="207"/>
      <c r="AO315" s="1439"/>
      <c r="AP315" s="1410"/>
      <c r="AQ315" s="207"/>
      <c r="AR315" s="1410"/>
      <c r="AS315" s="1410"/>
      <c r="AT315" s="207"/>
      <c r="AU315" s="1410"/>
      <c r="AV315" s="1410"/>
      <c r="AW315" s="205"/>
      <c r="AX315" s="1416"/>
      <c r="AZ315" s="1436"/>
      <c r="BA315" s="1410"/>
      <c r="BB315" s="207"/>
      <c r="BC315" s="1439"/>
      <c r="BD315" s="1410"/>
      <c r="BE315" s="207"/>
      <c r="BF315" s="1410"/>
      <c r="BG315" s="1410"/>
      <c r="BH315" s="207"/>
      <c r="BI315" s="1410"/>
      <c r="BJ315" s="1410"/>
      <c r="BK315" s="205"/>
      <c r="BL315" s="1416"/>
      <c r="BN315" s="1436"/>
      <c r="BO315" s="1410"/>
      <c r="BP315" s="207"/>
      <c r="BQ315" s="1439"/>
      <c r="BR315" s="1410"/>
      <c r="BS315" s="207"/>
      <c r="BT315" s="1410"/>
      <c r="BU315" s="1410"/>
      <c r="BV315" s="207"/>
      <c r="BW315" s="1410"/>
      <c r="BX315" s="1410"/>
      <c r="BY315" s="205"/>
      <c r="BZ315" s="1416"/>
      <c r="CB315" s="1436"/>
      <c r="CC315" s="1410"/>
      <c r="CD315" s="207"/>
      <c r="CE315" s="1439"/>
      <c r="CF315" s="1410"/>
      <c r="CG315" s="207"/>
      <c r="CH315" s="1410"/>
      <c r="CI315" s="1410"/>
      <c r="CJ315" s="207"/>
      <c r="CK315" s="1410"/>
      <c r="CL315" s="1410"/>
      <c r="CM315" s="205"/>
      <c r="CN315" s="1416"/>
    </row>
    <row r="316" spans="2:92" ht="22.5" customHeight="1" x14ac:dyDescent="0.2">
      <c r="B316" s="1454"/>
      <c r="C316" s="1314"/>
      <c r="D316" s="1352"/>
      <c r="E316" s="1311"/>
      <c r="F316" s="1317"/>
      <c r="G316" s="315" t="str">
        <f>+'Plan de Accion apoyo transversa'!X80</f>
        <v>Capacitación de Big Data realizada</v>
      </c>
      <c r="H316" s="1330" t="str">
        <f>+'Plan de Accion apoyo transversa'!AK80</f>
        <v xml:space="preserve"># Capacitaciones realizadas </v>
      </c>
      <c r="J316" s="1333">
        <f>+'Plan de Accion apoyo transversa'!AT80</f>
        <v>0</v>
      </c>
      <c r="K316" s="1290" t="str">
        <f>+'Plan de Accion apoyo transversa'!CE80</f>
        <v>No Prog ni Ejec</v>
      </c>
      <c r="L316" s="1290" t="s">
        <v>204</v>
      </c>
      <c r="M316" s="1290">
        <f>+'Plan de Accion apoyo transversa'!AX80</f>
        <v>0</v>
      </c>
      <c r="N316" s="1290">
        <f t="shared" si="287"/>
        <v>0</v>
      </c>
      <c r="O316" s="1293" t="s">
        <v>204</v>
      </c>
      <c r="P316" s="216"/>
      <c r="Q316" s="1307">
        <f>+'Plan de Accion apoyo transversa'!BD80</f>
        <v>1</v>
      </c>
      <c r="R316" s="1290">
        <f>+'Plan de Accion apoyo transversa'!CG80</f>
        <v>1</v>
      </c>
      <c r="S316" s="1290">
        <f>IF(R316&gt;100%,100%,R316)</f>
        <v>1</v>
      </c>
      <c r="T316" s="1290">
        <f>+'Plan de Accion apoyo transversa'!BH80</f>
        <v>0.16666666666666666</v>
      </c>
      <c r="U316" s="1290">
        <f t="shared" si="290"/>
        <v>0.16666666666666666</v>
      </c>
      <c r="V316" s="1293">
        <f>+U316</f>
        <v>0.16666666666666666</v>
      </c>
      <c r="W316" s="216"/>
      <c r="X316" s="1307">
        <f>+'Plan de Accion apoyo transversa'!BN80</f>
        <v>3</v>
      </c>
      <c r="Y316" s="1290">
        <f>+'Plan de Accion apoyo transversa'!CI80</f>
        <v>1</v>
      </c>
      <c r="Z316" s="1290">
        <f t="shared" ref="Z316:Z321" si="294">IF(Y316&gt;100%,100%,Y316)</f>
        <v>1</v>
      </c>
      <c r="AA316" s="1296">
        <f>+'Plan de Accion apoyo transversa'!BR80</f>
        <v>0.66666666666666663</v>
      </c>
      <c r="AB316" s="1296">
        <f t="shared" si="291"/>
        <v>0.66666666666666663</v>
      </c>
      <c r="AC316" s="1299">
        <f t="shared" si="292"/>
        <v>0.66666666666666663</v>
      </c>
      <c r="AD316" s="216"/>
      <c r="AE316" s="1307">
        <f>+'Plan de Accion apoyo transversa'!BX80</f>
        <v>0</v>
      </c>
      <c r="AF316" s="1290">
        <f>+'Plan de Accion apoyo transversa'!CK80</f>
        <v>0</v>
      </c>
      <c r="AG316" s="1290">
        <f t="shared" ref="AG316:AG321" si="295">IF(AF316&gt;100%,100%,AF316)</f>
        <v>0</v>
      </c>
      <c r="AH316" s="1290">
        <f>+'Plan de Accion apoyo transversa'!CB80</f>
        <v>0.66666666666666663</v>
      </c>
      <c r="AI316" s="1293">
        <f t="shared" si="293"/>
        <v>0.66666666666666663</v>
      </c>
      <c r="AJ316" s="1433"/>
      <c r="AL316" s="1436"/>
      <c r="AM316" s="1410"/>
      <c r="AN316" s="207"/>
      <c r="AO316" s="1439"/>
      <c r="AP316" s="1410"/>
      <c r="AQ316" s="207"/>
      <c r="AR316" s="1410"/>
      <c r="AS316" s="1410"/>
      <c r="AT316" s="207"/>
      <c r="AU316" s="1410"/>
      <c r="AV316" s="1410"/>
      <c r="AW316" s="205"/>
      <c r="AX316" s="1416"/>
      <c r="AZ316" s="1436"/>
      <c r="BA316" s="1410"/>
      <c r="BB316" s="207"/>
      <c r="BC316" s="1439"/>
      <c r="BD316" s="1410"/>
      <c r="BE316" s="207"/>
      <c r="BF316" s="1410"/>
      <c r="BG316" s="1410"/>
      <c r="BH316" s="207"/>
      <c r="BI316" s="1410"/>
      <c r="BJ316" s="1410"/>
      <c r="BK316" s="205"/>
      <c r="BL316" s="1416"/>
      <c r="BN316" s="1436"/>
      <c r="BO316" s="1410"/>
      <c r="BP316" s="207"/>
      <c r="BQ316" s="1439"/>
      <c r="BR316" s="1410"/>
      <c r="BS316" s="207"/>
      <c r="BT316" s="1410"/>
      <c r="BU316" s="1410"/>
      <c r="BV316" s="207"/>
      <c r="BW316" s="1410"/>
      <c r="BX316" s="1410"/>
      <c r="BY316" s="205"/>
      <c r="BZ316" s="1416"/>
      <c r="CB316" s="1436"/>
      <c r="CC316" s="1410"/>
      <c r="CD316" s="207"/>
      <c r="CE316" s="1439"/>
      <c r="CF316" s="1410"/>
      <c r="CG316" s="207"/>
      <c r="CH316" s="1410"/>
      <c r="CI316" s="1410"/>
      <c r="CJ316" s="207"/>
      <c r="CK316" s="1410"/>
      <c r="CL316" s="1410"/>
      <c r="CM316" s="205"/>
      <c r="CN316" s="1416"/>
    </row>
    <row r="317" spans="2:92" ht="22.5" customHeight="1" x14ac:dyDescent="0.2">
      <c r="B317" s="1454"/>
      <c r="C317" s="1314"/>
      <c r="D317" s="1352"/>
      <c r="E317" s="1311"/>
      <c r="F317" s="1317"/>
      <c r="G317" s="315" t="str">
        <f>+'Plan de Accion apoyo transversa'!X81</f>
        <v>Capacitación de Finanzas, contabilidad básicas, Presupuesto Público, Gestión Presupuestal EICE realizada</v>
      </c>
      <c r="H317" s="1331"/>
      <c r="J317" s="1334"/>
      <c r="K317" s="1291"/>
      <c r="L317" s="1291"/>
      <c r="M317" s="1291"/>
      <c r="N317" s="1291"/>
      <c r="O317" s="1294"/>
      <c r="P317" s="216"/>
      <c r="Q317" s="1308"/>
      <c r="R317" s="1291"/>
      <c r="S317" s="1291"/>
      <c r="T317" s="1291"/>
      <c r="U317" s="1291"/>
      <c r="V317" s="1294"/>
      <c r="W317" s="216"/>
      <c r="X317" s="1308"/>
      <c r="Y317" s="1291"/>
      <c r="Z317" s="1291">
        <f t="shared" si="294"/>
        <v>0</v>
      </c>
      <c r="AA317" s="1297"/>
      <c r="AB317" s="1297"/>
      <c r="AC317" s="1300"/>
      <c r="AD317" s="216"/>
      <c r="AE317" s="1308"/>
      <c r="AF317" s="1291"/>
      <c r="AG317" s="1291">
        <f t="shared" si="295"/>
        <v>0</v>
      </c>
      <c r="AH317" s="1291"/>
      <c r="AI317" s="1294"/>
      <c r="AJ317" s="1433"/>
      <c r="AL317" s="1436"/>
      <c r="AM317" s="1410"/>
      <c r="AN317" s="207"/>
      <c r="AO317" s="1439"/>
      <c r="AP317" s="1410"/>
      <c r="AQ317" s="207"/>
      <c r="AR317" s="1410"/>
      <c r="AS317" s="1410"/>
      <c r="AT317" s="207"/>
      <c r="AU317" s="1410"/>
      <c r="AV317" s="1410"/>
      <c r="AW317" s="205"/>
      <c r="AX317" s="1416"/>
      <c r="AZ317" s="1436"/>
      <c r="BA317" s="1410"/>
      <c r="BB317" s="207"/>
      <c r="BC317" s="1439"/>
      <c r="BD317" s="1410"/>
      <c r="BE317" s="207"/>
      <c r="BF317" s="1410"/>
      <c r="BG317" s="1410"/>
      <c r="BH317" s="207"/>
      <c r="BI317" s="1410"/>
      <c r="BJ317" s="1410"/>
      <c r="BK317" s="205"/>
      <c r="BL317" s="1416"/>
      <c r="BN317" s="1436"/>
      <c r="BO317" s="1410"/>
      <c r="BP317" s="207"/>
      <c r="BQ317" s="1439"/>
      <c r="BR317" s="1410"/>
      <c r="BS317" s="207"/>
      <c r="BT317" s="1410"/>
      <c r="BU317" s="1410"/>
      <c r="BV317" s="207"/>
      <c r="BW317" s="1410"/>
      <c r="BX317" s="1410"/>
      <c r="BY317" s="205"/>
      <c r="BZ317" s="1416"/>
      <c r="CB317" s="1436"/>
      <c r="CC317" s="1410"/>
      <c r="CD317" s="207"/>
      <c r="CE317" s="1439"/>
      <c r="CF317" s="1410"/>
      <c r="CG317" s="207"/>
      <c r="CH317" s="1410"/>
      <c r="CI317" s="1410"/>
      <c r="CJ317" s="207"/>
      <c r="CK317" s="1410"/>
      <c r="CL317" s="1410"/>
      <c r="CM317" s="205"/>
      <c r="CN317" s="1416"/>
    </row>
    <row r="318" spans="2:92" ht="22.5" customHeight="1" x14ac:dyDescent="0.2">
      <c r="B318" s="1454"/>
      <c r="C318" s="1314"/>
      <c r="D318" s="1352"/>
      <c r="E318" s="1311"/>
      <c r="F318" s="1317"/>
      <c r="G318" s="315" t="str">
        <f>+'Plan de Accion apoyo transversa'!X82</f>
        <v>Capacitación de Estadística realizada</v>
      </c>
      <c r="H318" s="1331"/>
      <c r="J318" s="1334"/>
      <c r="K318" s="1291"/>
      <c r="L318" s="1291"/>
      <c r="M318" s="1291"/>
      <c r="N318" s="1291"/>
      <c r="O318" s="1294"/>
      <c r="P318" s="216"/>
      <c r="Q318" s="1308"/>
      <c r="R318" s="1291"/>
      <c r="S318" s="1291"/>
      <c r="T318" s="1291"/>
      <c r="U318" s="1291"/>
      <c r="V318" s="1294"/>
      <c r="W318" s="216"/>
      <c r="X318" s="1308"/>
      <c r="Y318" s="1291"/>
      <c r="Z318" s="1291">
        <f t="shared" si="294"/>
        <v>0</v>
      </c>
      <c r="AA318" s="1297"/>
      <c r="AB318" s="1297"/>
      <c r="AC318" s="1300"/>
      <c r="AD318" s="216"/>
      <c r="AE318" s="1308"/>
      <c r="AF318" s="1291"/>
      <c r="AG318" s="1291">
        <f t="shared" si="295"/>
        <v>0</v>
      </c>
      <c r="AH318" s="1291"/>
      <c r="AI318" s="1294"/>
      <c r="AJ318" s="1433"/>
      <c r="AL318" s="1436"/>
      <c r="AM318" s="1410"/>
      <c r="AN318" s="207"/>
      <c r="AO318" s="1439"/>
      <c r="AP318" s="1410"/>
      <c r="AQ318" s="207"/>
      <c r="AR318" s="1410"/>
      <c r="AS318" s="1410"/>
      <c r="AT318" s="207"/>
      <c r="AU318" s="1410"/>
      <c r="AV318" s="1410"/>
      <c r="AW318" s="205"/>
      <c r="AX318" s="1416"/>
      <c r="AZ318" s="1436"/>
      <c r="BA318" s="1410"/>
      <c r="BB318" s="207"/>
      <c r="BC318" s="1439"/>
      <c r="BD318" s="1410"/>
      <c r="BE318" s="207"/>
      <c r="BF318" s="1410"/>
      <c r="BG318" s="1410"/>
      <c r="BH318" s="207"/>
      <c r="BI318" s="1410"/>
      <c r="BJ318" s="1410"/>
      <c r="BK318" s="205"/>
      <c r="BL318" s="1416"/>
      <c r="BN318" s="1436"/>
      <c r="BO318" s="1410"/>
      <c r="BP318" s="207"/>
      <c r="BQ318" s="1439"/>
      <c r="BR318" s="1410"/>
      <c r="BS318" s="207"/>
      <c r="BT318" s="1410"/>
      <c r="BU318" s="1410"/>
      <c r="BV318" s="207"/>
      <c r="BW318" s="1410"/>
      <c r="BX318" s="1410"/>
      <c r="BY318" s="205"/>
      <c r="BZ318" s="1416"/>
      <c r="CB318" s="1436"/>
      <c r="CC318" s="1410"/>
      <c r="CD318" s="207"/>
      <c r="CE318" s="1439"/>
      <c r="CF318" s="1410"/>
      <c r="CG318" s="207"/>
      <c r="CH318" s="1410"/>
      <c r="CI318" s="1410"/>
      <c r="CJ318" s="207"/>
      <c r="CK318" s="1410"/>
      <c r="CL318" s="1410"/>
      <c r="CM318" s="205"/>
      <c r="CN318" s="1416"/>
    </row>
    <row r="319" spans="2:92" ht="22.5" customHeight="1" x14ac:dyDescent="0.2">
      <c r="B319" s="1454"/>
      <c r="C319" s="1314"/>
      <c r="D319" s="1352"/>
      <c r="E319" s="1311"/>
      <c r="F319" s="1317"/>
      <c r="G319" s="557" t="str">
        <f>+'Plan de Accion apoyo transversa'!X83</f>
        <v>Capacitación de Trabajo en equipo, comunicación asertiva realizada.</v>
      </c>
      <c r="H319" s="1331"/>
      <c r="J319" s="1334"/>
      <c r="K319" s="1291"/>
      <c r="L319" s="1291"/>
      <c r="M319" s="1291"/>
      <c r="N319" s="1291"/>
      <c r="O319" s="1294"/>
      <c r="P319" s="216"/>
      <c r="Q319" s="1308"/>
      <c r="R319" s="1291"/>
      <c r="S319" s="1291"/>
      <c r="T319" s="1291"/>
      <c r="U319" s="1291"/>
      <c r="V319" s="1294"/>
      <c r="W319" s="216"/>
      <c r="X319" s="1308"/>
      <c r="Y319" s="1291"/>
      <c r="Z319" s="1291">
        <f t="shared" si="294"/>
        <v>0</v>
      </c>
      <c r="AA319" s="1297"/>
      <c r="AB319" s="1297"/>
      <c r="AC319" s="1300"/>
      <c r="AD319" s="216"/>
      <c r="AE319" s="1308"/>
      <c r="AF319" s="1291"/>
      <c r="AG319" s="1291">
        <f t="shared" si="295"/>
        <v>0</v>
      </c>
      <c r="AH319" s="1291"/>
      <c r="AI319" s="1294"/>
      <c r="AJ319" s="1433"/>
      <c r="AL319" s="1436"/>
      <c r="AM319" s="1410"/>
      <c r="AN319" s="207"/>
      <c r="AO319" s="1439"/>
      <c r="AP319" s="1410"/>
      <c r="AQ319" s="207"/>
      <c r="AR319" s="1410"/>
      <c r="AS319" s="1410"/>
      <c r="AT319" s="207"/>
      <c r="AU319" s="1410"/>
      <c r="AV319" s="1410"/>
      <c r="AW319" s="205"/>
      <c r="AX319" s="1416"/>
      <c r="AZ319" s="1436"/>
      <c r="BA319" s="1410"/>
      <c r="BB319" s="207"/>
      <c r="BC319" s="1439"/>
      <c r="BD319" s="1410"/>
      <c r="BE319" s="207"/>
      <c r="BF319" s="1410"/>
      <c r="BG319" s="1410"/>
      <c r="BH319" s="207"/>
      <c r="BI319" s="1410"/>
      <c r="BJ319" s="1410"/>
      <c r="BK319" s="205"/>
      <c r="BL319" s="1416"/>
      <c r="BN319" s="1436"/>
      <c r="BO319" s="1410"/>
      <c r="BP319" s="207"/>
      <c r="BQ319" s="1439"/>
      <c r="BR319" s="1410"/>
      <c r="BS319" s="207"/>
      <c r="BT319" s="1410"/>
      <c r="BU319" s="1410"/>
      <c r="BV319" s="207"/>
      <c r="BW319" s="1410"/>
      <c r="BX319" s="1410"/>
      <c r="BY319" s="205"/>
      <c r="BZ319" s="1416"/>
      <c r="CB319" s="1436"/>
      <c r="CC319" s="1410"/>
      <c r="CD319" s="207"/>
      <c r="CE319" s="1439"/>
      <c r="CF319" s="1410"/>
      <c r="CG319" s="207"/>
      <c r="CH319" s="1410"/>
      <c r="CI319" s="1410"/>
      <c r="CJ319" s="207"/>
      <c r="CK319" s="1410"/>
      <c r="CL319" s="1410"/>
      <c r="CM319" s="205"/>
      <c r="CN319" s="1416"/>
    </row>
    <row r="320" spans="2:92" ht="22.5" customHeight="1" x14ac:dyDescent="0.2">
      <c r="B320" s="1454"/>
      <c r="C320" s="1314"/>
      <c r="D320" s="1352"/>
      <c r="E320" s="1311"/>
      <c r="F320" s="1317"/>
      <c r="G320" s="557" t="str">
        <f>+'Plan de Accion apoyo transversa'!X84</f>
        <v>Capacitación de Redacción realizada</v>
      </c>
      <c r="H320" s="1331"/>
      <c r="J320" s="1334"/>
      <c r="K320" s="1291"/>
      <c r="L320" s="1291"/>
      <c r="M320" s="1291"/>
      <c r="N320" s="1291"/>
      <c r="O320" s="1294"/>
      <c r="P320" s="216"/>
      <c r="Q320" s="1308"/>
      <c r="R320" s="1291"/>
      <c r="S320" s="1291"/>
      <c r="T320" s="1291"/>
      <c r="U320" s="1291"/>
      <c r="V320" s="1294"/>
      <c r="W320" s="216"/>
      <c r="X320" s="1308"/>
      <c r="Y320" s="1291"/>
      <c r="Z320" s="1291">
        <f t="shared" si="294"/>
        <v>0</v>
      </c>
      <c r="AA320" s="1297"/>
      <c r="AB320" s="1297"/>
      <c r="AC320" s="1300"/>
      <c r="AD320" s="216"/>
      <c r="AE320" s="1308"/>
      <c r="AF320" s="1291"/>
      <c r="AG320" s="1291">
        <f t="shared" si="295"/>
        <v>0</v>
      </c>
      <c r="AH320" s="1291"/>
      <c r="AI320" s="1294"/>
      <c r="AJ320" s="1433"/>
      <c r="AL320" s="1436"/>
      <c r="AM320" s="1410"/>
      <c r="AN320" s="207"/>
      <c r="AO320" s="1439"/>
      <c r="AP320" s="1410"/>
      <c r="AQ320" s="207"/>
      <c r="AR320" s="1410"/>
      <c r="AS320" s="1410"/>
      <c r="AT320" s="207"/>
      <c r="AU320" s="1410"/>
      <c r="AV320" s="1410"/>
      <c r="AW320" s="205"/>
      <c r="AX320" s="1416"/>
      <c r="AZ320" s="1436"/>
      <c r="BA320" s="1410"/>
      <c r="BB320" s="207"/>
      <c r="BC320" s="1439"/>
      <c r="BD320" s="1410"/>
      <c r="BE320" s="207"/>
      <c r="BF320" s="1410"/>
      <c r="BG320" s="1410"/>
      <c r="BH320" s="207"/>
      <c r="BI320" s="1410"/>
      <c r="BJ320" s="1410"/>
      <c r="BK320" s="205"/>
      <c r="BL320" s="1416"/>
      <c r="BN320" s="1436"/>
      <c r="BO320" s="1410"/>
      <c r="BP320" s="207"/>
      <c r="BQ320" s="1439"/>
      <c r="BR320" s="1410"/>
      <c r="BS320" s="207"/>
      <c r="BT320" s="1410"/>
      <c r="BU320" s="1410"/>
      <c r="BV320" s="207"/>
      <c r="BW320" s="1410"/>
      <c r="BX320" s="1410"/>
      <c r="BY320" s="205"/>
      <c r="BZ320" s="1416"/>
      <c r="CB320" s="1436"/>
      <c r="CC320" s="1410"/>
      <c r="CD320" s="207"/>
      <c r="CE320" s="1439"/>
      <c r="CF320" s="1410"/>
      <c r="CG320" s="207"/>
      <c r="CH320" s="1410"/>
      <c r="CI320" s="1410"/>
      <c r="CJ320" s="207"/>
      <c r="CK320" s="1410"/>
      <c r="CL320" s="1410"/>
      <c r="CM320" s="205"/>
      <c r="CN320" s="1416"/>
    </row>
    <row r="321" spans="2:92" ht="22.5" customHeight="1" x14ac:dyDescent="0.2">
      <c r="B321" s="1454"/>
      <c r="C321" s="1314"/>
      <c r="D321" s="1352"/>
      <c r="E321" s="1311"/>
      <c r="F321" s="1317"/>
      <c r="G321" s="557" t="str">
        <f>+'Plan de Accion apoyo transversa'!X85</f>
        <v>Capacitación de Código de Integridad realizada</v>
      </c>
      <c r="H321" s="1332"/>
      <c r="J321" s="1335"/>
      <c r="K321" s="1292"/>
      <c r="L321" s="1292"/>
      <c r="M321" s="1292"/>
      <c r="N321" s="1292"/>
      <c r="O321" s="1295"/>
      <c r="P321" s="216"/>
      <c r="Q321" s="1309"/>
      <c r="R321" s="1292"/>
      <c r="S321" s="1292"/>
      <c r="T321" s="1292"/>
      <c r="U321" s="1292"/>
      <c r="V321" s="1295"/>
      <c r="W321" s="216"/>
      <c r="X321" s="1309"/>
      <c r="Y321" s="1292"/>
      <c r="Z321" s="1292">
        <f t="shared" si="294"/>
        <v>0</v>
      </c>
      <c r="AA321" s="1298"/>
      <c r="AB321" s="1298"/>
      <c r="AC321" s="1301"/>
      <c r="AD321" s="216"/>
      <c r="AE321" s="1309"/>
      <c r="AF321" s="1292"/>
      <c r="AG321" s="1292">
        <f t="shared" si="295"/>
        <v>0</v>
      </c>
      <c r="AH321" s="1292"/>
      <c r="AI321" s="1295"/>
      <c r="AJ321" s="1433"/>
      <c r="AL321" s="1436"/>
      <c r="AM321" s="1410"/>
      <c r="AN321" s="207"/>
      <c r="AO321" s="1439"/>
      <c r="AP321" s="1410"/>
      <c r="AQ321" s="207"/>
      <c r="AR321" s="1410"/>
      <c r="AS321" s="1410"/>
      <c r="AT321" s="207"/>
      <c r="AU321" s="1410"/>
      <c r="AV321" s="1410"/>
      <c r="AW321" s="205"/>
      <c r="AX321" s="1416"/>
      <c r="AZ321" s="1436"/>
      <c r="BA321" s="1410"/>
      <c r="BB321" s="207"/>
      <c r="BC321" s="1439"/>
      <c r="BD321" s="1410"/>
      <c r="BE321" s="207"/>
      <c r="BF321" s="1410"/>
      <c r="BG321" s="1410"/>
      <c r="BH321" s="207"/>
      <c r="BI321" s="1410"/>
      <c r="BJ321" s="1410"/>
      <c r="BK321" s="205"/>
      <c r="BL321" s="1416"/>
      <c r="BN321" s="1436"/>
      <c r="BO321" s="1410"/>
      <c r="BP321" s="207"/>
      <c r="BQ321" s="1439"/>
      <c r="BR321" s="1410"/>
      <c r="BS321" s="207"/>
      <c r="BT321" s="1410"/>
      <c r="BU321" s="1410"/>
      <c r="BV321" s="207"/>
      <c r="BW321" s="1410"/>
      <c r="BX321" s="1410"/>
      <c r="BY321" s="205"/>
      <c r="BZ321" s="1416"/>
      <c r="CB321" s="1436"/>
      <c r="CC321" s="1410"/>
      <c r="CD321" s="207"/>
      <c r="CE321" s="1439"/>
      <c r="CF321" s="1410"/>
      <c r="CG321" s="207"/>
      <c r="CH321" s="1410"/>
      <c r="CI321" s="1410"/>
      <c r="CJ321" s="207"/>
      <c r="CK321" s="1410"/>
      <c r="CL321" s="1410"/>
      <c r="CM321" s="205"/>
      <c r="CN321" s="1416"/>
    </row>
    <row r="322" spans="2:92" ht="22.5" customHeight="1" x14ac:dyDescent="0.2">
      <c r="B322" s="1454"/>
      <c r="C322" s="1314"/>
      <c r="D322" s="1352"/>
      <c r="E322" s="1311"/>
      <c r="F322" s="1317"/>
      <c r="G322" s="315" t="str">
        <f>+'Plan de Accion apoyo transversa'!X78</f>
        <v>Capacitación de Contratación estatal realizada</v>
      </c>
      <c r="H322" s="227" t="str">
        <f>+'Plan de Accion apoyo transversa'!AK78</f>
        <v xml:space="preserve"># Capacitaciones realizadas </v>
      </c>
      <c r="J322" s="221">
        <f>+'Plan de Accion apoyo transversa'!AT78</f>
        <v>0</v>
      </c>
      <c r="K322" s="483" t="str">
        <f>+'Plan de Accion apoyo transversa'!CE78</f>
        <v>No Prog ni Ejec</v>
      </c>
      <c r="L322" s="483" t="s">
        <v>204</v>
      </c>
      <c r="M322" s="483">
        <f>+'Plan de Accion apoyo transversa'!AX78</f>
        <v>0</v>
      </c>
      <c r="N322" s="483">
        <f t="shared" si="287"/>
        <v>0</v>
      </c>
      <c r="O322" s="485" t="s">
        <v>204</v>
      </c>
      <c r="P322" s="216"/>
      <c r="Q322" s="221">
        <f>+'Plan de Accion apoyo transversa'!BD78</f>
        <v>0</v>
      </c>
      <c r="R322" s="311" t="str">
        <f>+'Plan de Accion apoyo transversa'!CG78</f>
        <v>No Prog ni Ejec</v>
      </c>
      <c r="S322" s="253" t="s">
        <v>204</v>
      </c>
      <c r="T322" s="311">
        <f>+'Plan de Accion apoyo transversa'!BH78</f>
        <v>0</v>
      </c>
      <c r="U322" s="311">
        <f t="shared" si="290"/>
        <v>0</v>
      </c>
      <c r="V322" s="214" t="s">
        <v>204</v>
      </c>
      <c r="W322" s="216"/>
      <c r="X322" s="221">
        <f>+'Plan de Accion apoyo transversa'!BN78</f>
        <v>1</v>
      </c>
      <c r="Y322" s="311">
        <f>+'Plan de Accion apoyo transversa'!CI78</f>
        <v>1</v>
      </c>
      <c r="Z322" s="215">
        <f>IF(Y322&gt;100%,100%,Y322)</f>
        <v>1</v>
      </c>
      <c r="AA322" s="220">
        <f>+'Plan de Accion apoyo transversa'!BR78</f>
        <v>1</v>
      </c>
      <c r="AB322" s="220">
        <f t="shared" si="291"/>
        <v>1</v>
      </c>
      <c r="AC322" s="219">
        <f t="shared" si="292"/>
        <v>1</v>
      </c>
      <c r="AD322" s="216"/>
      <c r="AE322" s="221">
        <f>+'Plan de Accion apoyo transversa'!BX78</f>
        <v>0</v>
      </c>
      <c r="AF322" s="311" t="str">
        <f>+'Plan de Accion apoyo transversa'!CK78</f>
        <v>No Prog ni Ejec</v>
      </c>
      <c r="AG322" s="215" t="s">
        <v>204</v>
      </c>
      <c r="AH322" s="311">
        <f>+'Plan de Accion apoyo transversa'!CB78</f>
        <v>1</v>
      </c>
      <c r="AI322" s="214">
        <f t="shared" si="293"/>
        <v>1</v>
      </c>
      <c r="AJ322" s="1433"/>
      <c r="AL322" s="1436"/>
      <c r="AM322" s="1410"/>
      <c r="AN322" s="207"/>
      <c r="AO322" s="1439"/>
      <c r="AP322" s="1410"/>
      <c r="AQ322" s="207"/>
      <c r="AR322" s="1410"/>
      <c r="AS322" s="1410"/>
      <c r="AT322" s="207"/>
      <c r="AU322" s="1410"/>
      <c r="AV322" s="1410"/>
      <c r="AW322" s="205"/>
      <c r="AX322" s="1416"/>
      <c r="AZ322" s="1436"/>
      <c r="BA322" s="1410"/>
      <c r="BB322" s="207"/>
      <c r="BC322" s="1439"/>
      <c r="BD322" s="1410"/>
      <c r="BE322" s="207"/>
      <c r="BF322" s="1410"/>
      <c r="BG322" s="1410"/>
      <c r="BH322" s="207"/>
      <c r="BI322" s="1410"/>
      <c r="BJ322" s="1410"/>
      <c r="BK322" s="205"/>
      <c r="BL322" s="1416"/>
      <c r="BN322" s="1436"/>
      <c r="BO322" s="1410"/>
      <c r="BP322" s="207"/>
      <c r="BQ322" s="1439"/>
      <c r="BR322" s="1410"/>
      <c r="BS322" s="207"/>
      <c r="BT322" s="1410"/>
      <c r="BU322" s="1410"/>
      <c r="BV322" s="207"/>
      <c r="BW322" s="1410"/>
      <c r="BX322" s="1410"/>
      <c r="BY322" s="205"/>
      <c r="BZ322" s="1416"/>
      <c r="CB322" s="1436"/>
      <c r="CC322" s="1410"/>
      <c r="CD322" s="207"/>
      <c r="CE322" s="1439"/>
      <c r="CF322" s="1410"/>
      <c r="CG322" s="207"/>
      <c r="CH322" s="1410"/>
      <c r="CI322" s="1410"/>
      <c r="CJ322" s="207"/>
      <c r="CK322" s="1410"/>
      <c r="CL322" s="1410"/>
      <c r="CM322" s="205"/>
      <c r="CN322" s="1416"/>
    </row>
    <row r="323" spans="2:92" ht="22.5" customHeight="1" x14ac:dyDescent="0.2">
      <c r="B323" s="1454"/>
      <c r="C323" s="1314"/>
      <c r="D323" s="1352"/>
      <c r="E323" s="1311"/>
      <c r="F323" s="1317"/>
      <c r="G323" s="315" t="str">
        <f>+'Plan de Accion apoyo transversa'!X79</f>
        <v>Capacitación de Salud publica realizada</v>
      </c>
      <c r="H323" s="227" t="str">
        <f>+'Plan de Accion apoyo transversa'!AK79</f>
        <v xml:space="preserve"># Capacitaciones realizadas </v>
      </c>
      <c r="J323" s="221">
        <f>+'Plan de Accion apoyo transversa'!AT79</f>
        <v>0</v>
      </c>
      <c r="K323" s="483" t="str">
        <f>+'Plan de Accion apoyo transversa'!CE79</f>
        <v>No Prog ni Ejec</v>
      </c>
      <c r="L323" s="483" t="s">
        <v>204</v>
      </c>
      <c r="M323" s="483">
        <f>+'Plan de Accion apoyo transversa'!AX79</f>
        <v>0</v>
      </c>
      <c r="N323" s="483">
        <f t="shared" si="287"/>
        <v>0</v>
      </c>
      <c r="O323" s="485" t="s">
        <v>204</v>
      </c>
      <c r="P323" s="216"/>
      <c r="Q323" s="221">
        <f>+'Plan de Accion apoyo transversa'!BD79</f>
        <v>0</v>
      </c>
      <c r="R323" s="311" t="str">
        <f>+'Plan de Accion apoyo transversa'!CG79</f>
        <v>No Prog ni Ejec</v>
      </c>
      <c r="S323" s="253" t="s">
        <v>204</v>
      </c>
      <c r="T323" s="311">
        <f>+'Plan de Accion apoyo transversa'!BH79</f>
        <v>0</v>
      </c>
      <c r="U323" s="311">
        <f t="shared" si="290"/>
        <v>0</v>
      </c>
      <c r="V323" s="214" t="s">
        <v>204</v>
      </c>
      <c r="W323" s="216"/>
      <c r="X323" s="221">
        <f>+'Plan de Accion apoyo transversa'!BN79</f>
        <v>0</v>
      </c>
      <c r="Y323" s="311" t="str">
        <f>+'Plan de Accion apoyo transversa'!CI79</f>
        <v>No Prog ni Ejec</v>
      </c>
      <c r="Z323" s="215" t="s">
        <v>204</v>
      </c>
      <c r="AA323" s="220">
        <f>+'Plan de Accion apoyo transversa'!BR79</f>
        <v>0</v>
      </c>
      <c r="AB323" s="220">
        <f t="shared" si="291"/>
        <v>0</v>
      </c>
      <c r="AC323" s="219" t="s">
        <v>204</v>
      </c>
      <c r="AD323" s="216"/>
      <c r="AE323" s="221">
        <f>+'Plan de Accion apoyo transversa'!BX79</f>
        <v>0</v>
      </c>
      <c r="AF323" s="311">
        <f>+'Plan de Accion apoyo transversa'!CK79</f>
        <v>0</v>
      </c>
      <c r="AG323" s="215">
        <f>IF(AF323&gt;100%,100%,AF323)</f>
        <v>0</v>
      </c>
      <c r="AH323" s="311">
        <f>+'Plan de Accion apoyo transversa'!CB79</f>
        <v>0</v>
      </c>
      <c r="AI323" s="214">
        <f t="shared" si="293"/>
        <v>0</v>
      </c>
      <c r="AJ323" s="1433"/>
      <c r="AL323" s="1436"/>
      <c r="AM323" s="1410"/>
      <c r="AN323" s="207"/>
      <c r="AO323" s="1439"/>
      <c r="AP323" s="1410"/>
      <c r="AQ323" s="207"/>
      <c r="AR323" s="1410"/>
      <c r="AS323" s="1410"/>
      <c r="AT323" s="207"/>
      <c r="AU323" s="1410"/>
      <c r="AV323" s="1410"/>
      <c r="AW323" s="205"/>
      <c r="AX323" s="1416"/>
      <c r="AZ323" s="1436"/>
      <c r="BA323" s="1410"/>
      <c r="BB323" s="207"/>
      <c r="BC323" s="1439"/>
      <c r="BD323" s="1410"/>
      <c r="BE323" s="207"/>
      <c r="BF323" s="1410"/>
      <c r="BG323" s="1410"/>
      <c r="BH323" s="207"/>
      <c r="BI323" s="1410"/>
      <c r="BJ323" s="1410"/>
      <c r="BK323" s="205"/>
      <c r="BL323" s="1416"/>
      <c r="BN323" s="1436"/>
      <c r="BO323" s="1410"/>
      <c r="BP323" s="207"/>
      <c r="BQ323" s="1439"/>
      <c r="BR323" s="1410"/>
      <c r="BS323" s="207"/>
      <c r="BT323" s="1410"/>
      <c r="BU323" s="1410"/>
      <c r="BV323" s="207"/>
      <c r="BW323" s="1410"/>
      <c r="BX323" s="1410"/>
      <c r="BY323" s="205"/>
      <c r="BZ323" s="1416"/>
      <c r="CB323" s="1436"/>
      <c r="CC323" s="1410"/>
      <c r="CD323" s="207"/>
      <c r="CE323" s="1439"/>
      <c r="CF323" s="1410"/>
      <c r="CG323" s="207"/>
      <c r="CH323" s="1410"/>
      <c r="CI323" s="1410"/>
      <c r="CJ323" s="207"/>
      <c r="CK323" s="1410"/>
      <c r="CL323" s="1410"/>
      <c r="CM323" s="205"/>
      <c r="CN323" s="1416"/>
    </row>
    <row r="324" spans="2:92" ht="22.5" customHeight="1" x14ac:dyDescent="0.2">
      <c r="B324" s="1454"/>
      <c r="C324" s="1314"/>
      <c r="D324" s="1352"/>
      <c r="E324" s="1311"/>
      <c r="F324" s="1317"/>
      <c r="G324" s="315" t="str">
        <f>+'Plan de Accion apoyo transversa'!X86</f>
        <v>Capacitación de Sostenibilidad ambiental realizada.</v>
      </c>
      <c r="H324" s="227" t="str">
        <f>+'Plan de Accion apoyo transversa'!AK86</f>
        <v xml:space="preserve"># Capacitaciones realizadas </v>
      </c>
      <c r="J324" s="221">
        <f>+'Plan de Accion apoyo transversa'!AT86</f>
        <v>0</v>
      </c>
      <c r="K324" s="483" t="str">
        <f>+'Plan de Accion apoyo transversa'!CE86</f>
        <v>No Prog ni Ejec</v>
      </c>
      <c r="L324" s="483" t="s">
        <v>204</v>
      </c>
      <c r="M324" s="483">
        <f>+'Plan de Accion apoyo transversa'!AX86</f>
        <v>0</v>
      </c>
      <c r="N324" s="483">
        <f t="shared" si="287"/>
        <v>0</v>
      </c>
      <c r="O324" s="485" t="s">
        <v>204</v>
      </c>
      <c r="P324" s="216"/>
      <c r="Q324" s="221">
        <f>+'Plan de Accion apoyo transversa'!BD86</f>
        <v>0</v>
      </c>
      <c r="R324" s="311" t="str">
        <f>+'Plan de Accion apoyo transversa'!CG86</f>
        <v>No Prog ni Ejec</v>
      </c>
      <c r="S324" s="253" t="s">
        <v>204</v>
      </c>
      <c r="T324" s="311">
        <f>+'Plan de Accion apoyo transversa'!BH86</f>
        <v>0</v>
      </c>
      <c r="U324" s="311">
        <f t="shared" si="290"/>
        <v>0</v>
      </c>
      <c r="V324" s="214" t="s">
        <v>204</v>
      </c>
      <c r="W324" s="216"/>
      <c r="X324" s="221">
        <f>+'Plan de Accion apoyo transversa'!BN86</f>
        <v>1</v>
      </c>
      <c r="Y324" s="311">
        <f>+'Plan de Accion apoyo transversa'!CI86</f>
        <v>1</v>
      </c>
      <c r="Z324" s="215">
        <f>IF(Y324&gt;100%,100%,Y324)</f>
        <v>1</v>
      </c>
      <c r="AA324" s="220">
        <f>+'Plan de Accion apoyo transversa'!BR86</f>
        <v>1</v>
      </c>
      <c r="AB324" s="220">
        <f t="shared" si="291"/>
        <v>1</v>
      </c>
      <c r="AC324" s="219">
        <f t="shared" si="292"/>
        <v>1</v>
      </c>
      <c r="AD324" s="216"/>
      <c r="AE324" s="221">
        <f>+'Plan de Accion apoyo transversa'!BX86</f>
        <v>0</v>
      </c>
      <c r="AF324" s="311" t="str">
        <f>+'Plan de Accion apoyo transversa'!CK86</f>
        <v>No Prog ni Ejec</v>
      </c>
      <c r="AG324" s="215" t="s">
        <v>204</v>
      </c>
      <c r="AH324" s="311">
        <f>+'Plan de Accion apoyo transversa'!CB86</f>
        <v>1</v>
      </c>
      <c r="AI324" s="214">
        <f t="shared" si="293"/>
        <v>1</v>
      </c>
      <c r="AJ324" s="1433"/>
      <c r="AL324" s="1436"/>
      <c r="AM324" s="1410"/>
      <c r="AN324" s="207"/>
      <c r="AO324" s="1439"/>
      <c r="AP324" s="1410"/>
      <c r="AQ324" s="207"/>
      <c r="AR324" s="1410"/>
      <c r="AS324" s="1410"/>
      <c r="AT324" s="207"/>
      <c r="AU324" s="1410"/>
      <c r="AV324" s="1410"/>
      <c r="AW324" s="205"/>
      <c r="AX324" s="1416"/>
      <c r="AZ324" s="1436"/>
      <c r="BA324" s="1410"/>
      <c r="BB324" s="207"/>
      <c r="BC324" s="1439"/>
      <c r="BD324" s="1410"/>
      <c r="BE324" s="207"/>
      <c r="BF324" s="1410"/>
      <c r="BG324" s="1410"/>
      <c r="BH324" s="207"/>
      <c r="BI324" s="1410"/>
      <c r="BJ324" s="1410"/>
      <c r="BK324" s="205"/>
      <c r="BL324" s="1416"/>
      <c r="BN324" s="1436"/>
      <c r="BO324" s="1410"/>
      <c r="BP324" s="207"/>
      <c r="BQ324" s="1439"/>
      <c r="BR324" s="1410"/>
      <c r="BS324" s="207"/>
      <c r="BT324" s="1410"/>
      <c r="BU324" s="1410"/>
      <c r="BV324" s="207"/>
      <c r="BW324" s="1410"/>
      <c r="BX324" s="1410"/>
      <c r="BY324" s="205"/>
      <c r="BZ324" s="1416"/>
      <c r="CB324" s="1436"/>
      <c r="CC324" s="1410"/>
      <c r="CD324" s="207"/>
      <c r="CE324" s="1439"/>
      <c r="CF324" s="1410"/>
      <c r="CG324" s="207"/>
      <c r="CH324" s="1410"/>
      <c r="CI324" s="1410"/>
      <c r="CJ324" s="207"/>
      <c r="CK324" s="1410"/>
      <c r="CL324" s="1410"/>
      <c r="CM324" s="205"/>
      <c r="CN324" s="1416"/>
    </row>
    <row r="325" spans="2:92" ht="22.5" customHeight="1" x14ac:dyDescent="0.2">
      <c r="B325" s="1454"/>
      <c r="C325" s="1314"/>
      <c r="D325" s="1352"/>
      <c r="E325" s="1311"/>
      <c r="F325" s="1317"/>
      <c r="G325" s="315" t="str">
        <f>+'Plan de Accion apoyo transversa'!X87</f>
        <v>Capacitación Buen gobierno realizada</v>
      </c>
      <c r="H325" s="227" t="str">
        <f>+'Plan de Accion apoyo transversa'!AK87</f>
        <v xml:space="preserve"># Capacitaciones realizadas </v>
      </c>
      <c r="J325" s="221">
        <f>+'Plan de Accion apoyo transversa'!AT87</f>
        <v>0</v>
      </c>
      <c r="K325" s="483" t="str">
        <f>+'Plan de Accion apoyo transversa'!CE87</f>
        <v>No Prog ni Ejec</v>
      </c>
      <c r="L325" s="483" t="s">
        <v>204</v>
      </c>
      <c r="M325" s="483">
        <f>+'Plan de Accion apoyo transversa'!AX87</f>
        <v>0</v>
      </c>
      <c r="N325" s="483">
        <f t="shared" si="287"/>
        <v>0</v>
      </c>
      <c r="O325" s="485" t="s">
        <v>204</v>
      </c>
      <c r="P325" s="216"/>
      <c r="Q325" s="221">
        <f>+'Plan de Accion apoyo transversa'!BD87</f>
        <v>0</v>
      </c>
      <c r="R325" s="311">
        <f>+'Plan de Accion apoyo transversa'!CG87</f>
        <v>0</v>
      </c>
      <c r="S325" s="253">
        <f>IF(R325&gt;100%,100%,R325)</f>
        <v>0</v>
      </c>
      <c r="T325" s="311">
        <f>+'Plan de Accion apoyo transversa'!BH87</f>
        <v>0</v>
      </c>
      <c r="U325" s="311">
        <f t="shared" si="290"/>
        <v>0</v>
      </c>
      <c r="V325" s="214">
        <f>+U325</f>
        <v>0</v>
      </c>
      <c r="W325" s="216"/>
      <c r="X325" s="221">
        <f>+'Plan de Accion apoyo transversa'!BN87</f>
        <v>0</v>
      </c>
      <c r="Y325" s="311" t="str">
        <f>+'Plan de Accion apoyo transversa'!CI87</f>
        <v>No Prog ni Ejec</v>
      </c>
      <c r="Z325" s="215" t="s">
        <v>204</v>
      </c>
      <c r="AA325" s="220">
        <f>+'Plan de Accion apoyo transversa'!BR87</f>
        <v>0</v>
      </c>
      <c r="AB325" s="220">
        <f t="shared" si="291"/>
        <v>0</v>
      </c>
      <c r="AC325" s="219">
        <f t="shared" si="292"/>
        <v>0</v>
      </c>
      <c r="AD325" s="216"/>
      <c r="AE325" s="221">
        <f>+'Plan de Accion apoyo transversa'!BX87</f>
        <v>0</v>
      </c>
      <c r="AF325" s="311" t="str">
        <f>+'Plan de Accion apoyo transversa'!CK87</f>
        <v>No Prog ni Ejec</v>
      </c>
      <c r="AG325" s="215" t="s">
        <v>204</v>
      </c>
      <c r="AH325" s="311">
        <f>+'Plan de Accion apoyo transversa'!CB87</f>
        <v>0</v>
      </c>
      <c r="AI325" s="214">
        <f t="shared" si="293"/>
        <v>0</v>
      </c>
      <c r="AJ325" s="1433"/>
      <c r="AL325" s="1436"/>
      <c r="AM325" s="1410"/>
      <c r="AN325" s="207"/>
      <c r="AO325" s="1439"/>
      <c r="AP325" s="1410"/>
      <c r="AQ325" s="207"/>
      <c r="AR325" s="1410"/>
      <c r="AS325" s="1410"/>
      <c r="AT325" s="207"/>
      <c r="AU325" s="1410"/>
      <c r="AV325" s="1410"/>
      <c r="AW325" s="205"/>
      <c r="AX325" s="1416"/>
      <c r="AZ325" s="1436"/>
      <c r="BA325" s="1410"/>
      <c r="BB325" s="207"/>
      <c r="BC325" s="1439"/>
      <c r="BD325" s="1410"/>
      <c r="BE325" s="207"/>
      <c r="BF325" s="1410"/>
      <c r="BG325" s="1410"/>
      <c r="BH325" s="207"/>
      <c r="BI325" s="1410"/>
      <c r="BJ325" s="1410"/>
      <c r="BK325" s="205"/>
      <c r="BL325" s="1416"/>
      <c r="BN325" s="1436"/>
      <c r="BO325" s="1410"/>
      <c r="BP325" s="207"/>
      <c r="BQ325" s="1439"/>
      <c r="BR325" s="1410"/>
      <c r="BS325" s="207"/>
      <c r="BT325" s="1410"/>
      <c r="BU325" s="1410"/>
      <c r="BV325" s="207"/>
      <c r="BW325" s="1410"/>
      <c r="BX325" s="1410"/>
      <c r="BY325" s="205"/>
      <c r="BZ325" s="1416"/>
      <c r="CB325" s="1436"/>
      <c r="CC325" s="1410"/>
      <c r="CD325" s="207"/>
      <c r="CE325" s="1439"/>
      <c r="CF325" s="1410"/>
      <c r="CG325" s="207"/>
      <c r="CH325" s="1410"/>
      <c r="CI325" s="1410"/>
      <c r="CJ325" s="207"/>
      <c r="CK325" s="1410"/>
      <c r="CL325" s="1410"/>
      <c r="CM325" s="205"/>
      <c r="CN325" s="1416"/>
    </row>
    <row r="326" spans="2:92" ht="22.5" customHeight="1" x14ac:dyDescent="0.2">
      <c r="B326" s="1454"/>
      <c r="C326" s="1314"/>
      <c r="D326" s="1352"/>
      <c r="E326" s="1311"/>
      <c r="F326" s="1317"/>
      <c r="G326" s="315" t="str">
        <f>+'Plan de Accion apoyo transversa'!X88</f>
        <v>Capacitación de Gestión documental realizada.</v>
      </c>
      <c r="H326" s="227" t="str">
        <f>+'Plan de Accion apoyo transversa'!AK88</f>
        <v xml:space="preserve"># Capacitaciones realizadas </v>
      </c>
      <c r="J326" s="221">
        <f>+'Plan de Accion apoyo transversa'!AT88</f>
        <v>0</v>
      </c>
      <c r="K326" s="483" t="str">
        <f>+'Plan de Accion apoyo transversa'!CE88</f>
        <v>No Prog ni Ejec</v>
      </c>
      <c r="L326" s="483" t="s">
        <v>204</v>
      </c>
      <c r="M326" s="483">
        <f>+'Plan de Accion apoyo transversa'!AX88</f>
        <v>0</v>
      </c>
      <c r="N326" s="483">
        <f t="shared" si="287"/>
        <v>0</v>
      </c>
      <c r="O326" s="485" t="s">
        <v>204</v>
      </c>
      <c r="P326" s="216"/>
      <c r="Q326" s="221">
        <f>+'Plan de Accion apoyo transversa'!BD88</f>
        <v>0</v>
      </c>
      <c r="R326" s="311" t="str">
        <f>+'Plan de Accion apoyo transversa'!CG88</f>
        <v>No Prog ni Ejec</v>
      </c>
      <c r="S326" s="253" t="s">
        <v>204</v>
      </c>
      <c r="T326" s="311">
        <f>+'Plan de Accion apoyo transversa'!BH88</f>
        <v>0</v>
      </c>
      <c r="U326" s="311">
        <f t="shared" si="290"/>
        <v>0</v>
      </c>
      <c r="V326" s="214" t="s">
        <v>204</v>
      </c>
      <c r="W326" s="216"/>
      <c r="X326" s="221">
        <f>+'Plan de Accion apoyo transversa'!BN88</f>
        <v>0</v>
      </c>
      <c r="Y326" s="311">
        <f>+'Plan de Accion apoyo transversa'!CI88</f>
        <v>0</v>
      </c>
      <c r="Z326" s="215">
        <f>IF(Y326&gt;100%,100%,Y326)</f>
        <v>0</v>
      </c>
      <c r="AA326" s="220">
        <f>+'Plan de Accion apoyo transversa'!BR88</f>
        <v>0</v>
      </c>
      <c r="AB326" s="220">
        <f t="shared" si="291"/>
        <v>0</v>
      </c>
      <c r="AC326" s="219">
        <f t="shared" si="292"/>
        <v>0</v>
      </c>
      <c r="AD326" s="216"/>
      <c r="AE326" s="221">
        <f>+'Plan de Accion apoyo transversa'!BX88</f>
        <v>0</v>
      </c>
      <c r="AF326" s="311" t="str">
        <f>+'Plan de Accion apoyo transversa'!CK88</f>
        <v>No Prog ni Ejec</v>
      </c>
      <c r="AG326" s="215" t="s">
        <v>204</v>
      </c>
      <c r="AH326" s="311">
        <f>+'Plan de Accion apoyo transversa'!CB88</f>
        <v>0</v>
      </c>
      <c r="AI326" s="214">
        <f t="shared" si="293"/>
        <v>0</v>
      </c>
      <c r="AJ326" s="1433"/>
      <c r="AL326" s="1436"/>
      <c r="AM326" s="1410"/>
      <c r="AN326" s="207"/>
      <c r="AO326" s="1439"/>
      <c r="AP326" s="1410"/>
      <c r="AQ326" s="207"/>
      <c r="AR326" s="1410"/>
      <c r="AS326" s="1410"/>
      <c r="AT326" s="207"/>
      <c r="AU326" s="1410"/>
      <c r="AV326" s="1410"/>
      <c r="AW326" s="205"/>
      <c r="AX326" s="1416"/>
      <c r="AZ326" s="1436"/>
      <c r="BA326" s="1410"/>
      <c r="BB326" s="207"/>
      <c r="BC326" s="1439"/>
      <c r="BD326" s="1410"/>
      <c r="BE326" s="207"/>
      <c r="BF326" s="1410"/>
      <c r="BG326" s="1410"/>
      <c r="BH326" s="207"/>
      <c r="BI326" s="1410"/>
      <c r="BJ326" s="1410"/>
      <c r="BK326" s="205"/>
      <c r="BL326" s="1416"/>
      <c r="BN326" s="1436"/>
      <c r="BO326" s="1410"/>
      <c r="BP326" s="207"/>
      <c r="BQ326" s="1439"/>
      <c r="BR326" s="1410"/>
      <c r="BS326" s="207"/>
      <c r="BT326" s="1410"/>
      <c r="BU326" s="1410"/>
      <c r="BV326" s="207"/>
      <c r="BW326" s="1410"/>
      <c r="BX326" s="1410"/>
      <c r="BY326" s="205"/>
      <c r="BZ326" s="1416"/>
      <c r="CB326" s="1436"/>
      <c r="CC326" s="1410"/>
      <c r="CD326" s="207"/>
      <c r="CE326" s="1439"/>
      <c r="CF326" s="1410"/>
      <c r="CG326" s="207"/>
      <c r="CH326" s="1410"/>
      <c r="CI326" s="1410"/>
      <c r="CJ326" s="207"/>
      <c r="CK326" s="1410"/>
      <c r="CL326" s="1410"/>
      <c r="CM326" s="205"/>
      <c r="CN326" s="1416"/>
    </row>
    <row r="327" spans="2:92" ht="22.5" customHeight="1" x14ac:dyDescent="0.2">
      <c r="B327" s="1454"/>
      <c r="C327" s="1314"/>
      <c r="D327" s="1352"/>
      <c r="E327" s="1311"/>
      <c r="F327" s="1317"/>
      <c r="G327" s="315" t="str">
        <f>+'Plan de Accion apoyo transversa'!X89</f>
        <v>Capacitación de Bilingüismo realizada</v>
      </c>
      <c r="H327" s="227" t="str">
        <f>+'Plan de Accion apoyo transversa'!AK89</f>
        <v xml:space="preserve"># Capacitaciones realizadas </v>
      </c>
      <c r="J327" s="221">
        <f>+'Plan de Accion apoyo transversa'!AT89</f>
        <v>0</v>
      </c>
      <c r="K327" s="483" t="str">
        <f>+'Plan de Accion apoyo transversa'!CE89</f>
        <v>No Prog ni Ejec</v>
      </c>
      <c r="L327" s="483" t="s">
        <v>204</v>
      </c>
      <c r="M327" s="483">
        <f>+'Plan de Accion apoyo transversa'!AX89</f>
        <v>0</v>
      </c>
      <c r="N327" s="483">
        <f t="shared" si="287"/>
        <v>0</v>
      </c>
      <c r="O327" s="485" t="s">
        <v>204</v>
      </c>
      <c r="P327" s="216"/>
      <c r="Q327" s="221">
        <f>+'Plan de Accion apoyo transversa'!BD89</f>
        <v>0</v>
      </c>
      <c r="R327" s="311" t="str">
        <f>+'Plan de Accion apoyo transversa'!CG89</f>
        <v>No Prog ni Ejec</v>
      </c>
      <c r="S327" s="253" t="s">
        <v>204</v>
      </c>
      <c r="T327" s="311">
        <f>+'Plan de Accion apoyo transversa'!BH89</f>
        <v>0</v>
      </c>
      <c r="U327" s="311">
        <f t="shared" si="290"/>
        <v>0</v>
      </c>
      <c r="V327" s="214" t="s">
        <v>204</v>
      </c>
      <c r="W327" s="216"/>
      <c r="X327" s="221">
        <f>+'Plan de Accion apoyo transversa'!BN89</f>
        <v>1</v>
      </c>
      <c r="Y327" s="311" t="str">
        <f>+'Plan de Accion apoyo transversa'!CI89</f>
        <v>No Prog, Ejec=  1</v>
      </c>
      <c r="Z327" s="215" t="s">
        <v>204</v>
      </c>
      <c r="AA327" s="220">
        <f>+'Plan de Accion apoyo transversa'!BR89</f>
        <v>1</v>
      </c>
      <c r="AB327" s="220">
        <f t="shared" si="291"/>
        <v>1</v>
      </c>
      <c r="AC327" s="219" t="s">
        <v>204</v>
      </c>
      <c r="AD327" s="216"/>
      <c r="AE327" s="221">
        <f>+'Plan de Accion apoyo transversa'!BX89</f>
        <v>0</v>
      </c>
      <c r="AF327" s="311">
        <f>+'Plan de Accion apoyo transversa'!CK89</f>
        <v>0</v>
      </c>
      <c r="AG327" s="215">
        <f>IF(AF327&gt;100%,100%,AF327)</f>
        <v>0</v>
      </c>
      <c r="AH327" s="311">
        <f>+'Plan de Accion apoyo transversa'!CB89</f>
        <v>1</v>
      </c>
      <c r="AI327" s="214">
        <f t="shared" si="293"/>
        <v>1</v>
      </c>
      <c r="AJ327" s="1433"/>
      <c r="AL327" s="1436"/>
      <c r="AM327" s="1410"/>
      <c r="AN327" s="207"/>
      <c r="AO327" s="1439"/>
      <c r="AP327" s="1410"/>
      <c r="AQ327" s="207"/>
      <c r="AR327" s="1410"/>
      <c r="AS327" s="1410"/>
      <c r="AT327" s="207"/>
      <c r="AU327" s="1410"/>
      <c r="AV327" s="1410"/>
      <c r="AW327" s="205"/>
      <c r="AX327" s="1416"/>
      <c r="AZ327" s="1436"/>
      <c r="BA327" s="1410"/>
      <c r="BB327" s="207"/>
      <c r="BC327" s="1439"/>
      <c r="BD327" s="1410"/>
      <c r="BE327" s="207"/>
      <c r="BF327" s="1410"/>
      <c r="BG327" s="1410"/>
      <c r="BH327" s="207"/>
      <c r="BI327" s="1410"/>
      <c r="BJ327" s="1410"/>
      <c r="BK327" s="205"/>
      <c r="BL327" s="1416"/>
      <c r="BN327" s="1436"/>
      <c r="BO327" s="1410"/>
      <c r="BP327" s="207"/>
      <c r="BQ327" s="1439"/>
      <c r="BR327" s="1410"/>
      <c r="BS327" s="207"/>
      <c r="BT327" s="1410"/>
      <c r="BU327" s="1410"/>
      <c r="BV327" s="207"/>
      <c r="BW327" s="1410"/>
      <c r="BX327" s="1410"/>
      <c r="BY327" s="205"/>
      <c r="BZ327" s="1416"/>
      <c r="CB327" s="1436"/>
      <c r="CC327" s="1410"/>
      <c r="CD327" s="207"/>
      <c r="CE327" s="1439"/>
      <c r="CF327" s="1410"/>
      <c r="CG327" s="207"/>
      <c r="CH327" s="1410"/>
      <c r="CI327" s="1410"/>
      <c r="CJ327" s="207"/>
      <c r="CK327" s="1410"/>
      <c r="CL327" s="1410"/>
      <c r="CM327" s="205"/>
      <c r="CN327" s="1416"/>
    </row>
    <row r="328" spans="2:92" ht="22.5" customHeight="1" x14ac:dyDescent="0.2">
      <c r="B328" s="1454"/>
      <c r="C328" s="1314"/>
      <c r="D328" s="1352"/>
      <c r="E328" s="1311"/>
      <c r="F328" s="1317"/>
      <c r="G328" s="315" t="str">
        <f>+'Plan de Accion apoyo transversa'!X90</f>
        <v>Capacitación de Acceso a la información realizada</v>
      </c>
      <c r="H328" s="227" t="str">
        <f>+'Plan de Accion apoyo transversa'!AK90</f>
        <v xml:space="preserve"># Capacitaciones realizadas </v>
      </c>
      <c r="J328" s="221">
        <f>+'Plan de Accion apoyo transversa'!AT90</f>
        <v>0</v>
      </c>
      <c r="K328" s="483" t="str">
        <f>+'Plan de Accion apoyo transversa'!CE90</f>
        <v>No Prog ni Ejec</v>
      </c>
      <c r="L328" s="483" t="s">
        <v>204</v>
      </c>
      <c r="M328" s="483">
        <f>+'Plan de Accion apoyo transversa'!AX90</f>
        <v>0</v>
      </c>
      <c r="N328" s="483">
        <f t="shared" si="287"/>
        <v>0</v>
      </c>
      <c r="O328" s="485" t="s">
        <v>204</v>
      </c>
      <c r="P328" s="216"/>
      <c r="Q328" s="221">
        <f>+'Plan de Accion apoyo transversa'!BD90</f>
        <v>0</v>
      </c>
      <c r="R328" s="311" t="str">
        <f>+'Plan de Accion apoyo transversa'!CG90</f>
        <v>No Prog ni Ejec</v>
      </c>
      <c r="S328" s="253" t="s">
        <v>204</v>
      </c>
      <c r="T328" s="311">
        <f>+'Plan de Accion apoyo transversa'!BH90</f>
        <v>0</v>
      </c>
      <c r="U328" s="311">
        <f t="shared" si="290"/>
        <v>0</v>
      </c>
      <c r="V328" s="214" t="s">
        <v>204</v>
      </c>
      <c r="W328" s="216"/>
      <c r="X328" s="221">
        <f>+'Plan de Accion apoyo transversa'!BN90</f>
        <v>0</v>
      </c>
      <c r="Y328" s="311" t="str">
        <f>+'Plan de Accion apoyo transversa'!CI90</f>
        <v>No Prog ni Ejec</v>
      </c>
      <c r="Z328" s="215" t="s">
        <v>204</v>
      </c>
      <c r="AA328" s="220">
        <f>+'Plan de Accion apoyo transversa'!BR90</f>
        <v>0</v>
      </c>
      <c r="AB328" s="220">
        <f t="shared" si="291"/>
        <v>0</v>
      </c>
      <c r="AC328" s="219" t="s">
        <v>204</v>
      </c>
      <c r="AD328" s="216"/>
      <c r="AE328" s="221">
        <f>+'Plan de Accion apoyo transversa'!BX90</f>
        <v>0</v>
      </c>
      <c r="AF328" s="311">
        <f>+'Plan de Accion apoyo transversa'!CK90</f>
        <v>0</v>
      </c>
      <c r="AG328" s="215">
        <f>IF(AF328&gt;100%,100%,AF328)</f>
        <v>0</v>
      </c>
      <c r="AH328" s="311">
        <f>+'Plan de Accion apoyo transversa'!CB90</f>
        <v>0</v>
      </c>
      <c r="AI328" s="214">
        <f t="shared" si="293"/>
        <v>0</v>
      </c>
      <c r="AJ328" s="1433"/>
      <c r="AL328" s="1436"/>
      <c r="AM328" s="1410"/>
      <c r="AN328" s="207"/>
      <c r="AO328" s="1439"/>
      <c r="AP328" s="1410"/>
      <c r="AQ328" s="207"/>
      <c r="AR328" s="1410"/>
      <c r="AS328" s="1410"/>
      <c r="AT328" s="207"/>
      <c r="AU328" s="1410"/>
      <c r="AV328" s="1410"/>
      <c r="AW328" s="205"/>
      <c r="AX328" s="1416"/>
      <c r="AZ328" s="1436"/>
      <c r="BA328" s="1410"/>
      <c r="BB328" s="207"/>
      <c r="BC328" s="1439"/>
      <c r="BD328" s="1410"/>
      <c r="BE328" s="207"/>
      <c r="BF328" s="1410"/>
      <c r="BG328" s="1410"/>
      <c r="BH328" s="207"/>
      <c r="BI328" s="1410"/>
      <c r="BJ328" s="1410"/>
      <c r="BK328" s="205"/>
      <c r="BL328" s="1416"/>
      <c r="BN328" s="1436"/>
      <c r="BO328" s="1410"/>
      <c r="BP328" s="207"/>
      <c r="BQ328" s="1439"/>
      <c r="BR328" s="1410"/>
      <c r="BS328" s="207"/>
      <c r="BT328" s="1410"/>
      <c r="BU328" s="1410"/>
      <c r="BV328" s="207"/>
      <c r="BW328" s="1410"/>
      <c r="BX328" s="1410"/>
      <c r="BY328" s="205"/>
      <c r="BZ328" s="1416"/>
      <c r="CB328" s="1436"/>
      <c r="CC328" s="1410"/>
      <c r="CD328" s="207"/>
      <c r="CE328" s="1439"/>
      <c r="CF328" s="1410"/>
      <c r="CG328" s="207"/>
      <c r="CH328" s="1410"/>
      <c r="CI328" s="1410"/>
      <c r="CJ328" s="207"/>
      <c r="CK328" s="1410"/>
      <c r="CL328" s="1410"/>
      <c r="CM328" s="205"/>
      <c r="CN328" s="1416"/>
    </row>
    <row r="329" spans="2:92" ht="22.5" customHeight="1" x14ac:dyDescent="0.2">
      <c r="B329" s="1454"/>
      <c r="C329" s="1314"/>
      <c r="D329" s="1352"/>
      <c r="E329" s="1311"/>
      <c r="F329" s="1317"/>
      <c r="G329" s="315" t="str">
        <f>+'Plan de Accion apoyo transversa'!X91</f>
        <v>Capacitación de Desarrollo territorial y nacional realizada</v>
      </c>
      <c r="H329" s="227" t="str">
        <f>+'Plan de Accion apoyo transversa'!AK91</f>
        <v xml:space="preserve"># Capacitaciones realizadas </v>
      </c>
      <c r="J329" s="221">
        <f>+'Plan de Accion apoyo transversa'!AT91</f>
        <v>0</v>
      </c>
      <c r="K329" s="483" t="str">
        <f>+'Plan de Accion apoyo transversa'!CE91</f>
        <v>No Prog ni Ejec</v>
      </c>
      <c r="L329" s="483" t="s">
        <v>204</v>
      </c>
      <c r="M329" s="483">
        <f>+'Plan de Accion apoyo transversa'!AX91</f>
        <v>0</v>
      </c>
      <c r="N329" s="483">
        <f t="shared" si="287"/>
        <v>0</v>
      </c>
      <c r="O329" s="485" t="s">
        <v>204</v>
      </c>
      <c r="P329" s="216"/>
      <c r="Q329" s="221">
        <f>+'Plan de Accion apoyo transversa'!BD91</f>
        <v>0</v>
      </c>
      <c r="R329" s="311" t="str">
        <f>+'Plan de Accion apoyo transversa'!CG91</f>
        <v>No Prog ni Ejec</v>
      </c>
      <c r="S329" s="253" t="s">
        <v>204</v>
      </c>
      <c r="T329" s="311">
        <f>+'Plan de Accion apoyo transversa'!BH91</f>
        <v>0</v>
      </c>
      <c r="U329" s="311">
        <f t="shared" si="290"/>
        <v>0</v>
      </c>
      <c r="V329" s="214" t="s">
        <v>204</v>
      </c>
      <c r="W329" s="216"/>
      <c r="X329" s="221">
        <f>+'Plan de Accion apoyo transversa'!BN91</f>
        <v>0</v>
      </c>
      <c r="Y329" s="311">
        <f>+'Plan de Accion apoyo transversa'!CI91</f>
        <v>0</v>
      </c>
      <c r="Z329" s="215">
        <f>IF(Y329&gt;100%,100%,Y329)</f>
        <v>0</v>
      </c>
      <c r="AA329" s="220">
        <f>+'Plan de Accion apoyo transversa'!BR91</f>
        <v>0</v>
      </c>
      <c r="AB329" s="220">
        <f t="shared" si="291"/>
        <v>0</v>
      </c>
      <c r="AC329" s="219">
        <f t="shared" si="292"/>
        <v>0</v>
      </c>
      <c r="AD329" s="216"/>
      <c r="AE329" s="221">
        <f>+'Plan de Accion apoyo transversa'!BX91</f>
        <v>0</v>
      </c>
      <c r="AF329" s="311" t="str">
        <f>+'Plan de Accion apoyo transversa'!CK91</f>
        <v>No Prog ni Ejec</v>
      </c>
      <c r="AG329" s="215" t="s">
        <v>204</v>
      </c>
      <c r="AH329" s="311">
        <f>+'Plan de Accion apoyo transversa'!CB91</f>
        <v>0</v>
      </c>
      <c r="AI329" s="214">
        <f t="shared" si="293"/>
        <v>0</v>
      </c>
      <c r="AJ329" s="1433"/>
      <c r="AL329" s="1436"/>
      <c r="AM329" s="1410"/>
      <c r="AN329" s="207"/>
      <c r="AO329" s="1439"/>
      <c r="AP329" s="1410"/>
      <c r="AQ329" s="207"/>
      <c r="AR329" s="1410"/>
      <c r="AS329" s="1410"/>
      <c r="AT329" s="207"/>
      <c r="AU329" s="1410"/>
      <c r="AV329" s="1410"/>
      <c r="AW329" s="205"/>
      <c r="AX329" s="1416"/>
      <c r="AZ329" s="1436"/>
      <c r="BA329" s="1410"/>
      <c r="BB329" s="207"/>
      <c r="BC329" s="1439"/>
      <c r="BD329" s="1410"/>
      <c r="BE329" s="207"/>
      <c r="BF329" s="1410"/>
      <c r="BG329" s="1410"/>
      <c r="BH329" s="207"/>
      <c r="BI329" s="1410"/>
      <c r="BJ329" s="1410"/>
      <c r="BK329" s="205"/>
      <c r="BL329" s="1416"/>
      <c r="BN329" s="1436"/>
      <c r="BO329" s="1410"/>
      <c r="BP329" s="207"/>
      <c r="BQ329" s="1439"/>
      <c r="BR329" s="1410"/>
      <c r="BS329" s="207"/>
      <c r="BT329" s="1410"/>
      <c r="BU329" s="1410"/>
      <c r="BV329" s="207"/>
      <c r="BW329" s="1410"/>
      <c r="BX329" s="1410"/>
      <c r="BY329" s="205"/>
      <c r="BZ329" s="1416"/>
      <c r="CB329" s="1436"/>
      <c r="CC329" s="1410"/>
      <c r="CD329" s="207"/>
      <c r="CE329" s="1439"/>
      <c r="CF329" s="1410"/>
      <c r="CG329" s="207"/>
      <c r="CH329" s="1410"/>
      <c r="CI329" s="1410"/>
      <c r="CJ329" s="207"/>
      <c r="CK329" s="1410"/>
      <c r="CL329" s="1410"/>
      <c r="CM329" s="205"/>
      <c r="CN329" s="1416"/>
    </row>
    <row r="330" spans="2:92" ht="22.5" customHeight="1" x14ac:dyDescent="0.2">
      <c r="B330" s="1454"/>
      <c r="C330" s="1314"/>
      <c r="D330" s="1352"/>
      <c r="E330" s="1311"/>
      <c r="F330" s="1317"/>
      <c r="G330" s="315" t="str">
        <f>+'Plan de Accion apoyo transversa'!X92</f>
        <v>Inducción realizada</v>
      </c>
      <c r="H330" s="227" t="str">
        <f>+'Plan de Accion apoyo transversa'!AK92</f>
        <v xml:space="preserve"># Inducciones  realizadas </v>
      </c>
      <c r="J330" s="221">
        <f>+'Plan de Accion apoyo transversa'!AT92</f>
        <v>1</v>
      </c>
      <c r="K330" s="483">
        <f>+'Plan de Accion apoyo transversa'!CE92</f>
        <v>1</v>
      </c>
      <c r="L330" s="483">
        <f>IF(K330&gt;100%,100%,K330)</f>
        <v>1</v>
      </c>
      <c r="M330" s="483">
        <f>+'Plan de Accion apoyo transversa'!AX92</f>
        <v>0.25</v>
      </c>
      <c r="N330" s="483">
        <f t="shared" si="287"/>
        <v>0.25</v>
      </c>
      <c r="O330" s="485">
        <f>+N330</f>
        <v>0.25</v>
      </c>
      <c r="P330" s="216"/>
      <c r="Q330" s="221">
        <f>+'Plan de Accion apoyo transversa'!BD92</f>
        <v>1</v>
      </c>
      <c r="R330" s="311">
        <f>+'Plan de Accion apoyo transversa'!CG92</f>
        <v>1</v>
      </c>
      <c r="S330" s="253">
        <f>IF(R330&gt;100%,100%,R330)</f>
        <v>1</v>
      </c>
      <c r="T330" s="311">
        <f>+'Plan de Accion apoyo transversa'!BH92</f>
        <v>0.5</v>
      </c>
      <c r="U330" s="311">
        <f t="shared" si="290"/>
        <v>0.5</v>
      </c>
      <c r="V330" s="214">
        <f>+U330</f>
        <v>0.5</v>
      </c>
      <c r="W330" s="216"/>
      <c r="X330" s="221">
        <f>+'Plan de Accion apoyo transversa'!BN92</f>
        <v>1</v>
      </c>
      <c r="Y330" s="311">
        <f>+'Plan de Accion apoyo transversa'!CI92</f>
        <v>1</v>
      </c>
      <c r="Z330" s="215">
        <f>IF(Y330&gt;100%,100%,Y330)</f>
        <v>1</v>
      </c>
      <c r="AA330" s="220">
        <f>+'Plan de Accion apoyo transversa'!BR92</f>
        <v>0.75</v>
      </c>
      <c r="AB330" s="220">
        <f t="shared" si="291"/>
        <v>0.75</v>
      </c>
      <c r="AC330" s="219">
        <f t="shared" si="292"/>
        <v>0.75</v>
      </c>
      <c r="AD330" s="216"/>
      <c r="AE330" s="221">
        <f>+'Plan de Accion apoyo transversa'!BX92</f>
        <v>0</v>
      </c>
      <c r="AF330" s="311">
        <f>+'Plan de Accion apoyo transversa'!CK92</f>
        <v>0</v>
      </c>
      <c r="AG330" s="215">
        <f>IF(AF330&gt;100%,100%,AF330)</f>
        <v>0</v>
      </c>
      <c r="AH330" s="311">
        <f>+'Plan de Accion apoyo transversa'!CB92</f>
        <v>0.75</v>
      </c>
      <c r="AI330" s="214">
        <f t="shared" si="293"/>
        <v>0.75</v>
      </c>
      <c r="AJ330" s="1433"/>
      <c r="AL330" s="1436"/>
      <c r="AM330" s="1410"/>
      <c r="AN330" s="207"/>
      <c r="AO330" s="1439"/>
      <c r="AP330" s="1410"/>
      <c r="AQ330" s="207"/>
      <c r="AR330" s="1410"/>
      <c r="AS330" s="1410"/>
      <c r="AT330" s="207"/>
      <c r="AU330" s="1410"/>
      <c r="AV330" s="1410"/>
      <c r="AW330" s="205"/>
      <c r="AX330" s="1416"/>
      <c r="AZ330" s="1436"/>
      <c r="BA330" s="1410"/>
      <c r="BB330" s="207"/>
      <c r="BC330" s="1439"/>
      <c r="BD330" s="1410"/>
      <c r="BE330" s="207"/>
      <c r="BF330" s="1410"/>
      <c r="BG330" s="1410"/>
      <c r="BH330" s="207"/>
      <c r="BI330" s="1410"/>
      <c r="BJ330" s="1410"/>
      <c r="BK330" s="205"/>
      <c r="BL330" s="1416"/>
      <c r="BN330" s="1436"/>
      <c r="BO330" s="1410"/>
      <c r="BP330" s="207"/>
      <c r="BQ330" s="1439"/>
      <c r="BR330" s="1410"/>
      <c r="BS330" s="207"/>
      <c r="BT330" s="1410"/>
      <c r="BU330" s="1410"/>
      <c r="BV330" s="207"/>
      <c r="BW330" s="1410"/>
      <c r="BX330" s="1410"/>
      <c r="BY330" s="205"/>
      <c r="BZ330" s="1416"/>
      <c r="CB330" s="1436"/>
      <c r="CC330" s="1410"/>
      <c r="CD330" s="207"/>
      <c r="CE330" s="1439"/>
      <c r="CF330" s="1410"/>
      <c r="CG330" s="207"/>
      <c r="CH330" s="1410"/>
      <c r="CI330" s="1410"/>
      <c r="CJ330" s="207"/>
      <c r="CK330" s="1410"/>
      <c r="CL330" s="1410"/>
      <c r="CM330" s="205"/>
      <c r="CN330" s="1416"/>
    </row>
    <row r="331" spans="2:92" ht="22.5" customHeight="1" x14ac:dyDescent="0.2">
      <c r="B331" s="1454"/>
      <c r="C331" s="1314"/>
      <c r="D331" s="1352"/>
      <c r="E331" s="1311"/>
      <c r="F331" s="1318"/>
      <c r="G331" s="315" t="str">
        <f>+'Plan de Accion apoyo transversa'!X93</f>
        <v>Reinducción realizada</v>
      </c>
      <c r="H331" s="227" t="str">
        <f>+'Plan de Accion apoyo transversa'!AK93</f>
        <v xml:space="preserve"># Reinducciones realizadas </v>
      </c>
      <c r="J331" s="221">
        <f>+'Plan de Accion apoyo transversa'!AT93</f>
        <v>0</v>
      </c>
      <c r="K331" s="483" t="str">
        <f>+'Plan de Accion apoyo transversa'!CE93</f>
        <v>No Prog ni Ejec</v>
      </c>
      <c r="L331" s="483" t="s">
        <v>204</v>
      </c>
      <c r="M331" s="483">
        <f>+'Plan de Accion apoyo transversa'!AX93</f>
        <v>0</v>
      </c>
      <c r="N331" s="483">
        <f t="shared" si="287"/>
        <v>0</v>
      </c>
      <c r="O331" s="485" t="s">
        <v>204</v>
      </c>
      <c r="P331" s="216"/>
      <c r="Q331" s="221">
        <f>+'Plan de Accion apoyo transversa'!BD93</f>
        <v>0</v>
      </c>
      <c r="R331" s="311" t="str">
        <f>+'Plan de Accion apoyo transversa'!CG93</f>
        <v>No Prog ni Ejec</v>
      </c>
      <c r="S331" s="253" t="s">
        <v>204</v>
      </c>
      <c r="T331" s="311">
        <f>+'Plan de Accion apoyo transversa'!BH93</f>
        <v>0</v>
      </c>
      <c r="U331" s="311">
        <f t="shared" si="290"/>
        <v>0</v>
      </c>
      <c r="V331" s="214" t="s">
        <v>204</v>
      </c>
      <c r="W331" s="216"/>
      <c r="X331" s="221">
        <f>+'Plan de Accion apoyo transversa'!BN93</f>
        <v>0</v>
      </c>
      <c r="Y331" s="311">
        <f>+'Plan de Accion apoyo transversa'!CI93</f>
        <v>0</v>
      </c>
      <c r="Z331" s="215">
        <f>IF(Y331&gt;100%,100%,Y331)</f>
        <v>0</v>
      </c>
      <c r="AA331" s="220">
        <f>+'Plan de Accion apoyo transversa'!BR93</f>
        <v>0</v>
      </c>
      <c r="AB331" s="220">
        <f t="shared" si="291"/>
        <v>0</v>
      </c>
      <c r="AC331" s="219">
        <f t="shared" si="292"/>
        <v>0</v>
      </c>
      <c r="AD331" s="216"/>
      <c r="AE331" s="221">
        <f>+'Plan de Accion apoyo transversa'!BX93</f>
        <v>0</v>
      </c>
      <c r="AF331" s="311" t="str">
        <f>+'Plan de Accion apoyo transversa'!CK93</f>
        <v>No Prog ni Ejec</v>
      </c>
      <c r="AG331" s="215" t="s">
        <v>204</v>
      </c>
      <c r="AH331" s="311">
        <f>+'Plan de Accion apoyo transversa'!CB93</f>
        <v>0</v>
      </c>
      <c r="AI331" s="214">
        <f t="shared" si="293"/>
        <v>0</v>
      </c>
      <c r="AJ331" s="1433"/>
      <c r="AL331" s="1436"/>
      <c r="AM331" s="1410"/>
      <c r="AN331" s="207"/>
      <c r="AO331" s="1439"/>
      <c r="AP331" s="1410"/>
      <c r="AQ331" s="207"/>
      <c r="AR331" s="1410"/>
      <c r="AS331" s="1410"/>
      <c r="AT331" s="207"/>
      <c r="AU331" s="1410"/>
      <c r="AV331" s="1410"/>
      <c r="AW331" s="205"/>
      <c r="AX331" s="1416"/>
      <c r="AZ331" s="1436"/>
      <c r="BA331" s="1410"/>
      <c r="BB331" s="207"/>
      <c r="BC331" s="1439"/>
      <c r="BD331" s="1410"/>
      <c r="BE331" s="207"/>
      <c r="BF331" s="1410"/>
      <c r="BG331" s="1410"/>
      <c r="BH331" s="207"/>
      <c r="BI331" s="1410"/>
      <c r="BJ331" s="1410"/>
      <c r="BK331" s="205"/>
      <c r="BL331" s="1416"/>
      <c r="BN331" s="1436"/>
      <c r="BO331" s="1410"/>
      <c r="BP331" s="207"/>
      <c r="BQ331" s="1439"/>
      <c r="BR331" s="1410"/>
      <c r="BS331" s="207"/>
      <c r="BT331" s="1410"/>
      <c r="BU331" s="1410"/>
      <c r="BV331" s="207"/>
      <c r="BW331" s="1410"/>
      <c r="BX331" s="1410"/>
      <c r="BY331" s="205"/>
      <c r="BZ331" s="1416"/>
      <c r="CB331" s="1436"/>
      <c r="CC331" s="1410"/>
      <c r="CD331" s="207"/>
      <c r="CE331" s="1439"/>
      <c r="CF331" s="1410"/>
      <c r="CG331" s="207"/>
      <c r="CH331" s="1410"/>
      <c r="CI331" s="1410"/>
      <c r="CJ331" s="207"/>
      <c r="CK331" s="1410"/>
      <c r="CL331" s="1410"/>
      <c r="CM331" s="205"/>
      <c r="CN331" s="1416"/>
    </row>
    <row r="332" spans="2:92" ht="39" customHeight="1" x14ac:dyDescent="0.2">
      <c r="B332" s="1454"/>
      <c r="C332" s="1314"/>
      <c r="D332" s="1352"/>
      <c r="E332" s="1311"/>
      <c r="F332" s="1316" t="s">
        <v>1181</v>
      </c>
      <c r="G332" s="315" t="str">
        <f>+'Plan de Accion apoyo transversa'!X94</f>
        <v>Olimpiada deportiva de Microfútbol</v>
      </c>
      <c r="H332" s="1304" t="str">
        <f>+'Plan de Accion apoyo transversa'!AK94</f>
        <v># Actividades de bienestar realizadas</v>
      </c>
      <c r="J332" s="1307">
        <f>+'Plan de Accion apoyo transversa'!AT94</f>
        <v>1</v>
      </c>
      <c r="K332" s="1290">
        <f>+'Plan de Accion apoyo transversa'!CE94</f>
        <v>1</v>
      </c>
      <c r="L332" s="1290">
        <f>IF(K332&gt;100%,100%,K332)</f>
        <v>1</v>
      </c>
      <c r="M332" s="1290">
        <f>+'Plan de Accion apoyo transversa'!AX94</f>
        <v>5.2631578947368418E-2</v>
      </c>
      <c r="N332" s="1290">
        <f t="shared" si="287"/>
        <v>5.2631578947368418E-2</v>
      </c>
      <c r="O332" s="1293">
        <f>+N332</f>
        <v>5.2631578947368418E-2</v>
      </c>
      <c r="P332" s="216"/>
      <c r="Q332" s="1307">
        <f>+'Plan de Accion apoyo transversa'!BD94</f>
        <v>2</v>
      </c>
      <c r="R332" s="1290">
        <f>+'Plan de Accion apoyo transversa'!CG94</f>
        <v>1</v>
      </c>
      <c r="S332" s="1290">
        <f>IF(R332&gt;100%,100%,R332)</f>
        <v>1</v>
      </c>
      <c r="T332" s="1290">
        <f>+'Plan de Accion apoyo transversa'!BH94</f>
        <v>0.15789473684210525</v>
      </c>
      <c r="U332" s="1290">
        <f t="shared" ref="U332:U351" si="296">IF(T332&gt;100%,100%,T332)</f>
        <v>0.15789473684210525</v>
      </c>
      <c r="V332" s="1293">
        <f>+U332</f>
        <v>0.15789473684210525</v>
      </c>
      <c r="W332" s="216"/>
      <c r="X332" s="1307">
        <f>+'Plan de Accion apoyo transversa'!BN94</f>
        <v>3</v>
      </c>
      <c r="Y332" s="1290">
        <f>+'Plan de Accion apoyo transversa'!CI94</f>
        <v>0.5</v>
      </c>
      <c r="Z332" s="1290">
        <f>IF(Y332&gt;100%,100%,Y332)</f>
        <v>0.5</v>
      </c>
      <c r="AA332" s="1296">
        <f>+'Plan de Accion apoyo transversa'!BR94</f>
        <v>0.31578947368421051</v>
      </c>
      <c r="AB332" s="1296">
        <f t="shared" ref="AB332:AB351" si="297">IF(AA332&gt;100%,100%,AA332)</f>
        <v>0.31578947368421051</v>
      </c>
      <c r="AC332" s="1299">
        <f t="shared" ref="AC332:AC357" si="298">+AB332</f>
        <v>0.31578947368421051</v>
      </c>
      <c r="AD332" s="216"/>
      <c r="AE332" s="1307">
        <f>+'Plan de Accion apoyo transversa'!BX94</f>
        <v>0</v>
      </c>
      <c r="AF332" s="1290">
        <f>+'Plan de Accion apoyo transversa'!CK94</f>
        <v>0</v>
      </c>
      <c r="AG332" s="1290">
        <f>IF(AF332&gt;100%,100%,AF332)</f>
        <v>0</v>
      </c>
      <c r="AH332" s="1290">
        <f>+'Plan de Accion apoyo transversa'!CB94</f>
        <v>0.31578947368421051</v>
      </c>
      <c r="AI332" s="1293">
        <f t="shared" ref="AI332:AI351" si="299">IF(AH332&gt;100%,100%,AH332)</f>
        <v>0.31578947368421051</v>
      </c>
      <c r="AJ332" s="1433"/>
      <c r="AL332" s="1436"/>
      <c r="AM332" s="1410"/>
      <c r="AN332" s="207"/>
      <c r="AO332" s="1439"/>
      <c r="AP332" s="1410"/>
      <c r="AQ332" s="207"/>
      <c r="AR332" s="1410"/>
      <c r="AS332" s="1410"/>
      <c r="AT332" s="207"/>
      <c r="AU332" s="1410"/>
      <c r="AV332" s="1410"/>
      <c r="AW332" s="205"/>
      <c r="AX332" s="1416"/>
      <c r="AZ332" s="1436"/>
      <c r="BA332" s="1410"/>
      <c r="BB332" s="207"/>
      <c r="BC332" s="1439"/>
      <c r="BD332" s="1410"/>
      <c r="BE332" s="207"/>
      <c r="BF332" s="1410"/>
      <c r="BG332" s="1410"/>
      <c r="BH332" s="207"/>
      <c r="BI332" s="1410"/>
      <c r="BJ332" s="1410"/>
      <c r="BK332" s="205"/>
      <c r="BL332" s="1416"/>
      <c r="BN332" s="1436"/>
      <c r="BO332" s="1410"/>
      <c r="BP332" s="207"/>
      <c r="BQ332" s="1439"/>
      <c r="BR332" s="1410"/>
      <c r="BS332" s="207"/>
      <c r="BT332" s="1410"/>
      <c r="BU332" s="1410"/>
      <c r="BV332" s="207"/>
      <c r="BW332" s="1410"/>
      <c r="BX332" s="1410"/>
      <c r="BY332" s="205"/>
      <c r="BZ332" s="1416"/>
      <c r="CB332" s="1436"/>
      <c r="CC332" s="1410"/>
      <c r="CD332" s="207"/>
      <c r="CE332" s="1439"/>
      <c r="CF332" s="1410"/>
      <c r="CG332" s="207"/>
      <c r="CH332" s="1410"/>
      <c r="CI332" s="1410"/>
      <c r="CJ332" s="207"/>
      <c r="CK332" s="1410"/>
      <c r="CL332" s="1410"/>
      <c r="CM332" s="205"/>
      <c r="CN332" s="1416"/>
    </row>
    <row r="333" spans="2:92" ht="39" customHeight="1" x14ac:dyDescent="0.2">
      <c r="B333" s="1454"/>
      <c r="C333" s="1314"/>
      <c r="D333" s="1352"/>
      <c r="E333" s="1311"/>
      <c r="F333" s="1317"/>
      <c r="G333" s="315" t="str">
        <f>+'Plan de Accion apoyo transversa'!X95</f>
        <v>Olimpiada deportiva de Voleibol</v>
      </c>
      <c r="H333" s="1305"/>
      <c r="J333" s="1308"/>
      <c r="K333" s="1291"/>
      <c r="L333" s="1291"/>
      <c r="M333" s="1291"/>
      <c r="N333" s="1291"/>
      <c r="O333" s="1294"/>
      <c r="P333" s="216"/>
      <c r="Q333" s="1308"/>
      <c r="R333" s="1291"/>
      <c r="S333" s="1291"/>
      <c r="T333" s="1291"/>
      <c r="U333" s="1291"/>
      <c r="V333" s="1294"/>
      <c r="W333" s="216"/>
      <c r="X333" s="1308"/>
      <c r="Y333" s="1291"/>
      <c r="Z333" s="1291"/>
      <c r="AA333" s="1297"/>
      <c r="AB333" s="1297"/>
      <c r="AC333" s="1300"/>
      <c r="AD333" s="216"/>
      <c r="AE333" s="1308"/>
      <c r="AF333" s="1291"/>
      <c r="AG333" s="1291"/>
      <c r="AH333" s="1291"/>
      <c r="AI333" s="1294"/>
      <c r="AJ333" s="1433"/>
      <c r="AL333" s="1436"/>
      <c r="AM333" s="1410"/>
      <c r="AN333" s="207"/>
      <c r="AO333" s="1439"/>
      <c r="AP333" s="1410"/>
      <c r="AQ333" s="207"/>
      <c r="AR333" s="1410"/>
      <c r="AS333" s="1410"/>
      <c r="AT333" s="207"/>
      <c r="AU333" s="1410"/>
      <c r="AV333" s="1410"/>
      <c r="AW333" s="205"/>
      <c r="AX333" s="1416"/>
      <c r="AZ333" s="1436"/>
      <c r="BA333" s="1410"/>
      <c r="BB333" s="207"/>
      <c r="BC333" s="1439"/>
      <c r="BD333" s="1410"/>
      <c r="BE333" s="207"/>
      <c r="BF333" s="1410"/>
      <c r="BG333" s="1410"/>
      <c r="BH333" s="207"/>
      <c r="BI333" s="1410"/>
      <c r="BJ333" s="1410"/>
      <c r="BK333" s="205"/>
      <c r="BL333" s="1416"/>
      <c r="BN333" s="1436"/>
      <c r="BO333" s="1410"/>
      <c r="BP333" s="207"/>
      <c r="BQ333" s="1439"/>
      <c r="BR333" s="1410"/>
      <c r="BS333" s="207"/>
      <c r="BT333" s="1410"/>
      <c r="BU333" s="1410"/>
      <c r="BV333" s="207"/>
      <c r="BW333" s="1410"/>
      <c r="BX333" s="1410"/>
      <c r="BY333" s="205"/>
      <c r="BZ333" s="1416"/>
      <c r="CB333" s="1436"/>
      <c r="CC333" s="1410"/>
      <c r="CD333" s="207"/>
      <c r="CE333" s="1439"/>
      <c r="CF333" s="1410"/>
      <c r="CG333" s="207"/>
      <c r="CH333" s="1410"/>
      <c r="CI333" s="1410"/>
      <c r="CJ333" s="207"/>
      <c r="CK333" s="1410"/>
      <c r="CL333" s="1410"/>
      <c r="CM333" s="205"/>
      <c r="CN333" s="1416"/>
    </row>
    <row r="334" spans="2:92" ht="39" customHeight="1" x14ac:dyDescent="0.2">
      <c r="B334" s="1454"/>
      <c r="C334" s="1314"/>
      <c r="D334" s="1352"/>
      <c r="E334" s="1311"/>
      <c r="F334" s="1317"/>
      <c r="G334" s="315" t="str">
        <f>+'Plan de Accion apoyo transversa'!X96</f>
        <v>Olimpiada deportiva de Tenis de mesa</v>
      </c>
      <c r="H334" s="1305"/>
      <c r="J334" s="1308"/>
      <c r="K334" s="1291"/>
      <c r="L334" s="1291"/>
      <c r="M334" s="1291"/>
      <c r="N334" s="1291"/>
      <c r="O334" s="1294"/>
      <c r="P334" s="216"/>
      <c r="Q334" s="1308"/>
      <c r="R334" s="1291"/>
      <c r="S334" s="1291"/>
      <c r="T334" s="1291"/>
      <c r="U334" s="1291"/>
      <c r="V334" s="1294"/>
      <c r="W334" s="216"/>
      <c r="X334" s="1308"/>
      <c r="Y334" s="1291"/>
      <c r="Z334" s="1291"/>
      <c r="AA334" s="1297"/>
      <c r="AB334" s="1297"/>
      <c r="AC334" s="1300"/>
      <c r="AD334" s="216"/>
      <c r="AE334" s="1308"/>
      <c r="AF334" s="1291"/>
      <c r="AG334" s="1291"/>
      <c r="AH334" s="1291"/>
      <c r="AI334" s="1294"/>
      <c r="AJ334" s="1433"/>
      <c r="AL334" s="1436"/>
      <c r="AM334" s="1410"/>
      <c r="AN334" s="207"/>
      <c r="AO334" s="1439"/>
      <c r="AP334" s="1410"/>
      <c r="AQ334" s="207"/>
      <c r="AR334" s="1410"/>
      <c r="AS334" s="1410"/>
      <c r="AT334" s="207"/>
      <c r="AU334" s="1410"/>
      <c r="AV334" s="1410"/>
      <c r="AW334" s="205"/>
      <c r="AX334" s="1416"/>
      <c r="AZ334" s="1436"/>
      <c r="BA334" s="1410"/>
      <c r="BB334" s="207"/>
      <c r="BC334" s="1439"/>
      <c r="BD334" s="1410"/>
      <c r="BE334" s="207"/>
      <c r="BF334" s="1410"/>
      <c r="BG334" s="1410"/>
      <c r="BH334" s="207"/>
      <c r="BI334" s="1410"/>
      <c r="BJ334" s="1410"/>
      <c r="BK334" s="205"/>
      <c r="BL334" s="1416"/>
      <c r="BN334" s="1436"/>
      <c r="BO334" s="1410"/>
      <c r="BP334" s="207"/>
      <c r="BQ334" s="1439"/>
      <c r="BR334" s="1410"/>
      <c r="BS334" s="207"/>
      <c r="BT334" s="1410"/>
      <c r="BU334" s="1410"/>
      <c r="BV334" s="207"/>
      <c r="BW334" s="1410"/>
      <c r="BX334" s="1410"/>
      <c r="BY334" s="205"/>
      <c r="BZ334" s="1416"/>
      <c r="CB334" s="1436"/>
      <c r="CC334" s="1410"/>
      <c r="CD334" s="207"/>
      <c r="CE334" s="1439"/>
      <c r="CF334" s="1410"/>
      <c r="CG334" s="207"/>
      <c r="CH334" s="1410"/>
      <c r="CI334" s="1410"/>
      <c r="CJ334" s="207"/>
      <c r="CK334" s="1410"/>
      <c r="CL334" s="1410"/>
      <c r="CM334" s="205"/>
      <c r="CN334" s="1416"/>
    </row>
    <row r="335" spans="2:92" ht="39" customHeight="1" x14ac:dyDescent="0.2">
      <c r="B335" s="1454"/>
      <c r="C335" s="1314"/>
      <c r="D335" s="1352"/>
      <c r="E335" s="1311"/>
      <c r="F335" s="1317"/>
      <c r="G335" s="315" t="str">
        <f>+'Plan de Accion apoyo transversa'!X97</f>
        <v>Olimpiada deportiva de Bolos</v>
      </c>
      <c r="H335" s="1305"/>
      <c r="J335" s="1308"/>
      <c r="K335" s="1291"/>
      <c r="L335" s="1291"/>
      <c r="M335" s="1291"/>
      <c r="N335" s="1291"/>
      <c r="O335" s="1294"/>
      <c r="P335" s="216"/>
      <c r="Q335" s="1308"/>
      <c r="R335" s="1291"/>
      <c r="S335" s="1291"/>
      <c r="T335" s="1291"/>
      <c r="U335" s="1291"/>
      <c r="V335" s="1294"/>
      <c r="W335" s="216"/>
      <c r="X335" s="1308"/>
      <c r="Y335" s="1291"/>
      <c r="Z335" s="1291"/>
      <c r="AA335" s="1297"/>
      <c r="AB335" s="1297"/>
      <c r="AC335" s="1300"/>
      <c r="AD335" s="216"/>
      <c r="AE335" s="1308"/>
      <c r="AF335" s="1291"/>
      <c r="AG335" s="1291"/>
      <c r="AH335" s="1291"/>
      <c r="AI335" s="1294"/>
      <c r="AJ335" s="1433"/>
      <c r="AL335" s="1436"/>
      <c r="AM335" s="1410"/>
      <c r="AN335" s="207"/>
      <c r="AO335" s="1439"/>
      <c r="AP335" s="1410"/>
      <c r="AQ335" s="207"/>
      <c r="AR335" s="1410"/>
      <c r="AS335" s="1410"/>
      <c r="AT335" s="207"/>
      <c r="AU335" s="1410"/>
      <c r="AV335" s="1410"/>
      <c r="AW335" s="205"/>
      <c r="AX335" s="1416"/>
      <c r="AZ335" s="1436"/>
      <c r="BA335" s="1410"/>
      <c r="BB335" s="207"/>
      <c r="BC335" s="1439"/>
      <c r="BD335" s="1410"/>
      <c r="BE335" s="207"/>
      <c r="BF335" s="1410"/>
      <c r="BG335" s="1410"/>
      <c r="BH335" s="207"/>
      <c r="BI335" s="1410"/>
      <c r="BJ335" s="1410"/>
      <c r="BK335" s="205"/>
      <c r="BL335" s="1416"/>
      <c r="BN335" s="1436"/>
      <c r="BO335" s="1410"/>
      <c r="BP335" s="207"/>
      <c r="BQ335" s="1439"/>
      <c r="BR335" s="1410"/>
      <c r="BS335" s="207"/>
      <c r="BT335" s="1410"/>
      <c r="BU335" s="1410"/>
      <c r="BV335" s="207"/>
      <c r="BW335" s="1410"/>
      <c r="BX335" s="1410"/>
      <c r="BY335" s="205"/>
      <c r="BZ335" s="1416"/>
      <c r="CB335" s="1436"/>
      <c r="CC335" s="1410"/>
      <c r="CD335" s="207"/>
      <c r="CE335" s="1439"/>
      <c r="CF335" s="1410"/>
      <c r="CG335" s="207"/>
      <c r="CH335" s="1410"/>
      <c r="CI335" s="1410"/>
      <c r="CJ335" s="207"/>
      <c r="CK335" s="1410"/>
      <c r="CL335" s="1410"/>
      <c r="CM335" s="205"/>
      <c r="CN335" s="1416"/>
    </row>
    <row r="336" spans="2:92" ht="39" customHeight="1" x14ac:dyDescent="0.2">
      <c r="B336" s="1454"/>
      <c r="C336" s="1314"/>
      <c r="D336" s="1352"/>
      <c r="E336" s="1311"/>
      <c r="F336" s="1317"/>
      <c r="G336" s="315" t="str">
        <f>+'Plan de Accion apoyo transversa'!X98</f>
        <v>Olimpiada deportiva de Billar</v>
      </c>
      <c r="H336" s="1305"/>
      <c r="J336" s="1308"/>
      <c r="K336" s="1291"/>
      <c r="L336" s="1291"/>
      <c r="M336" s="1291"/>
      <c r="N336" s="1291"/>
      <c r="O336" s="1294"/>
      <c r="P336" s="216"/>
      <c r="Q336" s="1308"/>
      <c r="R336" s="1291"/>
      <c r="S336" s="1291"/>
      <c r="T336" s="1291"/>
      <c r="U336" s="1291"/>
      <c r="V336" s="1294"/>
      <c r="W336" s="216"/>
      <c r="X336" s="1308"/>
      <c r="Y336" s="1291"/>
      <c r="Z336" s="1291"/>
      <c r="AA336" s="1297"/>
      <c r="AB336" s="1297"/>
      <c r="AC336" s="1300"/>
      <c r="AD336" s="216"/>
      <c r="AE336" s="1308"/>
      <c r="AF336" s="1291"/>
      <c r="AG336" s="1291"/>
      <c r="AH336" s="1291"/>
      <c r="AI336" s="1294"/>
      <c r="AJ336" s="1433"/>
      <c r="AL336" s="1436"/>
      <c r="AM336" s="1410"/>
      <c r="AN336" s="207"/>
      <c r="AO336" s="1439"/>
      <c r="AP336" s="1410"/>
      <c r="AQ336" s="207"/>
      <c r="AR336" s="1410"/>
      <c r="AS336" s="1410"/>
      <c r="AT336" s="207"/>
      <c r="AU336" s="1410"/>
      <c r="AV336" s="1410"/>
      <c r="AW336" s="205"/>
      <c r="AX336" s="1416"/>
      <c r="AZ336" s="1436"/>
      <c r="BA336" s="1410"/>
      <c r="BB336" s="207"/>
      <c r="BC336" s="1439"/>
      <c r="BD336" s="1410"/>
      <c r="BE336" s="207"/>
      <c r="BF336" s="1410"/>
      <c r="BG336" s="1410"/>
      <c r="BH336" s="207"/>
      <c r="BI336" s="1410"/>
      <c r="BJ336" s="1410"/>
      <c r="BK336" s="205"/>
      <c r="BL336" s="1416"/>
      <c r="BN336" s="1436"/>
      <c r="BO336" s="1410"/>
      <c r="BP336" s="207"/>
      <c r="BQ336" s="1439"/>
      <c r="BR336" s="1410"/>
      <c r="BS336" s="207"/>
      <c r="BT336" s="1410"/>
      <c r="BU336" s="1410"/>
      <c r="BV336" s="207"/>
      <c r="BW336" s="1410"/>
      <c r="BX336" s="1410"/>
      <c r="BY336" s="205"/>
      <c r="BZ336" s="1416"/>
      <c r="CB336" s="1436"/>
      <c r="CC336" s="1410"/>
      <c r="CD336" s="207"/>
      <c r="CE336" s="1439"/>
      <c r="CF336" s="1410"/>
      <c r="CG336" s="207"/>
      <c r="CH336" s="1410"/>
      <c r="CI336" s="1410"/>
      <c r="CJ336" s="207"/>
      <c r="CK336" s="1410"/>
      <c r="CL336" s="1410"/>
      <c r="CM336" s="205"/>
      <c r="CN336" s="1416"/>
    </row>
    <row r="337" spans="2:92" ht="39" customHeight="1" x14ac:dyDescent="0.2">
      <c r="B337" s="1454"/>
      <c r="C337" s="1314"/>
      <c r="D337" s="1352"/>
      <c r="E337" s="1311"/>
      <c r="F337" s="1317"/>
      <c r="G337" s="315" t="str">
        <f>+'Plan de Accion apoyo transversa'!X99</f>
        <v>Vacaciones recreativas realizadas</v>
      </c>
      <c r="H337" s="1305"/>
      <c r="J337" s="1308"/>
      <c r="K337" s="1291"/>
      <c r="L337" s="1291"/>
      <c r="M337" s="1291"/>
      <c r="N337" s="1291"/>
      <c r="O337" s="1294"/>
      <c r="P337" s="216"/>
      <c r="Q337" s="1308"/>
      <c r="R337" s="1291"/>
      <c r="S337" s="1291"/>
      <c r="T337" s="1291"/>
      <c r="U337" s="1291"/>
      <c r="V337" s="1294"/>
      <c r="W337" s="216"/>
      <c r="X337" s="1308"/>
      <c r="Y337" s="1291"/>
      <c r="Z337" s="1291"/>
      <c r="AA337" s="1297"/>
      <c r="AB337" s="1297"/>
      <c r="AC337" s="1300"/>
      <c r="AD337" s="216"/>
      <c r="AE337" s="1308"/>
      <c r="AF337" s="1291"/>
      <c r="AG337" s="1291"/>
      <c r="AH337" s="1291"/>
      <c r="AI337" s="1294"/>
      <c r="AJ337" s="1433"/>
      <c r="AL337" s="1436"/>
      <c r="AM337" s="1410"/>
      <c r="AN337" s="207"/>
      <c r="AO337" s="1439"/>
      <c r="AP337" s="1410"/>
      <c r="AQ337" s="207"/>
      <c r="AR337" s="1410"/>
      <c r="AS337" s="1410"/>
      <c r="AT337" s="207"/>
      <c r="AU337" s="1410"/>
      <c r="AV337" s="1410"/>
      <c r="AW337" s="205"/>
      <c r="AX337" s="1416"/>
      <c r="AZ337" s="1436"/>
      <c r="BA337" s="1410"/>
      <c r="BB337" s="207"/>
      <c r="BC337" s="1439"/>
      <c r="BD337" s="1410"/>
      <c r="BE337" s="207"/>
      <c r="BF337" s="1410"/>
      <c r="BG337" s="1410"/>
      <c r="BH337" s="207"/>
      <c r="BI337" s="1410"/>
      <c r="BJ337" s="1410"/>
      <c r="BK337" s="205"/>
      <c r="BL337" s="1416"/>
      <c r="BN337" s="1436"/>
      <c r="BO337" s="1410"/>
      <c r="BP337" s="207"/>
      <c r="BQ337" s="1439"/>
      <c r="BR337" s="1410"/>
      <c r="BS337" s="207"/>
      <c r="BT337" s="1410"/>
      <c r="BU337" s="1410"/>
      <c r="BV337" s="207"/>
      <c r="BW337" s="1410"/>
      <c r="BX337" s="1410"/>
      <c r="BY337" s="205"/>
      <c r="BZ337" s="1416"/>
      <c r="CB337" s="1436"/>
      <c r="CC337" s="1410"/>
      <c r="CD337" s="207"/>
      <c r="CE337" s="1439"/>
      <c r="CF337" s="1410"/>
      <c r="CG337" s="207"/>
      <c r="CH337" s="1410"/>
      <c r="CI337" s="1410"/>
      <c r="CJ337" s="207"/>
      <c r="CK337" s="1410"/>
      <c r="CL337" s="1410"/>
      <c r="CM337" s="205"/>
      <c r="CN337" s="1416"/>
    </row>
    <row r="338" spans="2:92" ht="28.5" x14ac:dyDescent="0.2">
      <c r="B338" s="1455"/>
      <c r="C338" s="1314"/>
      <c r="D338" s="1352"/>
      <c r="E338" s="1311"/>
      <c r="F338" s="1317"/>
      <c r="G338" s="315" t="str">
        <f>+'Plan de Accion apoyo transversa'!X100</f>
        <v>Actividad día del niño realizada</v>
      </c>
      <c r="H338" s="1305"/>
      <c r="J338" s="1308"/>
      <c r="K338" s="1291"/>
      <c r="L338" s="1291"/>
      <c r="M338" s="1291"/>
      <c r="N338" s="1291"/>
      <c r="O338" s="1294"/>
      <c r="P338" s="216"/>
      <c r="Q338" s="1308"/>
      <c r="R338" s="1291"/>
      <c r="S338" s="1291"/>
      <c r="T338" s="1291"/>
      <c r="U338" s="1291"/>
      <c r="V338" s="1294"/>
      <c r="W338" s="216"/>
      <c r="X338" s="1308"/>
      <c r="Y338" s="1291"/>
      <c r="Z338" s="1291"/>
      <c r="AA338" s="1297"/>
      <c r="AB338" s="1297"/>
      <c r="AC338" s="1300"/>
      <c r="AD338" s="216"/>
      <c r="AE338" s="1308"/>
      <c r="AF338" s="1291"/>
      <c r="AG338" s="1291"/>
      <c r="AH338" s="1291"/>
      <c r="AI338" s="1294"/>
      <c r="AJ338" s="1433"/>
      <c r="AL338" s="1436"/>
      <c r="AM338" s="1410"/>
      <c r="AN338" s="207"/>
      <c r="AO338" s="1439"/>
      <c r="AP338" s="1410"/>
      <c r="AQ338" s="207"/>
      <c r="AR338" s="1410"/>
      <c r="AS338" s="1410"/>
      <c r="AT338" s="207"/>
      <c r="AU338" s="1410"/>
      <c r="AV338" s="1410"/>
      <c r="AW338" s="205"/>
      <c r="AX338" s="1416"/>
      <c r="AZ338" s="1436"/>
      <c r="BA338" s="1410"/>
      <c r="BB338" s="207"/>
      <c r="BC338" s="1439"/>
      <c r="BD338" s="1410"/>
      <c r="BE338" s="207"/>
      <c r="BF338" s="1410"/>
      <c r="BG338" s="1410"/>
      <c r="BH338" s="207"/>
      <c r="BI338" s="1410"/>
      <c r="BJ338" s="1410"/>
      <c r="BK338" s="205"/>
      <c r="BL338" s="1416"/>
      <c r="BN338" s="1436"/>
      <c r="BO338" s="1410"/>
      <c r="BP338" s="207"/>
      <c r="BQ338" s="1439"/>
      <c r="BR338" s="1410"/>
      <c r="BS338" s="207"/>
      <c r="BT338" s="1410"/>
      <c r="BU338" s="1410"/>
      <c r="BV338" s="207"/>
      <c r="BW338" s="1410"/>
      <c r="BX338" s="1410"/>
      <c r="BY338" s="205"/>
      <c r="BZ338" s="1416"/>
      <c r="CB338" s="1436"/>
      <c r="CC338" s="1410"/>
      <c r="CD338" s="207"/>
      <c r="CE338" s="1439"/>
      <c r="CF338" s="1410"/>
      <c r="CG338" s="207"/>
      <c r="CH338" s="1410"/>
      <c r="CI338" s="1410"/>
      <c r="CJ338" s="207"/>
      <c r="CK338" s="1410"/>
      <c r="CL338" s="1410"/>
      <c r="CM338" s="205"/>
      <c r="CN338" s="1416"/>
    </row>
    <row r="339" spans="2:92" ht="57" customHeight="1" x14ac:dyDescent="0.2">
      <c r="B339" s="1455"/>
      <c r="C339" s="1314"/>
      <c r="D339" s="1352"/>
      <c r="E339" s="1311"/>
      <c r="F339" s="1317"/>
      <c r="G339" s="315" t="str">
        <f>+'Plan de Accion apoyo transversa'!X101</f>
        <v>Actividad cultural y artística de Cine realizada</v>
      </c>
      <c r="H339" s="1305"/>
      <c r="J339" s="1308"/>
      <c r="K339" s="1291"/>
      <c r="L339" s="1291"/>
      <c r="M339" s="1291"/>
      <c r="N339" s="1291"/>
      <c r="O339" s="1294"/>
      <c r="P339" s="216"/>
      <c r="Q339" s="1308"/>
      <c r="R339" s="1291"/>
      <c r="S339" s="1291"/>
      <c r="T339" s="1291"/>
      <c r="U339" s="1291"/>
      <c r="V339" s="1294"/>
      <c r="W339" s="216"/>
      <c r="X339" s="1308"/>
      <c r="Y339" s="1291"/>
      <c r="Z339" s="1291"/>
      <c r="AA339" s="1297"/>
      <c r="AB339" s="1297"/>
      <c r="AC339" s="1300"/>
      <c r="AD339" s="216"/>
      <c r="AE339" s="1308"/>
      <c r="AF339" s="1291"/>
      <c r="AG339" s="1291"/>
      <c r="AH339" s="1291"/>
      <c r="AI339" s="1294"/>
      <c r="AJ339" s="1433"/>
      <c r="AL339" s="1436"/>
      <c r="AM339" s="1410"/>
      <c r="AN339" s="207"/>
      <c r="AO339" s="1439"/>
      <c r="AP339" s="1410"/>
      <c r="AQ339" s="207"/>
      <c r="AR339" s="1410"/>
      <c r="AS339" s="1410"/>
      <c r="AT339" s="207"/>
      <c r="AU339" s="1410"/>
      <c r="AV339" s="1410"/>
      <c r="AW339" s="205"/>
      <c r="AX339" s="1416"/>
      <c r="AZ339" s="1436"/>
      <c r="BA339" s="1410"/>
      <c r="BB339" s="207"/>
      <c r="BC339" s="1439"/>
      <c r="BD339" s="1410"/>
      <c r="BE339" s="207"/>
      <c r="BF339" s="1410"/>
      <c r="BG339" s="1410"/>
      <c r="BH339" s="207"/>
      <c r="BI339" s="1410"/>
      <c r="BJ339" s="1410"/>
      <c r="BK339" s="205"/>
      <c r="BL339" s="1416"/>
      <c r="BN339" s="1436"/>
      <c r="BO339" s="1410"/>
      <c r="BP339" s="207"/>
      <c r="BQ339" s="1439"/>
      <c r="BR339" s="1410"/>
      <c r="BS339" s="207"/>
      <c r="BT339" s="1410"/>
      <c r="BU339" s="1410"/>
      <c r="BV339" s="207"/>
      <c r="BW339" s="1410"/>
      <c r="BX339" s="1410"/>
      <c r="BY339" s="205"/>
      <c r="BZ339" s="1416"/>
      <c r="CB339" s="1436"/>
      <c r="CC339" s="1410"/>
      <c r="CD339" s="207"/>
      <c r="CE339" s="1439"/>
      <c r="CF339" s="1410"/>
      <c r="CG339" s="207"/>
      <c r="CH339" s="1410"/>
      <c r="CI339" s="1410"/>
      <c r="CJ339" s="207"/>
      <c r="CK339" s="1410"/>
      <c r="CL339" s="1410"/>
      <c r="CM339" s="205"/>
      <c r="CN339" s="1416"/>
    </row>
    <row r="340" spans="2:92" ht="28.5" x14ac:dyDescent="0.2">
      <c r="B340" s="1455"/>
      <c r="C340" s="1314"/>
      <c r="D340" s="1352"/>
      <c r="E340" s="1311"/>
      <c r="F340" s="1317"/>
      <c r="G340" s="315" t="str">
        <f>+'Plan de Accion apoyo transversa'!X102</f>
        <v>Actividad cultural y artística de Taller de cocina realizada</v>
      </c>
      <c r="H340" s="1305"/>
      <c r="J340" s="1308"/>
      <c r="K340" s="1291"/>
      <c r="L340" s="1291"/>
      <c r="M340" s="1291"/>
      <c r="N340" s="1291"/>
      <c r="O340" s="1294"/>
      <c r="P340" s="216"/>
      <c r="Q340" s="1308"/>
      <c r="R340" s="1291"/>
      <c r="S340" s="1291"/>
      <c r="T340" s="1291"/>
      <c r="U340" s="1291"/>
      <c r="V340" s="1294"/>
      <c r="W340" s="216"/>
      <c r="X340" s="1308"/>
      <c r="Y340" s="1291"/>
      <c r="Z340" s="1291"/>
      <c r="AA340" s="1297"/>
      <c r="AB340" s="1297"/>
      <c r="AC340" s="1300"/>
      <c r="AD340" s="216"/>
      <c r="AE340" s="1308"/>
      <c r="AF340" s="1291"/>
      <c r="AG340" s="1291"/>
      <c r="AH340" s="1291"/>
      <c r="AI340" s="1294"/>
      <c r="AJ340" s="1433"/>
      <c r="AL340" s="1436"/>
      <c r="AM340" s="1410"/>
      <c r="AN340" s="207"/>
      <c r="AO340" s="1439"/>
      <c r="AP340" s="1410"/>
      <c r="AQ340" s="207"/>
      <c r="AR340" s="1410"/>
      <c r="AS340" s="1410"/>
      <c r="AT340" s="207"/>
      <c r="AU340" s="1410"/>
      <c r="AV340" s="1410"/>
      <c r="AW340" s="205"/>
      <c r="AX340" s="1416"/>
      <c r="AZ340" s="1436"/>
      <c r="BA340" s="1410"/>
      <c r="BB340" s="207"/>
      <c r="BC340" s="1439"/>
      <c r="BD340" s="1410"/>
      <c r="BE340" s="207"/>
      <c r="BF340" s="1410"/>
      <c r="BG340" s="1410"/>
      <c r="BH340" s="207"/>
      <c r="BI340" s="1410"/>
      <c r="BJ340" s="1410"/>
      <c r="BK340" s="205"/>
      <c r="BL340" s="1416"/>
      <c r="BN340" s="1436"/>
      <c r="BO340" s="1410"/>
      <c r="BP340" s="207"/>
      <c r="BQ340" s="1439"/>
      <c r="BR340" s="1410"/>
      <c r="BS340" s="207"/>
      <c r="BT340" s="1410"/>
      <c r="BU340" s="1410"/>
      <c r="BV340" s="207"/>
      <c r="BW340" s="1410"/>
      <c r="BX340" s="1410"/>
      <c r="BY340" s="205"/>
      <c r="BZ340" s="1416"/>
      <c r="CB340" s="1436"/>
      <c r="CC340" s="1410"/>
      <c r="CD340" s="207"/>
      <c r="CE340" s="1439"/>
      <c r="CF340" s="1410"/>
      <c r="CG340" s="207"/>
      <c r="CH340" s="1410"/>
      <c r="CI340" s="1410"/>
      <c r="CJ340" s="207"/>
      <c r="CK340" s="1410"/>
      <c r="CL340" s="1410"/>
      <c r="CM340" s="205"/>
      <c r="CN340" s="1416"/>
    </row>
    <row r="341" spans="2:92" ht="28.5" x14ac:dyDescent="0.2">
      <c r="B341" s="1455"/>
      <c r="C341" s="1314"/>
      <c r="D341" s="1352"/>
      <c r="E341" s="1311"/>
      <c r="F341" s="1317"/>
      <c r="G341" s="315" t="str">
        <f>+'Plan de Accion apoyo transversa'!X103</f>
        <v>Actividad social de Dia de la familia realizada</v>
      </c>
      <c r="H341" s="1305"/>
      <c r="J341" s="1308"/>
      <c r="K341" s="1291"/>
      <c r="L341" s="1291"/>
      <c r="M341" s="1291"/>
      <c r="N341" s="1291"/>
      <c r="O341" s="1294"/>
      <c r="P341" s="216"/>
      <c r="Q341" s="1308"/>
      <c r="R341" s="1291"/>
      <c r="S341" s="1291"/>
      <c r="T341" s="1291"/>
      <c r="U341" s="1291"/>
      <c r="V341" s="1294"/>
      <c r="W341" s="216"/>
      <c r="X341" s="1308"/>
      <c r="Y341" s="1291"/>
      <c r="Z341" s="1291"/>
      <c r="AA341" s="1297"/>
      <c r="AB341" s="1297"/>
      <c r="AC341" s="1300"/>
      <c r="AD341" s="216"/>
      <c r="AE341" s="1308"/>
      <c r="AF341" s="1291"/>
      <c r="AG341" s="1291"/>
      <c r="AH341" s="1291"/>
      <c r="AI341" s="1294"/>
      <c r="AJ341" s="1433"/>
      <c r="AL341" s="1436"/>
      <c r="AM341" s="1410"/>
      <c r="AN341" s="207"/>
      <c r="AO341" s="1439"/>
      <c r="AP341" s="1410"/>
      <c r="AQ341" s="207"/>
      <c r="AR341" s="1410"/>
      <c r="AS341" s="1410"/>
      <c r="AT341" s="207"/>
      <c r="AU341" s="1410"/>
      <c r="AV341" s="1410"/>
      <c r="AW341" s="205"/>
      <c r="AX341" s="1416"/>
      <c r="AZ341" s="1436"/>
      <c r="BA341" s="1410"/>
      <c r="BB341" s="207"/>
      <c r="BC341" s="1439"/>
      <c r="BD341" s="1410"/>
      <c r="BE341" s="207"/>
      <c r="BF341" s="1410"/>
      <c r="BG341" s="1410"/>
      <c r="BH341" s="207"/>
      <c r="BI341" s="1410"/>
      <c r="BJ341" s="1410"/>
      <c r="BK341" s="205"/>
      <c r="BL341" s="1416"/>
      <c r="BN341" s="1436"/>
      <c r="BO341" s="1410"/>
      <c r="BP341" s="207"/>
      <c r="BQ341" s="1439"/>
      <c r="BR341" s="1410"/>
      <c r="BS341" s="207"/>
      <c r="BT341" s="1410"/>
      <c r="BU341" s="1410"/>
      <c r="BV341" s="207"/>
      <c r="BW341" s="1410"/>
      <c r="BX341" s="1410"/>
      <c r="BY341" s="205"/>
      <c r="BZ341" s="1416"/>
      <c r="CB341" s="1436"/>
      <c r="CC341" s="1410"/>
      <c r="CD341" s="207"/>
      <c r="CE341" s="1439"/>
      <c r="CF341" s="1410"/>
      <c r="CG341" s="207"/>
      <c r="CH341" s="1410"/>
      <c r="CI341" s="1410"/>
      <c r="CJ341" s="207"/>
      <c r="CK341" s="1410"/>
      <c r="CL341" s="1410"/>
      <c r="CM341" s="205"/>
      <c r="CN341" s="1416"/>
    </row>
    <row r="342" spans="2:92" ht="57" customHeight="1" x14ac:dyDescent="0.2">
      <c r="B342" s="1455"/>
      <c r="C342" s="1314"/>
      <c r="D342" s="1352"/>
      <c r="E342" s="1311"/>
      <c r="F342" s="1317"/>
      <c r="G342" s="315" t="str">
        <f>+'Plan de Accion apoyo transversa'!X104</f>
        <v>Actividad social de Dia Internacional de la Mujer realizada</v>
      </c>
      <c r="H342" s="1305"/>
      <c r="J342" s="1308"/>
      <c r="K342" s="1291"/>
      <c r="L342" s="1291"/>
      <c r="M342" s="1291"/>
      <c r="N342" s="1291"/>
      <c r="O342" s="1294"/>
      <c r="P342" s="216"/>
      <c r="Q342" s="1308"/>
      <c r="R342" s="1291"/>
      <c r="S342" s="1291"/>
      <c r="T342" s="1291"/>
      <c r="U342" s="1291"/>
      <c r="V342" s="1294"/>
      <c r="W342" s="216"/>
      <c r="X342" s="1308"/>
      <c r="Y342" s="1291"/>
      <c r="Z342" s="1291"/>
      <c r="AA342" s="1297"/>
      <c r="AB342" s="1297"/>
      <c r="AC342" s="1300"/>
      <c r="AD342" s="216"/>
      <c r="AE342" s="1308"/>
      <c r="AF342" s="1291"/>
      <c r="AG342" s="1291"/>
      <c r="AH342" s="1291"/>
      <c r="AI342" s="1294"/>
      <c r="AJ342" s="1433"/>
      <c r="AL342" s="1436"/>
      <c r="AM342" s="1410"/>
      <c r="AN342" s="207"/>
      <c r="AO342" s="1439"/>
      <c r="AP342" s="1410"/>
      <c r="AQ342" s="207"/>
      <c r="AR342" s="1410"/>
      <c r="AS342" s="1410"/>
      <c r="AT342" s="207"/>
      <c r="AU342" s="1410"/>
      <c r="AV342" s="1410"/>
      <c r="AW342" s="205"/>
      <c r="AX342" s="1416"/>
      <c r="AZ342" s="1436"/>
      <c r="BA342" s="1410"/>
      <c r="BB342" s="207"/>
      <c r="BC342" s="1439"/>
      <c r="BD342" s="1410"/>
      <c r="BE342" s="207"/>
      <c r="BF342" s="1410"/>
      <c r="BG342" s="1410"/>
      <c r="BH342" s="207"/>
      <c r="BI342" s="1410"/>
      <c r="BJ342" s="1410"/>
      <c r="BK342" s="205"/>
      <c r="BL342" s="1416"/>
      <c r="BN342" s="1436"/>
      <c r="BO342" s="1410"/>
      <c r="BP342" s="207"/>
      <c r="BQ342" s="1439"/>
      <c r="BR342" s="1410"/>
      <c r="BS342" s="207"/>
      <c r="BT342" s="1410"/>
      <c r="BU342" s="1410"/>
      <c r="BV342" s="207"/>
      <c r="BW342" s="1410"/>
      <c r="BX342" s="1410"/>
      <c r="BY342" s="205"/>
      <c r="BZ342" s="1416"/>
      <c r="CB342" s="1436"/>
      <c r="CC342" s="1410"/>
      <c r="CD342" s="207"/>
      <c r="CE342" s="1439"/>
      <c r="CF342" s="1410"/>
      <c r="CG342" s="207"/>
      <c r="CH342" s="1410"/>
      <c r="CI342" s="1410"/>
      <c r="CJ342" s="207"/>
      <c r="CK342" s="1410"/>
      <c r="CL342" s="1410"/>
      <c r="CM342" s="205"/>
      <c r="CN342" s="1416"/>
    </row>
    <row r="343" spans="2:92" ht="57" x14ac:dyDescent="0.2">
      <c r="B343" s="1455"/>
      <c r="C343" s="1314"/>
      <c r="D343" s="1352"/>
      <c r="E343" s="1311"/>
      <c r="F343" s="1317"/>
      <c r="G343" s="315" t="str">
        <f>+'Plan de Accion apoyo transversa'!X105</f>
        <v>Actividades de navidad (novenas del 16 al 20 de diciembre de 2019) realizadas</v>
      </c>
      <c r="H343" s="1305"/>
      <c r="J343" s="1308"/>
      <c r="K343" s="1291"/>
      <c r="L343" s="1291"/>
      <c r="M343" s="1291"/>
      <c r="N343" s="1291"/>
      <c r="O343" s="1294"/>
      <c r="P343" s="216"/>
      <c r="Q343" s="1308"/>
      <c r="R343" s="1291"/>
      <c r="S343" s="1291"/>
      <c r="T343" s="1291"/>
      <c r="U343" s="1291"/>
      <c r="V343" s="1294"/>
      <c r="W343" s="216"/>
      <c r="X343" s="1308"/>
      <c r="Y343" s="1291"/>
      <c r="Z343" s="1291"/>
      <c r="AA343" s="1297"/>
      <c r="AB343" s="1297"/>
      <c r="AC343" s="1300"/>
      <c r="AD343" s="216"/>
      <c r="AE343" s="1308"/>
      <c r="AF343" s="1291"/>
      <c r="AG343" s="1291"/>
      <c r="AH343" s="1291"/>
      <c r="AI343" s="1294"/>
      <c r="AJ343" s="1433"/>
      <c r="AL343" s="1436"/>
      <c r="AM343" s="1410"/>
      <c r="AN343" s="207"/>
      <c r="AO343" s="1439"/>
      <c r="AP343" s="1410"/>
      <c r="AQ343" s="207"/>
      <c r="AR343" s="1410"/>
      <c r="AS343" s="1410"/>
      <c r="AT343" s="207"/>
      <c r="AU343" s="1410"/>
      <c r="AV343" s="1410"/>
      <c r="AW343" s="205"/>
      <c r="AX343" s="1416"/>
      <c r="AZ343" s="1436"/>
      <c r="BA343" s="1410"/>
      <c r="BB343" s="207"/>
      <c r="BC343" s="1439"/>
      <c r="BD343" s="1410"/>
      <c r="BE343" s="207"/>
      <c r="BF343" s="1410"/>
      <c r="BG343" s="1410"/>
      <c r="BH343" s="207"/>
      <c r="BI343" s="1410"/>
      <c r="BJ343" s="1410"/>
      <c r="BK343" s="205"/>
      <c r="BL343" s="1416"/>
      <c r="BN343" s="1436"/>
      <c r="BO343" s="1410"/>
      <c r="BP343" s="207"/>
      <c r="BQ343" s="1439"/>
      <c r="BR343" s="1410"/>
      <c r="BS343" s="207"/>
      <c r="BT343" s="1410"/>
      <c r="BU343" s="1410"/>
      <c r="BV343" s="207"/>
      <c r="BW343" s="1410"/>
      <c r="BX343" s="1410"/>
      <c r="BY343" s="205"/>
      <c r="BZ343" s="1416"/>
      <c r="CB343" s="1436"/>
      <c r="CC343" s="1410"/>
      <c r="CD343" s="207"/>
      <c r="CE343" s="1439"/>
      <c r="CF343" s="1410"/>
      <c r="CG343" s="207"/>
      <c r="CH343" s="1410"/>
      <c r="CI343" s="1410"/>
      <c r="CJ343" s="207"/>
      <c r="CK343" s="1410"/>
      <c r="CL343" s="1410"/>
      <c r="CM343" s="205"/>
      <c r="CN343" s="1416"/>
    </row>
    <row r="344" spans="2:92" ht="28.5" x14ac:dyDescent="0.2">
      <c r="B344" s="1455"/>
      <c r="C344" s="1314"/>
      <c r="D344" s="1352"/>
      <c r="E344" s="1311"/>
      <c r="F344" s="1317"/>
      <c r="G344" s="315" t="str">
        <f>+'Plan de Accion apoyo transversa'!X106</f>
        <v>Actividad social de Dia del servidor público realizada</v>
      </c>
      <c r="H344" s="1305"/>
      <c r="J344" s="1308"/>
      <c r="K344" s="1291"/>
      <c r="L344" s="1291"/>
      <c r="M344" s="1291"/>
      <c r="N344" s="1291"/>
      <c r="O344" s="1294"/>
      <c r="P344" s="216"/>
      <c r="Q344" s="1308"/>
      <c r="R344" s="1291"/>
      <c r="S344" s="1291"/>
      <c r="T344" s="1291"/>
      <c r="U344" s="1291"/>
      <c r="V344" s="1294"/>
      <c r="W344" s="216"/>
      <c r="X344" s="1308"/>
      <c r="Y344" s="1291"/>
      <c r="Z344" s="1291"/>
      <c r="AA344" s="1297"/>
      <c r="AB344" s="1297"/>
      <c r="AC344" s="1300"/>
      <c r="AD344" s="216"/>
      <c r="AE344" s="1308"/>
      <c r="AF344" s="1291"/>
      <c r="AG344" s="1291"/>
      <c r="AH344" s="1291"/>
      <c r="AI344" s="1294"/>
      <c r="AJ344" s="1433"/>
      <c r="AL344" s="1436"/>
      <c r="AM344" s="1410"/>
      <c r="AN344" s="207"/>
      <c r="AO344" s="1439"/>
      <c r="AP344" s="1410"/>
      <c r="AQ344" s="207"/>
      <c r="AR344" s="1410"/>
      <c r="AS344" s="1410"/>
      <c r="AT344" s="207"/>
      <c r="AU344" s="1410"/>
      <c r="AV344" s="1410"/>
      <c r="AW344" s="205"/>
      <c r="AX344" s="1416"/>
      <c r="AZ344" s="1436"/>
      <c r="BA344" s="1410"/>
      <c r="BB344" s="207"/>
      <c r="BC344" s="1439"/>
      <c r="BD344" s="1410"/>
      <c r="BE344" s="207"/>
      <c r="BF344" s="1410"/>
      <c r="BG344" s="1410"/>
      <c r="BH344" s="207"/>
      <c r="BI344" s="1410"/>
      <c r="BJ344" s="1410"/>
      <c r="BK344" s="205"/>
      <c r="BL344" s="1416"/>
      <c r="BN344" s="1436"/>
      <c r="BO344" s="1410"/>
      <c r="BP344" s="207"/>
      <c r="BQ344" s="1439"/>
      <c r="BR344" s="1410"/>
      <c r="BS344" s="207"/>
      <c r="BT344" s="1410"/>
      <c r="BU344" s="1410"/>
      <c r="BV344" s="207"/>
      <c r="BW344" s="1410"/>
      <c r="BX344" s="1410"/>
      <c r="BY344" s="205"/>
      <c r="BZ344" s="1416"/>
      <c r="CB344" s="1436"/>
      <c r="CC344" s="1410"/>
      <c r="CD344" s="207"/>
      <c r="CE344" s="1439"/>
      <c r="CF344" s="1410"/>
      <c r="CG344" s="207"/>
      <c r="CH344" s="1410"/>
      <c r="CI344" s="1410"/>
      <c r="CJ344" s="207"/>
      <c r="CK344" s="1410"/>
      <c r="CL344" s="1410"/>
      <c r="CM344" s="205"/>
      <c r="CN344" s="1416"/>
    </row>
    <row r="345" spans="2:92" ht="28.5" x14ac:dyDescent="0.2">
      <c r="B345" s="1455"/>
      <c r="C345" s="1314"/>
      <c r="D345" s="1352"/>
      <c r="E345" s="1311"/>
      <c r="F345" s="1317"/>
      <c r="G345" s="315" t="str">
        <f>+'Plan de Accion apoyo transversa'!X107</f>
        <v>Plan prepensionados realizado</v>
      </c>
      <c r="H345" s="1305"/>
      <c r="J345" s="1308"/>
      <c r="K345" s="1291"/>
      <c r="L345" s="1291"/>
      <c r="M345" s="1291"/>
      <c r="N345" s="1291"/>
      <c r="O345" s="1294"/>
      <c r="P345" s="216"/>
      <c r="Q345" s="1308"/>
      <c r="R345" s="1291"/>
      <c r="S345" s="1291"/>
      <c r="T345" s="1291"/>
      <c r="U345" s="1291"/>
      <c r="V345" s="1294"/>
      <c r="W345" s="216"/>
      <c r="X345" s="1308"/>
      <c r="Y345" s="1291"/>
      <c r="Z345" s="1291"/>
      <c r="AA345" s="1297"/>
      <c r="AB345" s="1297"/>
      <c r="AC345" s="1300"/>
      <c r="AD345" s="216"/>
      <c r="AE345" s="1308"/>
      <c r="AF345" s="1291"/>
      <c r="AG345" s="1291"/>
      <c r="AH345" s="1291"/>
      <c r="AI345" s="1294"/>
      <c r="AJ345" s="1433"/>
      <c r="AL345" s="1436"/>
      <c r="AM345" s="1410"/>
      <c r="AN345" s="207"/>
      <c r="AO345" s="1439"/>
      <c r="AP345" s="1410"/>
      <c r="AQ345" s="207"/>
      <c r="AR345" s="1410"/>
      <c r="AS345" s="1410"/>
      <c r="AT345" s="207"/>
      <c r="AU345" s="1410"/>
      <c r="AV345" s="1410"/>
      <c r="AW345" s="205"/>
      <c r="AX345" s="1416"/>
      <c r="AZ345" s="1436"/>
      <c r="BA345" s="1410"/>
      <c r="BB345" s="207"/>
      <c r="BC345" s="1439"/>
      <c r="BD345" s="1410"/>
      <c r="BE345" s="207"/>
      <c r="BF345" s="1410"/>
      <c r="BG345" s="1410"/>
      <c r="BH345" s="207"/>
      <c r="BI345" s="1410"/>
      <c r="BJ345" s="1410"/>
      <c r="BK345" s="205"/>
      <c r="BL345" s="1416"/>
      <c r="BN345" s="1436"/>
      <c r="BO345" s="1410"/>
      <c r="BP345" s="207"/>
      <c r="BQ345" s="1439"/>
      <c r="BR345" s="1410"/>
      <c r="BS345" s="207"/>
      <c r="BT345" s="1410"/>
      <c r="BU345" s="1410"/>
      <c r="BV345" s="207"/>
      <c r="BW345" s="1410"/>
      <c r="BX345" s="1410"/>
      <c r="BY345" s="205"/>
      <c r="BZ345" s="1416"/>
      <c r="CB345" s="1436"/>
      <c r="CC345" s="1410"/>
      <c r="CD345" s="207"/>
      <c r="CE345" s="1439"/>
      <c r="CF345" s="1410"/>
      <c r="CG345" s="207"/>
      <c r="CH345" s="1410"/>
      <c r="CI345" s="1410"/>
      <c r="CJ345" s="207"/>
      <c r="CK345" s="1410"/>
      <c r="CL345" s="1410"/>
      <c r="CM345" s="205"/>
      <c r="CN345" s="1416"/>
    </row>
    <row r="346" spans="2:92" ht="42.75" x14ac:dyDescent="0.2">
      <c r="B346" s="1455"/>
      <c r="C346" s="1314"/>
      <c r="D346" s="1352"/>
      <c r="E346" s="1311"/>
      <c r="F346" s="1317"/>
      <c r="G346" s="315" t="str">
        <f>+'Plan de Accion apoyo transversa'!X108</f>
        <v>Jornada de salud sobre: Prevención cardiovascular realizada</v>
      </c>
      <c r="H346" s="1305"/>
      <c r="J346" s="1308"/>
      <c r="K346" s="1291"/>
      <c r="L346" s="1291"/>
      <c r="M346" s="1291"/>
      <c r="N346" s="1291"/>
      <c r="O346" s="1294"/>
      <c r="P346" s="216"/>
      <c r="Q346" s="1308"/>
      <c r="R346" s="1291"/>
      <c r="S346" s="1291"/>
      <c r="T346" s="1291"/>
      <c r="U346" s="1291"/>
      <c r="V346" s="1294"/>
      <c r="W346" s="216"/>
      <c r="X346" s="1308"/>
      <c r="Y346" s="1291"/>
      <c r="Z346" s="1291"/>
      <c r="AA346" s="1297"/>
      <c r="AB346" s="1297"/>
      <c r="AC346" s="1300"/>
      <c r="AD346" s="216"/>
      <c r="AE346" s="1308"/>
      <c r="AF346" s="1291"/>
      <c r="AG346" s="1291"/>
      <c r="AH346" s="1291"/>
      <c r="AI346" s="1294"/>
      <c r="AJ346" s="1433"/>
      <c r="AL346" s="1436"/>
      <c r="AM346" s="1410"/>
      <c r="AN346" s="207"/>
      <c r="AO346" s="1439"/>
      <c r="AP346" s="1410"/>
      <c r="AQ346" s="207"/>
      <c r="AR346" s="1410"/>
      <c r="AS346" s="1410"/>
      <c r="AT346" s="207"/>
      <c r="AU346" s="1410"/>
      <c r="AV346" s="1410"/>
      <c r="AW346" s="205"/>
      <c r="AX346" s="1416"/>
      <c r="AZ346" s="1436"/>
      <c r="BA346" s="1410"/>
      <c r="BB346" s="207"/>
      <c r="BC346" s="1439"/>
      <c r="BD346" s="1410"/>
      <c r="BE346" s="207"/>
      <c r="BF346" s="1410"/>
      <c r="BG346" s="1410"/>
      <c r="BH346" s="207"/>
      <c r="BI346" s="1410"/>
      <c r="BJ346" s="1410"/>
      <c r="BK346" s="205"/>
      <c r="BL346" s="1416"/>
      <c r="BN346" s="1436"/>
      <c r="BO346" s="1410"/>
      <c r="BP346" s="207"/>
      <c r="BQ346" s="1439"/>
      <c r="BR346" s="1410"/>
      <c r="BS346" s="207"/>
      <c r="BT346" s="1410"/>
      <c r="BU346" s="1410"/>
      <c r="BV346" s="207"/>
      <c r="BW346" s="1410"/>
      <c r="BX346" s="1410"/>
      <c r="BY346" s="205"/>
      <c r="BZ346" s="1416"/>
      <c r="CB346" s="1436"/>
      <c r="CC346" s="1410"/>
      <c r="CD346" s="207"/>
      <c r="CE346" s="1439"/>
      <c r="CF346" s="1410"/>
      <c r="CG346" s="207"/>
      <c r="CH346" s="1410"/>
      <c r="CI346" s="1410"/>
      <c r="CJ346" s="207"/>
      <c r="CK346" s="1410"/>
      <c r="CL346" s="1410"/>
      <c r="CM346" s="205"/>
      <c r="CN346" s="1416"/>
    </row>
    <row r="347" spans="2:92" ht="28.5" x14ac:dyDescent="0.2">
      <c r="B347" s="1455"/>
      <c r="C347" s="1314"/>
      <c r="D347" s="1352"/>
      <c r="E347" s="1311"/>
      <c r="F347" s="1317"/>
      <c r="G347" s="315" t="str">
        <f>+'Plan de Accion apoyo transversa'!X109</f>
        <v>Jornada de salud sobre: Pausas activas realizadas</v>
      </c>
      <c r="H347" s="1305"/>
      <c r="J347" s="1308"/>
      <c r="K347" s="1291"/>
      <c r="L347" s="1291"/>
      <c r="M347" s="1291"/>
      <c r="N347" s="1291"/>
      <c r="O347" s="1294"/>
      <c r="P347" s="216"/>
      <c r="Q347" s="1308"/>
      <c r="R347" s="1291"/>
      <c r="S347" s="1291"/>
      <c r="T347" s="1291"/>
      <c r="U347" s="1291"/>
      <c r="V347" s="1294"/>
      <c r="W347" s="216"/>
      <c r="X347" s="1308"/>
      <c r="Y347" s="1291"/>
      <c r="Z347" s="1291"/>
      <c r="AA347" s="1297"/>
      <c r="AB347" s="1297"/>
      <c r="AC347" s="1300"/>
      <c r="AD347" s="216"/>
      <c r="AE347" s="1308"/>
      <c r="AF347" s="1291"/>
      <c r="AG347" s="1291"/>
      <c r="AH347" s="1291"/>
      <c r="AI347" s="1294"/>
      <c r="AJ347" s="1433"/>
      <c r="AL347" s="1436"/>
      <c r="AM347" s="1410"/>
      <c r="AN347" s="207"/>
      <c r="AO347" s="1439"/>
      <c r="AP347" s="1410"/>
      <c r="AQ347" s="207"/>
      <c r="AR347" s="1410"/>
      <c r="AS347" s="1410"/>
      <c r="AT347" s="207"/>
      <c r="AU347" s="1410"/>
      <c r="AV347" s="1410"/>
      <c r="AW347" s="205"/>
      <c r="AX347" s="1416"/>
      <c r="AZ347" s="1436"/>
      <c r="BA347" s="1410"/>
      <c r="BB347" s="207"/>
      <c r="BC347" s="1439"/>
      <c r="BD347" s="1410"/>
      <c r="BE347" s="207"/>
      <c r="BF347" s="1410"/>
      <c r="BG347" s="1410"/>
      <c r="BH347" s="207"/>
      <c r="BI347" s="1410"/>
      <c r="BJ347" s="1410"/>
      <c r="BK347" s="205"/>
      <c r="BL347" s="1416"/>
      <c r="BN347" s="1436"/>
      <c r="BO347" s="1410"/>
      <c r="BP347" s="207"/>
      <c r="BQ347" s="1439"/>
      <c r="BR347" s="1410"/>
      <c r="BS347" s="207"/>
      <c r="BT347" s="1410"/>
      <c r="BU347" s="1410"/>
      <c r="BV347" s="207"/>
      <c r="BW347" s="1410"/>
      <c r="BX347" s="1410"/>
      <c r="BY347" s="205"/>
      <c r="BZ347" s="1416"/>
      <c r="CB347" s="1436"/>
      <c r="CC347" s="1410"/>
      <c r="CD347" s="207"/>
      <c r="CE347" s="1439"/>
      <c r="CF347" s="1410"/>
      <c r="CG347" s="207"/>
      <c r="CH347" s="1410"/>
      <c r="CI347" s="1410"/>
      <c r="CJ347" s="207"/>
      <c r="CK347" s="1410"/>
      <c r="CL347" s="1410"/>
      <c r="CM347" s="205"/>
      <c r="CN347" s="1416"/>
    </row>
    <row r="348" spans="2:92" ht="28.5" x14ac:dyDescent="0.2">
      <c r="B348" s="1455"/>
      <c r="C348" s="1314"/>
      <c r="D348" s="1352"/>
      <c r="E348" s="1311"/>
      <c r="F348" s="1317"/>
      <c r="G348" s="315" t="str">
        <f>+'Plan de Accion apoyo transversa'!X110</f>
        <v>Actividad de Incentivos realizada</v>
      </c>
      <c r="H348" s="1305"/>
      <c r="J348" s="1308"/>
      <c r="K348" s="1291"/>
      <c r="L348" s="1291"/>
      <c r="M348" s="1291"/>
      <c r="N348" s="1291"/>
      <c r="O348" s="1294"/>
      <c r="P348" s="216"/>
      <c r="Q348" s="1308"/>
      <c r="R348" s="1291"/>
      <c r="S348" s="1291"/>
      <c r="T348" s="1291"/>
      <c r="U348" s="1291"/>
      <c r="V348" s="1294"/>
      <c r="W348" s="216"/>
      <c r="X348" s="1308"/>
      <c r="Y348" s="1291"/>
      <c r="Z348" s="1291"/>
      <c r="AA348" s="1297"/>
      <c r="AB348" s="1297"/>
      <c r="AC348" s="1300"/>
      <c r="AD348" s="216"/>
      <c r="AE348" s="1308"/>
      <c r="AF348" s="1291"/>
      <c r="AG348" s="1291"/>
      <c r="AH348" s="1291"/>
      <c r="AI348" s="1294"/>
      <c r="AJ348" s="1433"/>
      <c r="AL348" s="1436"/>
      <c r="AM348" s="1410"/>
      <c r="AN348" s="207"/>
      <c r="AO348" s="1439"/>
      <c r="AP348" s="1410"/>
      <c r="AQ348" s="207"/>
      <c r="AR348" s="1410"/>
      <c r="AS348" s="1410"/>
      <c r="AT348" s="207"/>
      <c r="AU348" s="1410"/>
      <c r="AV348" s="1410"/>
      <c r="AW348" s="205"/>
      <c r="AX348" s="1416"/>
      <c r="AZ348" s="1436"/>
      <c r="BA348" s="1410"/>
      <c r="BB348" s="207"/>
      <c r="BC348" s="1439"/>
      <c r="BD348" s="1410"/>
      <c r="BE348" s="207"/>
      <c r="BF348" s="1410"/>
      <c r="BG348" s="1410"/>
      <c r="BH348" s="207"/>
      <c r="BI348" s="1410"/>
      <c r="BJ348" s="1410"/>
      <c r="BK348" s="205"/>
      <c r="BL348" s="1416"/>
      <c r="BN348" s="1436"/>
      <c r="BO348" s="1410"/>
      <c r="BP348" s="207"/>
      <c r="BQ348" s="1439"/>
      <c r="BR348" s="1410"/>
      <c r="BS348" s="207"/>
      <c r="BT348" s="1410"/>
      <c r="BU348" s="1410"/>
      <c r="BV348" s="207"/>
      <c r="BW348" s="1410"/>
      <c r="BX348" s="1410"/>
      <c r="BY348" s="205"/>
      <c r="BZ348" s="1416"/>
      <c r="CB348" s="1436"/>
      <c r="CC348" s="1410"/>
      <c r="CD348" s="207"/>
      <c r="CE348" s="1439"/>
      <c r="CF348" s="1410"/>
      <c r="CG348" s="207"/>
      <c r="CH348" s="1410"/>
      <c r="CI348" s="1410"/>
      <c r="CJ348" s="207"/>
      <c r="CK348" s="1410"/>
      <c r="CL348" s="1410"/>
      <c r="CM348" s="205"/>
      <c r="CN348" s="1416"/>
    </row>
    <row r="349" spans="2:92" ht="28.5" x14ac:dyDescent="0.2">
      <c r="B349" s="1455"/>
      <c r="C349" s="1314"/>
      <c r="D349" s="1352"/>
      <c r="E349" s="1311"/>
      <c r="F349" s="1317"/>
      <c r="G349" s="315" t="str">
        <f>+'Plan de Accion apoyo transversa'!X111</f>
        <v>Actividad de Cierre de gestión realizada</v>
      </c>
      <c r="H349" s="1305"/>
      <c r="J349" s="1308"/>
      <c r="K349" s="1291"/>
      <c r="L349" s="1291"/>
      <c r="M349" s="1291"/>
      <c r="N349" s="1291"/>
      <c r="O349" s="1294"/>
      <c r="P349" s="216"/>
      <c r="Q349" s="1308"/>
      <c r="R349" s="1291"/>
      <c r="S349" s="1291"/>
      <c r="T349" s="1291"/>
      <c r="U349" s="1291"/>
      <c r="V349" s="1294"/>
      <c r="W349" s="216"/>
      <c r="X349" s="1308"/>
      <c r="Y349" s="1291"/>
      <c r="Z349" s="1291"/>
      <c r="AA349" s="1297"/>
      <c r="AB349" s="1297"/>
      <c r="AC349" s="1300"/>
      <c r="AD349" s="216"/>
      <c r="AE349" s="1308"/>
      <c r="AF349" s="1291"/>
      <c r="AG349" s="1291"/>
      <c r="AH349" s="1291"/>
      <c r="AI349" s="1294"/>
      <c r="AJ349" s="1433"/>
      <c r="AL349" s="1436"/>
      <c r="AM349" s="1410"/>
      <c r="AN349" s="207"/>
      <c r="AO349" s="1439"/>
      <c r="AP349" s="1410"/>
      <c r="AQ349" s="207"/>
      <c r="AR349" s="1410"/>
      <c r="AS349" s="1410"/>
      <c r="AT349" s="207"/>
      <c r="AU349" s="1410"/>
      <c r="AV349" s="1410"/>
      <c r="AW349" s="205"/>
      <c r="AX349" s="1416"/>
      <c r="AZ349" s="1436"/>
      <c r="BA349" s="1410"/>
      <c r="BB349" s="207"/>
      <c r="BC349" s="1439"/>
      <c r="BD349" s="1410"/>
      <c r="BE349" s="207"/>
      <c r="BF349" s="1410"/>
      <c r="BG349" s="1410"/>
      <c r="BH349" s="207"/>
      <c r="BI349" s="1410"/>
      <c r="BJ349" s="1410"/>
      <c r="BK349" s="205"/>
      <c r="BL349" s="1416"/>
      <c r="BN349" s="1436"/>
      <c r="BO349" s="1410"/>
      <c r="BP349" s="207"/>
      <c r="BQ349" s="1439"/>
      <c r="BR349" s="1410"/>
      <c r="BS349" s="207"/>
      <c r="BT349" s="1410"/>
      <c r="BU349" s="1410"/>
      <c r="BV349" s="207"/>
      <c r="BW349" s="1410"/>
      <c r="BX349" s="1410"/>
      <c r="BY349" s="205"/>
      <c r="BZ349" s="1416"/>
      <c r="CB349" s="1436"/>
      <c r="CC349" s="1410"/>
      <c r="CD349" s="207"/>
      <c r="CE349" s="1439"/>
      <c r="CF349" s="1410"/>
      <c r="CG349" s="207"/>
      <c r="CH349" s="1410"/>
      <c r="CI349" s="1410"/>
      <c r="CJ349" s="207"/>
      <c r="CK349" s="1410"/>
      <c r="CL349" s="1410"/>
      <c r="CM349" s="205"/>
      <c r="CN349" s="1416"/>
    </row>
    <row r="350" spans="2:92" ht="15" x14ac:dyDescent="0.2">
      <c r="B350" s="1455"/>
      <c r="C350" s="1314"/>
      <c r="D350" s="1352"/>
      <c r="E350" s="1311"/>
      <c r="F350" s="1317"/>
      <c r="G350" s="557" t="str">
        <f>+'Plan de Accion apoyo transversa'!X112</f>
        <v>Gimnasio convenio</v>
      </c>
      <c r="H350" s="1306"/>
      <c r="J350" s="1309"/>
      <c r="K350" s="1292"/>
      <c r="L350" s="1292"/>
      <c r="M350" s="1292"/>
      <c r="N350" s="1292"/>
      <c r="O350" s="1295"/>
      <c r="P350" s="216"/>
      <c r="Q350" s="1309"/>
      <c r="R350" s="1292"/>
      <c r="S350" s="1292"/>
      <c r="T350" s="1292"/>
      <c r="U350" s="1292"/>
      <c r="V350" s="1295"/>
      <c r="W350" s="216"/>
      <c r="X350" s="1309"/>
      <c r="Y350" s="1292"/>
      <c r="Z350" s="1292"/>
      <c r="AA350" s="1298"/>
      <c r="AB350" s="1298"/>
      <c r="AC350" s="1301"/>
      <c r="AD350" s="216"/>
      <c r="AE350" s="1309"/>
      <c r="AF350" s="1292"/>
      <c r="AG350" s="1292"/>
      <c r="AH350" s="1292"/>
      <c r="AI350" s="1295"/>
      <c r="AJ350" s="1433"/>
      <c r="AL350" s="1436"/>
      <c r="AM350" s="1410"/>
      <c r="AN350" s="207"/>
      <c r="AO350" s="1439"/>
      <c r="AP350" s="1410"/>
      <c r="AQ350" s="207"/>
      <c r="AR350" s="1410"/>
      <c r="AS350" s="1410"/>
      <c r="AT350" s="207"/>
      <c r="AU350" s="1410"/>
      <c r="AV350" s="1410"/>
      <c r="AW350" s="205"/>
      <c r="AX350" s="1416"/>
      <c r="AZ350" s="1436"/>
      <c r="BA350" s="1410"/>
      <c r="BB350" s="207"/>
      <c r="BC350" s="1439"/>
      <c r="BD350" s="1410"/>
      <c r="BE350" s="207"/>
      <c r="BF350" s="1410"/>
      <c r="BG350" s="1410"/>
      <c r="BH350" s="207"/>
      <c r="BI350" s="1410"/>
      <c r="BJ350" s="1410"/>
      <c r="BK350" s="205"/>
      <c r="BL350" s="1416"/>
      <c r="BN350" s="1436"/>
      <c r="BO350" s="1410"/>
      <c r="BP350" s="207"/>
      <c r="BQ350" s="1439"/>
      <c r="BR350" s="1410"/>
      <c r="BS350" s="207"/>
      <c r="BT350" s="1410"/>
      <c r="BU350" s="1410"/>
      <c r="BV350" s="207"/>
      <c r="BW350" s="1410"/>
      <c r="BX350" s="1410"/>
      <c r="BY350" s="205"/>
      <c r="BZ350" s="1416"/>
      <c r="CB350" s="1436"/>
      <c r="CC350" s="1410"/>
      <c r="CD350" s="207"/>
      <c r="CE350" s="1439"/>
      <c r="CF350" s="1410"/>
      <c r="CG350" s="207"/>
      <c r="CH350" s="1410"/>
      <c r="CI350" s="1410"/>
      <c r="CJ350" s="207"/>
      <c r="CK350" s="1410"/>
      <c r="CL350" s="1410"/>
      <c r="CM350" s="205"/>
      <c r="CN350" s="1416"/>
    </row>
    <row r="351" spans="2:92" ht="28.5" x14ac:dyDescent="0.2">
      <c r="B351" s="1455"/>
      <c r="C351" s="1314"/>
      <c r="D351" s="1352"/>
      <c r="E351" s="1311"/>
      <c r="F351" s="1317"/>
      <c r="G351" s="315" t="str">
        <f>+'Plan de Accion apoyo transversa'!X114</f>
        <v>Medición del clima laboral realizada</v>
      </c>
      <c r="H351" s="227" t="str">
        <f>+'Plan de Accion apoyo transversa'!AK114</f>
        <v># Actividades de bienestar realizadas</v>
      </c>
      <c r="J351" s="221">
        <f>+'Plan de Accion apoyo transversa'!AT114</f>
        <v>0</v>
      </c>
      <c r="K351" s="483" t="str">
        <f>+'Plan de Accion apoyo transversa'!CE114</f>
        <v>No Prog ni Ejec</v>
      </c>
      <c r="L351" s="483" t="s">
        <v>204</v>
      </c>
      <c r="M351" s="483">
        <f>+'Plan de Accion apoyo transversa'!AX114</f>
        <v>0</v>
      </c>
      <c r="N351" s="483">
        <f t="shared" si="287"/>
        <v>0</v>
      </c>
      <c r="O351" s="485" t="s">
        <v>204</v>
      </c>
      <c r="P351" s="216"/>
      <c r="Q351" s="221">
        <f>+'Plan de Accion apoyo transversa'!BD114</f>
        <v>0</v>
      </c>
      <c r="R351" s="311" t="str">
        <f>+'Plan de Accion apoyo transversa'!CG114</f>
        <v>No Prog ni Ejec</v>
      </c>
      <c r="S351" s="253" t="s">
        <v>204</v>
      </c>
      <c r="T351" s="311">
        <f>+'Plan de Accion apoyo transversa'!BH114</f>
        <v>0</v>
      </c>
      <c r="U351" s="311">
        <f t="shared" si="296"/>
        <v>0</v>
      </c>
      <c r="V351" s="214" t="s">
        <v>204</v>
      </c>
      <c r="W351" s="216"/>
      <c r="X351" s="221">
        <f>+'Plan de Accion apoyo transversa'!BN114</f>
        <v>0</v>
      </c>
      <c r="Y351" s="311">
        <f>+'Plan de Accion apoyo transversa'!CI114</f>
        <v>0</v>
      </c>
      <c r="Z351" s="215">
        <f>IF(Y351&gt;100%,100%,Y351)</f>
        <v>0</v>
      </c>
      <c r="AA351" s="220">
        <f>+'Plan de Accion apoyo transversa'!BR114</f>
        <v>0</v>
      </c>
      <c r="AB351" s="220">
        <f t="shared" si="297"/>
        <v>0</v>
      </c>
      <c r="AC351" s="219">
        <f t="shared" si="298"/>
        <v>0</v>
      </c>
      <c r="AD351" s="216"/>
      <c r="AE351" s="221">
        <f>+'Plan de Accion apoyo transversa'!BX114</f>
        <v>0</v>
      </c>
      <c r="AF351" s="311" t="str">
        <f>+'Plan de Accion apoyo transversa'!CK114</f>
        <v>No Prog ni Ejec</v>
      </c>
      <c r="AG351" s="215" t="s">
        <v>204</v>
      </c>
      <c r="AH351" s="311">
        <f>+'Plan de Accion apoyo transversa'!CB114</f>
        <v>0</v>
      </c>
      <c r="AI351" s="214">
        <f t="shared" si="299"/>
        <v>0</v>
      </c>
      <c r="AJ351" s="1433"/>
      <c r="AL351" s="1436"/>
      <c r="AM351" s="1410"/>
      <c r="AN351" s="207"/>
      <c r="AO351" s="1439"/>
      <c r="AP351" s="1410"/>
      <c r="AQ351" s="207"/>
      <c r="AR351" s="1410"/>
      <c r="AS351" s="1410"/>
      <c r="AT351" s="207"/>
      <c r="AU351" s="1410"/>
      <c r="AV351" s="1410"/>
      <c r="AW351" s="205"/>
      <c r="AX351" s="1416"/>
      <c r="AZ351" s="1436"/>
      <c r="BA351" s="1410"/>
      <c r="BB351" s="207"/>
      <c r="BC351" s="1439"/>
      <c r="BD351" s="1410"/>
      <c r="BE351" s="207"/>
      <c r="BF351" s="1410"/>
      <c r="BG351" s="1410"/>
      <c r="BH351" s="207"/>
      <c r="BI351" s="1410"/>
      <c r="BJ351" s="1410"/>
      <c r="BK351" s="205"/>
      <c r="BL351" s="1416"/>
      <c r="BN351" s="1436"/>
      <c r="BO351" s="1410"/>
      <c r="BP351" s="207"/>
      <c r="BQ351" s="1439"/>
      <c r="BR351" s="1410"/>
      <c r="BS351" s="207"/>
      <c r="BT351" s="1410"/>
      <c r="BU351" s="1410"/>
      <c r="BV351" s="207"/>
      <c r="BW351" s="1410"/>
      <c r="BX351" s="1410"/>
      <c r="BY351" s="205"/>
      <c r="BZ351" s="1416"/>
      <c r="CB351" s="1436"/>
      <c r="CC351" s="1410"/>
      <c r="CD351" s="207"/>
      <c r="CE351" s="1439"/>
      <c r="CF351" s="1410"/>
      <c r="CG351" s="207"/>
      <c r="CH351" s="1410"/>
      <c r="CI351" s="1410"/>
      <c r="CJ351" s="207"/>
      <c r="CK351" s="1410"/>
      <c r="CL351" s="1410"/>
      <c r="CM351" s="205"/>
      <c r="CN351" s="1416"/>
    </row>
    <row r="352" spans="2:92" ht="28.5" x14ac:dyDescent="0.2">
      <c r="B352" s="1455"/>
      <c r="C352" s="1314"/>
      <c r="D352" s="1352"/>
      <c r="E352" s="1311"/>
      <c r="F352" s="1317"/>
      <c r="G352" s="315" t="str">
        <f>+'Plan de Accion apoyo transversa'!X113</f>
        <v>Caminata ecológica realizada</v>
      </c>
      <c r="H352" s="227" t="str">
        <f>+'Plan de Accion apoyo transversa'!AK94</f>
        <v># Actividades de bienestar realizadas</v>
      </c>
      <c r="J352" s="221">
        <f>+'Plan de Accion apoyo transversa'!AT114</f>
        <v>0</v>
      </c>
      <c r="K352" s="552" t="str">
        <f>+'Plan de Accion apoyo transversa'!CE114</f>
        <v>No Prog ni Ejec</v>
      </c>
      <c r="L352" s="552" t="s">
        <v>204</v>
      </c>
      <c r="M352" s="552">
        <f>+'Plan de Accion apoyo transversa'!AX114</f>
        <v>0</v>
      </c>
      <c r="N352" s="552">
        <f t="shared" ref="N352" si="300">IF(M352&gt;100%,100%,M352)</f>
        <v>0</v>
      </c>
      <c r="O352" s="554" t="s">
        <v>204</v>
      </c>
      <c r="P352" s="216"/>
      <c r="Q352" s="221" t="s">
        <v>204</v>
      </c>
      <c r="R352" s="552" t="s">
        <v>180</v>
      </c>
      <c r="S352" s="253" t="s">
        <v>204</v>
      </c>
      <c r="T352" s="552" t="s">
        <v>204</v>
      </c>
      <c r="U352" s="552" t="s">
        <v>204</v>
      </c>
      <c r="V352" s="214" t="str">
        <f>+U352</f>
        <v>N.A</v>
      </c>
      <c r="W352" s="216"/>
      <c r="X352" s="221" t="s">
        <v>204</v>
      </c>
      <c r="Y352" s="552" t="s">
        <v>180</v>
      </c>
      <c r="Z352" s="215" t="s">
        <v>204</v>
      </c>
      <c r="AA352" s="220" t="s">
        <v>204</v>
      </c>
      <c r="AB352" s="220" t="s">
        <v>204</v>
      </c>
      <c r="AC352" s="219" t="str">
        <f t="shared" ref="AC352" si="301">+AB352</f>
        <v>N.A</v>
      </c>
      <c r="AD352" s="216"/>
      <c r="AE352" s="221" t="s">
        <v>204</v>
      </c>
      <c r="AF352" s="552" t="s">
        <v>180</v>
      </c>
      <c r="AG352" s="215" t="s">
        <v>204</v>
      </c>
      <c r="AH352" s="552" t="s">
        <v>204</v>
      </c>
      <c r="AI352" s="214" t="s">
        <v>204</v>
      </c>
      <c r="AJ352" s="1433"/>
      <c r="AL352" s="1436"/>
      <c r="AM352" s="1410"/>
      <c r="AN352" s="207"/>
      <c r="AO352" s="1439"/>
      <c r="AP352" s="1410"/>
      <c r="AQ352" s="207"/>
      <c r="AR352" s="1410"/>
      <c r="AS352" s="1410"/>
      <c r="AT352" s="207"/>
      <c r="AU352" s="1410"/>
      <c r="AV352" s="1410"/>
      <c r="AW352" s="205"/>
      <c r="AX352" s="1416"/>
      <c r="AZ352" s="1436"/>
      <c r="BA352" s="1410"/>
      <c r="BB352" s="207"/>
      <c r="BC352" s="1439"/>
      <c r="BD352" s="1410"/>
      <c r="BE352" s="207"/>
      <c r="BF352" s="1410"/>
      <c r="BG352" s="1410"/>
      <c r="BH352" s="207"/>
      <c r="BI352" s="1410"/>
      <c r="BJ352" s="1410"/>
      <c r="BK352" s="205"/>
      <c r="BL352" s="1416"/>
      <c r="BN352" s="1436"/>
      <c r="BO352" s="1410"/>
      <c r="BP352" s="207"/>
      <c r="BQ352" s="1439"/>
      <c r="BR352" s="1410"/>
      <c r="BS352" s="207"/>
      <c r="BT352" s="1410"/>
      <c r="BU352" s="1410"/>
      <c r="BV352" s="207"/>
      <c r="BW352" s="1410"/>
      <c r="BX352" s="1410"/>
      <c r="BY352" s="205"/>
      <c r="BZ352" s="1416"/>
      <c r="CB352" s="1436"/>
      <c r="CC352" s="1410"/>
      <c r="CD352" s="207"/>
      <c r="CE352" s="1439"/>
      <c r="CF352" s="1410"/>
      <c r="CG352" s="207"/>
      <c r="CH352" s="1410"/>
      <c r="CI352" s="1410"/>
      <c r="CJ352" s="207"/>
      <c r="CK352" s="1410"/>
      <c r="CL352" s="1410"/>
      <c r="CM352" s="205"/>
      <c r="CN352" s="1416"/>
    </row>
    <row r="353" spans="2:92" ht="28.5" x14ac:dyDescent="0.2">
      <c r="B353" s="1455"/>
      <c r="C353" s="1314"/>
      <c r="D353" s="1352"/>
      <c r="E353" s="1311"/>
      <c r="F353" s="1317"/>
      <c r="G353" s="315" t="str">
        <f>+'Plan de Accion apoyo transversa'!X115</f>
        <v>Jornada de salud sobre: Salud visual realizada</v>
      </c>
      <c r="H353" s="227" t="str">
        <f>+'Plan de Accion apoyo transversa'!AK115</f>
        <v># Actividades de bienestar realizadas</v>
      </c>
      <c r="J353" s="221">
        <f>+'Plan de Accion apoyo transversa'!AT115</f>
        <v>0</v>
      </c>
      <c r="K353" s="483" t="str">
        <f>+'Plan de Accion apoyo transversa'!CE115</f>
        <v>No Prog ni Ejec</v>
      </c>
      <c r="L353" s="483" t="s">
        <v>204</v>
      </c>
      <c r="M353" s="483">
        <f>+'Plan de Accion apoyo transversa'!AX115</f>
        <v>0</v>
      </c>
      <c r="N353" s="483">
        <f t="shared" si="287"/>
        <v>0</v>
      </c>
      <c r="O353" s="485" t="s">
        <v>204</v>
      </c>
      <c r="P353" s="216"/>
      <c r="Q353" s="221" t="s">
        <v>204</v>
      </c>
      <c r="R353" s="311" t="s">
        <v>180</v>
      </c>
      <c r="S353" s="253" t="s">
        <v>204</v>
      </c>
      <c r="T353" s="311" t="s">
        <v>204</v>
      </c>
      <c r="U353" s="311" t="s">
        <v>204</v>
      </c>
      <c r="V353" s="214" t="str">
        <f>+U353</f>
        <v>N.A</v>
      </c>
      <c r="W353" s="216"/>
      <c r="X353" s="221" t="s">
        <v>204</v>
      </c>
      <c r="Y353" s="311" t="str">
        <f>+'Plan de Accion apoyo transversa'!CI115</f>
        <v>No Prog ni Ejec</v>
      </c>
      <c r="Z353" s="215" t="s">
        <v>204</v>
      </c>
      <c r="AA353" s="220" t="s">
        <v>204</v>
      </c>
      <c r="AB353" s="220" t="s">
        <v>204</v>
      </c>
      <c r="AC353" s="219" t="str">
        <f t="shared" si="298"/>
        <v>N.A</v>
      </c>
      <c r="AD353" s="216"/>
      <c r="AE353" s="221" t="s">
        <v>204</v>
      </c>
      <c r="AF353" s="311" t="s">
        <v>180</v>
      </c>
      <c r="AG353" s="215" t="s">
        <v>204</v>
      </c>
      <c r="AH353" s="311" t="s">
        <v>204</v>
      </c>
      <c r="AI353" s="214" t="s">
        <v>204</v>
      </c>
      <c r="AJ353" s="1433"/>
      <c r="AL353" s="1436"/>
      <c r="AM353" s="1410"/>
      <c r="AN353" s="207"/>
      <c r="AO353" s="1439"/>
      <c r="AP353" s="1410"/>
      <c r="AQ353" s="207"/>
      <c r="AR353" s="1410"/>
      <c r="AS353" s="1410"/>
      <c r="AT353" s="207"/>
      <c r="AU353" s="1410"/>
      <c r="AV353" s="1410"/>
      <c r="AW353" s="205"/>
      <c r="AX353" s="1416"/>
      <c r="AZ353" s="1436"/>
      <c r="BA353" s="1410"/>
      <c r="BB353" s="207"/>
      <c r="BC353" s="1439"/>
      <c r="BD353" s="1410"/>
      <c r="BE353" s="207"/>
      <c r="BF353" s="1410"/>
      <c r="BG353" s="1410"/>
      <c r="BH353" s="207"/>
      <c r="BI353" s="1410"/>
      <c r="BJ353" s="1410"/>
      <c r="BK353" s="205"/>
      <c r="BL353" s="1416"/>
      <c r="BN353" s="1436"/>
      <c r="BO353" s="1410"/>
      <c r="BP353" s="207"/>
      <c r="BQ353" s="1439"/>
      <c r="BR353" s="1410"/>
      <c r="BS353" s="207"/>
      <c r="BT353" s="1410"/>
      <c r="BU353" s="1410"/>
      <c r="BV353" s="207"/>
      <c r="BW353" s="1410"/>
      <c r="BX353" s="1410"/>
      <c r="BY353" s="205"/>
      <c r="BZ353" s="1416"/>
      <c r="CB353" s="1436"/>
      <c r="CC353" s="1410"/>
      <c r="CD353" s="207"/>
      <c r="CE353" s="1439"/>
      <c r="CF353" s="1410"/>
      <c r="CG353" s="207"/>
      <c r="CH353" s="1410"/>
      <c r="CI353" s="1410"/>
      <c r="CJ353" s="207"/>
      <c r="CK353" s="1410"/>
      <c r="CL353" s="1410"/>
      <c r="CM353" s="205"/>
      <c r="CN353" s="1416"/>
    </row>
    <row r="354" spans="2:92" ht="28.5" x14ac:dyDescent="0.2">
      <c r="B354" s="1455"/>
      <c r="C354" s="1314"/>
      <c r="D354" s="1352"/>
      <c r="E354" s="1311"/>
      <c r="F354" s="1317"/>
      <c r="G354" s="315" t="str">
        <f>+'Plan de Accion apoyo transversa'!X116</f>
        <v>Jornada de salud sobre: Salud Oral realizada</v>
      </c>
      <c r="H354" s="227" t="str">
        <f>+'Plan de Accion apoyo transversa'!AK116</f>
        <v># Actividades de bienestar realizadas</v>
      </c>
      <c r="J354" s="221">
        <f>+'Plan de Accion apoyo transversa'!AT116</f>
        <v>0</v>
      </c>
      <c r="K354" s="483" t="str">
        <f>+'Plan de Accion apoyo transversa'!CE116</f>
        <v>No Prog ni Ejec</v>
      </c>
      <c r="L354" s="483" t="s">
        <v>204</v>
      </c>
      <c r="M354" s="483">
        <f>+'Plan de Accion apoyo transversa'!AX116</f>
        <v>0</v>
      </c>
      <c r="N354" s="483">
        <f t="shared" si="287"/>
        <v>0</v>
      </c>
      <c r="O354" s="485" t="s">
        <v>204</v>
      </c>
      <c r="P354" s="216"/>
      <c r="Q354" s="221" t="s">
        <v>204</v>
      </c>
      <c r="R354" s="552" t="s">
        <v>180</v>
      </c>
      <c r="S354" s="253" t="s">
        <v>204</v>
      </c>
      <c r="T354" s="552" t="s">
        <v>204</v>
      </c>
      <c r="U354" s="552" t="s">
        <v>204</v>
      </c>
      <c r="V354" s="214" t="str">
        <f>+U354</f>
        <v>N.A</v>
      </c>
      <c r="W354" s="216"/>
      <c r="X354" s="221" t="s">
        <v>204</v>
      </c>
      <c r="Y354" s="552" t="str">
        <f>+'Plan de Accion apoyo transversa'!CI116</f>
        <v>No Prog ni Ejec</v>
      </c>
      <c r="Z354" s="215" t="s">
        <v>204</v>
      </c>
      <c r="AA354" s="220" t="s">
        <v>204</v>
      </c>
      <c r="AB354" s="220" t="s">
        <v>204</v>
      </c>
      <c r="AC354" s="219" t="str">
        <f t="shared" ref="AC354" si="302">+AB354</f>
        <v>N.A</v>
      </c>
      <c r="AD354" s="216"/>
      <c r="AE354" s="221" t="s">
        <v>204</v>
      </c>
      <c r="AF354" s="552" t="s">
        <v>180</v>
      </c>
      <c r="AG354" s="215" t="s">
        <v>204</v>
      </c>
      <c r="AH354" s="552" t="s">
        <v>204</v>
      </c>
      <c r="AI354" s="214" t="s">
        <v>204</v>
      </c>
      <c r="AJ354" s="1433"/>
      <c r="AL354" s="1436"/>
      <c r="AM354" s="1410"/>
      <c r="AN354" s="207"/>
      <c r="AO354" s="1439"/>
      <c r="AP354" s="1410"/>
      <c r="AQ354" s="207"/>
      <c r="AR354" s="1410"/>
      <c r="AS354" s="1410"/>
      <c r="AT354" s="207"/>
      <c r="AU354" s="1410"/>
      <c r="AV354" s="1410"/>
      <c r="AW354" s="205"/>
      <c r="AX354" s="1416"/>
      <c r="AZ354" s="1436"/>
      <c r="BA354" s="1410"/>
      <c r="BB354" s="207"/>
      <c r="BC354" s="1439"/>
      <c r="BD354" s="1410"/>
      <c r="BE354" s="207"/>
      <c r="BF354" s="1410"/>
      <c r="BG354" s="1410"/>
      <c r="BH354" s="207"/>
      <c r="BI354" s="1410"/>
      <c r="BJ354" s="1410"/>
      <c r="BK354" s="205"/>
      <c r="BL354" s="1416"/>
      <c r="BN354" s="1436"/>
      <c r="BO354" s="1410"/>
      <c r="BP354" s="207"/>
      <c r="BQ354" s="1439"/>
      <c r="BR354" s="1410"/>
      <c r="BS354" s="207"/>
      <c r="BT354" s="1410"/>
      <c r="BU354" s="1410"/>
      <c r="BV354" s="207"/>
      <c r="BW354" s="1410"/>
      <c r="BX354" s="1410"/>
      <c r="BY354" s="205"/>
      <c r="BZ354" s="1416"/>
      <c r="CB354" s="1436"/>
      <c r="CC354" s="1410"/>
      <c r="CD354" s="207"/>
      <c r="CE354" s="1439"/>
      <c r="CF354" s="1410"/>
      <c r="CG354" s="207"/>
      <c r="CH354" s="1410"/>
      <c r="CI354" s="1410"/>
      <c r="CJ354" s="207"/>
      <c r="CK354" s="1410"/>
      <c r="CL354" s="1410"/>
      <c r="CM354" s="205"/>
      <c r="CN354" s="1416"/>
    </row>
    <row r="355" spans="2:92" ht="57" customHeight="1" x14ac:dyDescent="0.2">
      <c r="B355" s="1455"/>
      <c r="C355" s="1314"/>
      <c r="D355" s="1352"/>
      <c r="E355" s="1311"/>
      <c r="F355" s="1317"/>
      <c r="G355" s="315" t="str">
        <f>+'Plan de Accion apoyo transversa'!X117</f>
        <v>Jornada de salud sobre: Prevención del cáncer realizada</v>
      </c>
      <c r="H355" s="227" t="str">
        <f>+'Plan de Accion apoyo transversa'!AK117</f>
        <v># Actividades de bienestar realizadas</v>
      </c>
      <c r="J355" s="221">
        <f>+'Plan de Accion apoyo transversa'!AT117</f>
        <v>0</v>
      </c>
      <c r="K355" s="483" t="str">
        <f>+'Plan de Accion apoyo transversa'!CE117</f>
        <v>No Prog ni Ejec</v>
      </c>
      <c r="L355" s="483" t="s">
        <v>204</v>
      </c>
      <c r="M355" s="483">
        <f>+'Plan de Accion apoyo transversa'!AX117</f>
        <v>0</v>
      </c>
      <c r="N355" s="483">
        <f t="shared" si="287"/>
        <v>0</v>
      </c>
      <c r="O355" s="485" t="s">
        <v>204</v>
      </c>
      <c r="P355" s="216"/>
      <c r="Q355" s="221" t="s">
        <v>204</v>
      </c>
      <c r="R355" s="552" t="s">
        <v>180</v>
      </c>
      <c r="S355" s="253" t="s">
        <v>204</v>
      </c>
      <c r="T355" s="552" t="s">
        <v>204</v>
      </c>
      <c r="U355" s="552" t="s">
        <v>204</v>
      </c>
      <c r="V355" s="214" t="str">
        <f>+U355</f>
        <v>N.A</v>
      </c>
      <c r="W355" s="216"/>
      <c r="X355" s="221" t="s">
        <v>204</v>
      </c>
      <c r="Y355" s="552" t="str">
        <f>+'Plan de Accion apoyo transversa'!CI117</f>
        <v>No Prog ni Ejec</v>
      </c>
      <c r="Z355" s="215" t="s">
        <v>204</v>
      </c>
      <c r="AA355" s="220" t="s">
        <v>204</v>
      </c>
      <c r="AB355" s="220" t="s">
        <v>204</v>
      </c>
      <c r="AC355" s="219" t="str">
        <f t="shared" ref="AC355:AC356" si="303">+AB355</f>
        <v>N.A</v>
      </c>
      <c r="AD355" s="216"/>
      <c r="AE355" s="221" t="s">
        <v>204</v>
      </c>
      <c r="AF355" s="552" t="s">
        <v>180</v>
      </c>
      <c r="AG355" s="215" t="s">
        <v>204</v>
      </c>
      <c r="AH355" s="552" t="s">
        <v>204</v>
      </c>
      <c r="AI355" s="214" t="s">
        <v>204</v>
      </c>
      <c r="AJ355" s="1433"/>
      <c r="AL355" s="1436"/>
      <c r="AM355" s="1410"/>
      <c r="AN355" s="207"/>
      <c r="AO355" s="1439"/>
      <c r="AP355" s="1410"/>
      <c r="AQ355" s="207"/>
      <c r="AR355" s="1410"/>
      <c r="AS355" s="1410"/>
      <c r="AT355" s="207"/>
      <c r="AU355" s="1410"/>
      <c r="AV355" s="1410"/>
      <c r="AW355" s="205"/>
      <c r="AX355" s="1416"/>
      <c r="AZ355" s="1436"/>
      <c r="BA355" s="1410"/>
      <c r="BB355" s="207"/>
      <c r="BC355" s="1439"/>
      <c r="BD355" s="1410"/>
      <c r="BE355" s="207"/>
      <c r="BF355" s="1410"/>
      <c r="BG355" s="1410"/>
      <c r="BH355" s="207"/>
      <c r="BI355" s="1410"/>
      <c r="BJ355" s="1410"/>
      <c r="BK355" s="205"/>
      <c r="BL355" s="1416"/>
      <c r="BN355" s="1436"/>
      <c r="BO355" s="1410"/>
      <c r="BP355" s="207"/>
      <c r="BQ355" s="1439"/>
      <c r="BR355" s="1410"/>
      <c r="BS355" s="207"/>
      <c r="BT355" s="1410"/>
      <c r="BU355" s="1410"/>
      <c r="BV355" s="207"/>
      <c r="BW355" s="1410"/>
      <c r="BX355" s="1410"/>
      <c r="BY355" s="205"/>
      <c r="BZ355" s="1416"/>
      <c r="CB355" s="1436"/>
      <c r="CC355" s="1410"/>
      <c r="CD355" s="207"/>
      <c r="CE355" s="1439"/>
      <c r="CF355" s="1410"/>
      <c r="CG355" s="207"/>
      <c r="CH355" s="1410"/>
      <c r="CI355" s="1410"/>
      <c r="CJ355" s="207"/>
      <c r="CK355" s="1410"/>
      <c r="CL355" s="1410"/>
      <c r="CM355" s="205"/>
      <c r="CN355" s="1416"/>
    </row>
    <row r="356" spans="2:92" ht="96" customHeight="1" x14ac:dyDescent="0.2">
      <c r="B356" s="1456"/>
      <c r="C356" s="1314"/>
      <c r="D356" s="1352"/>
      <c r="E356" s="1311"/>
      <c r="F356" s="655" t="s">
        <v>1754</v>
      </c>
      <c r="G356" s="670" t="str">
        <f>+'Plan de Accion apoyo transversa'!X188</f>
        <v>Jornada de divulgación del Plan de Emergencias realizada</v>
      </c>
      <c r="H356" s="227" t="str">
        <f>+'Plan de Accion apoyo transversa'!AK188</f>
        <v># de actividades realizadas</v>
      </c>
      <c r="J356" s="221">
        <f>+'Plan de Accion apoyo transversa'!AT188</f>
        <v>0</v>
      </c>
      <c r="K356" s="659" t="str">
        <f>+'Plan de Accion apoyo transversa'!CE188</f>
        <v>No Prog ni Ejec</v>
      </c>
      <c r="L356" s="659" t="s">
        <v>204</v>
      </c>
      <c r="M356" s="659">
        <f>+'Plan de Accion apoyo transversa'!AX188</f>
        <v>0</v>
      </c>
      <c r="N356" s="659">
        <f>IF(M356&gt;100%,100%,M356)</f>
        <v>0</v>
      </c>
      <c r="O356" s="660" t="s">
        <v>204</v>
      </c>
      <c r="P356" s="216"/>
      <c r="Q356" s="221">
        <f>+'Plan de Accion apoyo transversa'!BD188</f>
        <v>0</v>
      </c>
      <c r="R356" s="659" t="str">
        <f>+'Plan de Accion apoyo transversa'!CG188</f>
        <v>No Prog ni Ejec</v>
      </c>
      <c r="S356" s="253" t="s">
        <v>204</v>
      </c>
      <c r="T356" s="659">
        <f>+'Plan de Accion apoyo transversa'!BH188</f>
        <v>0</v>
      </c>
      <c r="U356" s="659">
        <f t="shared" ref="U356" si="304">IF(T356&gt;100%,100%,T356)</f>
        <v>0</v>
      </c>
      <c r="V356" s="214" t="s">
        <v>204</v>
      </c>
      <c r="W356" s="216"/>
      <c r="X356" s="221">
        <f>+'Plan de Accion apoyo transversa'!BN188</f>
        <v>0</v>
      </c>
      <c r="Y356" s="659">
        <f>+'Plan de Accion apoyo transversa'!CI188</f>
        <v>0</v>
      </c>
      <c r="Z356" s="215">
        <f>IF(Y356&gt;100%,100%,Y356)</f>
        <v>0</v>
      </c>
      <c r="AA356" s="220">
        <f>+'Plan de Accion apoyo transversa'!BR188</f>
        <v>0</v>
      </c>
      <c r="AB356" s="220">
        <f t="shared" ref="AB356" si="305">IF(AA356&gt;100%,100%,AA356)</f>
        <v>0</v>
      </c>
      <c r="AC356" s="219">
        <f t="shared" si="303"/>
        <v>0</v>
      </c>
      <c r="AD356" s="216"/>
      <c r="AE356" s="221">
        <f>+'Plan de Accion apoyo transversa'!BX123</f>
        <v>0</v>
      </c>
      <c r="AF356" s="659" t="str">
        <f>+'Plan de Accion apoyo transversa'!CK188</f>
        <v>No Prog ni Ejec</v>
      </c>
      <c r="AG356" s="215" t="s">
        <v>204</v>
      </c>
      <c r="AH356" s="659">
        <f>+'Plan de Accion apoyo transversa'!CB188</f>
        <v>0</v>
      </c>
      <c r="AI356" s="214">
        <f t="shared" ref="AI356" si="306">IF(AH356&gt;100%,100%,AH356)</f>
        <v>0</v>
      </c>
      <c r="AJ356" s="664"/>
      <c r="AL356" s="668"/>
      <c r="AM356" s="665"/>
      <c r="AN356" s="207"/>
      <c r="AO356" s="666"/>
      <c r="AP356" s="665"/>
      <c r="AQ356" s="207"/>
      <c r="AR356" s="665"/>
      <c r="AS356" s="665"/>
      <c r="AT356" s="207"/>
      <c r="AU356" s="665"/>
      <c r="AV356" s="665"/>
      <c r="AW356" s="205"/>
      <c r="AX356" s="669"/>
      <c r="AZ356" s="668"/>
      <c r="BA356" s="665"/>
      <c r="BB356" s="207"/>
      <c r="BC356" s="666"/>
      <c r="BD356" s="665"/>
      <c r="BE356" s="207"/>
      <c r="BF356" s="665"/>
      <c r="BG356" s="665"/>
      <c r="BH356" s="207"/>
      <c r="BI356" s="665"/>
      <c r="BJ356" s="665"/>
      <c r="BK356" s="205"/>
      <c r="BL356" s="669"/>
      <c r="BN356" s="668"/>
      <c r="BO356" s="665"/>
      <c r="BP356" s="207"/>
      <c r="BQ356" s="666"/>
      <c r="BR356" s="665"/>
      <c r="BS356" s="207"/>
      <c r="BT356" s="665"/>
      <c r="BU356" s="665"/>
      <c r="BV356" s="207"/>
      <c r="BW356" s="665"/>
      <c r="BX356" s="665"/>
      <c r="BY356" s="205"/>
      <c r="BZ356" s="669"/>
      <c r="CB356" s="668"/>
      <c r="CC356" s="665"/>
      <c r="CD356" s="207"/>
      <c r="CE356" s="666"/>
      <c r="CF356" s="665"/>
      <c r="CG356" s="207"/>
      <c r="CH356" s="665"/>
      <c r="CI356" s="665"/>
      <c r="CJ356" s="207"/>
      <c r="CK356" s="665"/>
      <c r="CL356" s="665"/>
      <c r="CM356" s="205"/>
      <c r="CN356" s="669"/>
    </row>
    <row r="357" spans="2:92" ht="69.75" customHeight="1" x14ac:dyDescent="0.2">
      <c r="B357" s="1456"/>
      <c r="C357" s="1314"/>
      <c r="D357" s="1353"/>
      <c r="E357" s="1312"/>
      <c r="F357" s="307" t="s">
        <v>336</v>
      </c>
      <c r="G357" s="315" t="str">
        <f>+'Plan de Accion apoyo transversa'!X124</f>
        <v>Información difundida a los funcionarios sobre servicio al ciudadano, tramites, servicios y OPAS de la entidad.</v>
      </c>
      <c r="H357" s="227" t="str">
        <f>+'Plan de Accion apoyo transversa'!AK124</f>
        <v>Número de actividades realizadas de difusión de información realizadas sobre servicio al ciudadano, inclusión social, lenguaje claro, trámites, servicios y OPAS de la Entidad / Número de actividades programadas de difusión de información realizadas sobre servicio al ciudadano, inclusión social, lenguaje claro, trámites, servicios y OPAS de la Entidad</v>
      </c>
      <c r="J357" s="221">
        <f>+'Plan de Accion apoyo transversa'!AT124</f>
        <v>25</v>
      </c>
      <c r="K357" s="483">
        <f>+'Plan de Accion apoyo transversa'!CE124</f>
        <v>1</v>
      </c>
      <c r="L357" s="483">
        <f>IF(K357&gt;100%,100%,K357)</f>
        <v>1</v>
      </c>
      <c r="M357" s="483">
        <f>+'Plan de Accion apoyo transversa'!AX124</f>
        <v>0.25</v>
      </c>
      <c r="N357" s="483">
        <f t="shared" si="287"/>
        <v>0.25</v>
      </c>
      <c r="O357" s="485">
        <f>+N357</f>
        <v>0.25</v>
      </c>
      <c r="P357" s="216"/>
      <c r="Q357" s="221">
        <f>+'Plan de Accion apoyo transversa'!BD124</f>
        <v>6</v>
      </c>
      <c r="R357" s="311">
        <f>+'Plan de Accion apoyo transversa'!CG124</f>
        <v>1</v>
      </c>
      <c r="S357" s="253">
        <f t="shared" ref="S357:S364" si="307">IF(R357&gt;100%,100%,R357)</f>
        <v>1</v>
      </c>
      <c r="T357" s="311">
        <f>+'Plan de Accion apoyo transversa'!BH124</f>
        <v>0.31</v>
      </c>
      <c r="U357" s="311">
        <f t="shared" ref="U357:U364" si="308">IF(T357&gt;100%,100%,T357)</f>
        <v>0.31</v>
      </c>
      <c r="V357" s="214">
        <f t="shared" ref="V357:V364" si="309">+U357</f>
        <v>0.31</v>
      </c>
      <c r="W357" s="216"/>
      <c r="X357" s="221">
        <f>+'Plan de Accion apoyo transversa'!BN124</f>
        <v>6</v>
      </c>
      <c r="Y357" s="311">
        <f>+'Plan de Accion apoyo transversa'!CI124</f>
        <v>1</v>
      </c>
      <c r="Z357" s="215">
        <f>IF(Y357&gt;100%,100%,Y357)</f>
        <v>1</v>
      </c>
      <c r="AA357" s="220">
        <f>+'Plan de Accion apoyo transversa'!BR124</f>
        <v>0.37</v>
      </c>
      <c r="AB357" s="220">
        <f t="shared" ref="AB357:AB364" si="310">IF(AA357&gt;100%,100%,AA357)</f>
        <v>0.37</v>
      </c>
      <c r="AC357" s="219">
        <f t="shared" si="298"/>
        <v>0.37</v>
      </c>
      <c r="AD357" s="216"/>
      <c r="AE357" s="221">
        <f>+'Plan de Accion apoyo transversa'!BX124</f>
        <v>0</v>
      </c>
      <c r="AF357" s="311">
        <f>+'Plan de Accion apoyo transversa'!CK124</f>
        <v>0</v>
      </c>
      <c r="AG357" s="215">
        <f t="shared" ref="AG357:AG364" si="311">IF(AF357&gt;100%,100%,AF357)</f>
        <v>0</v>
      </c>
      <c r="AH357" s="311">
        <f>+'Plan de Accion apoyo transversa'!CB124</f>
        <v>0.37</v>
      </c>
      <c r="AI357" s="214">
        <f t="shared" ref="AI357:AI364" si="312">IF(AH357&gt;100%,100%,AH357)</f>
        <v>0.37</v>
      </c>
      <c r="AJ357" s="213"/>
      <c r="AL357" s="212"/>
      <c r="AM357" s="210"/>
      <c r="AN357" s="207"/>
      <c r="AO357" s="211"/>
      <c r="AP357" s="210"/>
      <c r="AQ357" s="207"/>
      <c r="AR357" s="210"/>
      <c r="AS357" s="210"/>
      <c r="AT357" s="207"/>
      <c r="AU357" s="210"/>
      <c r="AV357" s="210"/>
      <c r="AW357" s="205"/>
      <c r="AX357" s="209"/>
      <c r="AZ357" s="212"/>
      <c r="BA357" s="210"/>
      <c r="BB357" s="207"/>
      <c r="BC357" s="211"/>
      <c r="BD357" s="210"/>
      <c r="BE357" s="207"/>
      <c r="BF357" s="210"/>
      <c r="BG357" s="210"/>
      <c r="BH357" s="207"/>
      <c r="BI357" s="210"/>
      <c r="BJ357" s="210"/>
      <c r="BK357" s="205"/>
      <c r="BL357" s="209"/>
      <c r="BN357" s="212"/>
      <c r="BO357" s="210"/>
      <c r="BP357" s="207"/>
      <c r="BQ357" s="211"/>
      <c r="BR357" s="210"/>
      <c r="BS357" s="207"/>
      <c r="BT357" s="210"/>
      <c r="BU357" s="210"/>
      <c r="BV357" s="207"/>
      <c r="BW357" s="210"/>
      <c r="BX357" s="210"/>
      <c r="BY357" s="205"/>
      <c r="BZ357" s="209"/>
      <c r="CB357" s="212"/>
      <c r="CC357" s="210"/>
      <c r="CD357" s="207"/>
      <c r="CE357" s="211"/>
      <c r="CF357" s="210"/>
      <c r="CG357" s="207"/>
      <c r="CH357" s="210"/>
      <c r="CI357" s="210"/>
      <c r="CJ357" s="207"/>
      <c r="CK357" s="210"/>
      <c r="CL357" s="210"/>
      <c r="CM357" s="205"/>
      <c r="CN357" s="209"/>
    </row>
    <row r="358" spans="2:92" ht="93.75" customHeight="1" x14ac:dyDescent="0.2">
      <c r="B358" s="1456"/>
      <c r="C358" s="1314"/>
      <c r="D358" s="1351" t="s">
        <v>204</v>
      </c>
      <c r="E358" s="1351" t="s">
        <v>230</v>
      </c>
      <c r="F358" s="307" t="s">
        <v>1186</v>
      </c>
      <c r="G358" s="315" t="str">
        <f>+'Plan de Accion apoyo transversa'!X145</f>
        <v>Conjunto de datos abiertos de la DGTIC.</v>
      </c>
      <c r="H358" s="227" t="str">
        <f>+'Plan de Accion apoyo transversa'!AK145</f>
        <v># Conjuntos de datos abiertos publicados</v>
      </c>
      <c r="J358" s="221">
        <f>+'Plan de Accion apoyo transversa'!AT145</f>
        <v>0</v>
      </c>
      <c r="K358" s="483" t="str">
        <f>+'Plan de Accion apoyo transversa'!CE145</f>
        <v>No Prog ni Ejec</v>
      </c>
      <c r="L358" s="483" t="s">
        <v>204</v>
      </c>
      <c r="M358" s="483">
        <f>+'Plan de Accion apoyo transversa'!AX145</f>
        <v>0</v>
      </c>
      <c r="N358" s="483">
        <f t="shared" si="287"/>
        <v>0</v>
      </c>
      <c r="O358" s="485" t="s">
        <v>204</v>
      </c>
      <c r="P358" s="216"/>
      <c r="Q358" s="221">
        <f>+'Plan de Accion apoyo transversa'!BD145</f>
        <v>0</v>
      </c>
      <c r="R358" s="311" t="str">
        <f>+'Plan de Accion apoyo transversa'!CG145</f>
        <v>No Prog ni Ejec</v>
      </c>
      <c r="S358" s="253" t="s">
        <v>204</v>
      </c>
      <c r="T358" s="311">
        <f>+'Plan de Accion apoyo transversa'!BH145</f>
        <v>0</v>
      </c>
      <c r="U358" s="311">
        <f t="shared" si="308"/>
        <v>0</v>
      </c>
      <c r="V358" s="214" t="s">
        <v>204</v>
      </c>
      <c r="W358" s="216"/>
      <c r="X358" s="221">
        <f>+'Plan de Accion apoyo transversa'!BN145</f>
        <v>0</v>
      </c>
      <c r="Y358" s="311" t="str">
        <f>+'Plan de Accion apoyo transversa'!CI145</f>
        <v>No Prog ni Ejec</v>
      </c>
      <c r="Z358" s="215" t="s">
        <v>204</v>
      </c>
      <c r="AA358" s="220">
        <f>+'Plan de Accion apoyo transversa'!BR145</f>
        <v>0</v>
      </c>
      <c r="AB358" s="220">
        <f t="shared" si="310"/>
        <v>0</v>
      </c>
      <c r="AC358" s="219" t="s">
        <v>204</v>
      </c>
      <c r="AD358" s="216"/>
      <c r="AE358" s="221">
        <f>+'Plan de Accion apoyo transversa'!BX145</f>
        <v>0</v>
      </c>
      <c r="AF358" s="311">
        <f>+'Plan de Accion apoyo transversa'!CK145</f>
        <v>0</v>
      </c>
      <c r="AG358" s="215">
        <f t="shared" si="311"/>
        <v>0</v>
      </c>
      <c r="AH358" s="311">
        <f>+'Plan de Accion apoyo transversa'!CB145</f>
        <v>0</v>
      </c>
      <c r="AI358" s="214">
        <f t="shared" si="312"/>
        <v>0</v>
      </c>
      <c r="AJ358" s="321"/>
      <c r="AL358" s="320"/>
      <c r="AM358" s="316"/>
      <c r="AN358" s="207"/>
      <c r="AO358" s="317"/>
      <c r="AP358" s="316"/>
      <c r="AQ358" s="207"/>
      <c r="AR358" s="316"/>
      <c r="AS358" s="316"/>
      <c r="AT358" s="207"/>
      <c r="AU358" s="316"/>
      <c r="AV358" s="316"/>
      <c r="AW358" s="205"/>
      <c r="AX358" s="319"/>
      <c r="AZ358" s="320"/>
      <c r="BA358" s="316"/>
      <c r="BB358" s="207"/>
      <c r="BC358" s="317"/>
      <c r="BD358" s="316"/>
      <c r="BE358" s="207"/>
      <c r="BF358" s="316"/>
      <c r="BG358" s="316"/>
      <c r="BH358" s="207"/>
      <c r="BI358" s="316"/>
      <c r="BJ358" s="316"/>
      <c r="BK358" s="205"/>
      <c r="BL358" s="319"/>
      <c r="BN358" s="320"/>
      <c r="BO358" s="316"/>
      <c r="BP358" s="207"/>
      <c r="BQ358" s="317"/>
      <c r="BR358" s="316"/>
      <c r="BS358" s="207"/>
      <c r="BT358" s="316"/>
      <c r="BU358" s="316"/>
      <c r="BV358" s="207"/>
      <c r="BW358" s="316"/>
      <c r="BX358" s="316"/>
      <c r="BY358" s="205"/>
      <c r="BZ358" s="319"/>
      <c r="CB358" s="320"/>
      <c r="CC358" s="316"/>
      <c r="CD358" s="207"/>
      <c r="CE358" s="317"/>
      <c r="CF358" s="316"/>
      <c r="CG358" s="207"/>
      <c r="CH358" s="316"/>
      <c r="CI358" s="316"/>
      <c r="CJ358" s="207"/>
      <c r="CK358" s="316"/>
      <c r="CL358" s="316"/>
      <c r="CM358" s="205"/>
      <c r="CN358" s="319"/>
    </row>
    <row r="359" spans="2:92" ht="68.25" customHeight="1" x14ac:dyDescent="0.2">
      <c r="B359" s="1456"/>
      <c r="C359" s="1314"/>
      <c r="D359" s="1352"/>
      <c r="E359" s="1352"/>
      <c r="F359" s="1316" t="s">
        <v>1187</v>
      </c>
      <c r="G359" s="315" t="str">
        <f>+'Plan de Accion apoyo transversa'!X150</f>
        <v>Campaña de sensibilización en Seguridad y Privacidad de la Información</v>
      </c>
      <c r="H359" s="227" t="str">
        <f>+'Plan de Accion apoyo transversa'!AK150</f>
        <v xml:space="preserve"># Campañas de sensibilización en Seguridad y Privacidad de la Información </v>
      </c>
      <c r="J359" s="221">
        <f>+'Plan de Accion apoyo transversa'!AT150</f>
        <v>1</v>
      </c>
      <c r="K359" s="483">
        <f>+'Plan de Accion apoyo transversa'!CE150</f>
        <v>1</v>
      </c>
      <c r="L359" s="483">
        <f>IF(K359&gt;100%,100%,K359)</f>
        <v>1</v>
      </c>
      <c r="M359" s="483">
        <f>+'Plan de Accion apoyo transversa'!AX150</f>
        <v>0.25</v>
      </c>
      <c r="N359" s="483">
        <f t="shared" si="287"/>
        <v>0.25</v>
      </c>
      <c r="O359" s="485">
        <f>+N359</f>
        <v>0.25</v>
      </c>
      <c r="P359" s="216"/>
      <c r="Q359" s="221">
        <f>+'Plan de Accion apoyo transversa'!BD150</f>
        <v>1</v>
      </c>
      <c r="R359" s="311">
        <f>+'Plan de Accion apoyo transversa'!CG150</f>
        <v>1</v>
      </c>
      <c r="S359" s="253">
        <f t="shared" si="307"/>
        <v>1</v>
      </c>
      <c r="T359" s="311">
        <f>+'Plan de Accion apoyo transversa'!BH150</f>
        <v>0.5</v>
      </c>
      <c r="U359" s="311">
        <f t="shared" si="308"/>
        <v>0.5</v>
      </c>
      <c r="V359" s="214">
        <f t="shared" si="309"/>
        <v>0.5</v>
      </c>
      <c r="W359" s="216"/>
      <c r="X359" s="221">
        <f>+'Plan de Accion apoyo transversa'!BN150</f>
        <v>1</v>
      </c>
      <c r="Y359" s="311">
        <f>+'Plan de Accion apoyo transversa'!CI150</f>
        <v>1</v>
      </c>
      <c r="Z359" s="215">
        <f>IF(Y359&gt;100%,100%,Y359)</f>
        <v>1</v>
      </c>
      <c r="AA359" s="220">
        <f>+'Plan de Accion apoyo transversa'!BR150</f>
        <v>0.75</v>
      </c>
      <c r="AB359" s="220">
        <f t="shared" si="310"/>
        <v>0.75</v>
      </c>
      <c r="AC359" s="219">
        <f t="shared" ref="AC359:AC364" si="313">+AB359</f>
        <v>0.75</v>
      </c>
      <c r="AD359" s="216"/>
      <c r="AE359" s="221">
        <f>+'Plan de Accion apoyo transversa'!BX150</f>
        <v>0</v>
      </c>
      <c r="AF359" s="311">
        <f>+'Plan de Accion apoyo transversa'!CK150</f>
        <v>0</v>
      </c>
      <c r="AG359" s="215">
        <f t="shared" si="311"/>
        <v>0</v>
      </c>
      <c r="AH359" s="311">
        <f>+'Plan de Accion apoyo transversa'!CB150</f>
        <v>0.75</v>
      </c>
      <c r="AI359" s="214">
        <f t="shared" si="312"/>
        <v>0.75</v>
      </c>
      <c r="AJ359" s="321"/>
      <c r="AL359" s="320"/>
      <c r="AM359" s="316"/>
      <c r="AN359" s="207"/>
      <c r="AO359" s="317"/>
      <c r="AP359" s="316"/>
      <c r="AQ359" s="207"/>
      <c r="AR359" s="316"/>
      <c r="AS359" s="316"/>
      <c r="AT359" s="207"/>
      <c r="AU359" s="316"/>
      <c r="AV359" s="316"/>
      <c r="AW359" s="205"/>
      <c r="AX359" s="319"/>
      <c r="AZ359" s="320"/>
      <c r="BA359" s="316"/>
      <c r="BB359" s="207"/>
      <c r="BC359" s="317"/>
      <c r="BD359" s="316"/>
      <c r="BE359" s="207"/>
      <c r="BF359" s="316"/>
      <c r="BG359" s="316"/>
      <c r="BH359" s="207"/>
      <c r="BI359" s="316"/>
      <c r="BJ359" s="316"/>
      <c r="BK359" s="205"/>
      <c r="BL359" s="319"/>
      <c r="BN359" s="320"/>
      <c r="BO359" s="316"/>
      <c r="BP359" s="207"/>
      <c r="BQ359" s="317"/>
      <c r="BR359" s="316"/>
      <c r="BS359" s="207"/>
      <c r="BT359" s="316"/>
      <c r="BU359" s="316"/>
      <c r="BV359" s="207"/>
      <c r="BW359" s="316"/>
      <c r="BX359" s="316"/>
      <c r="BY359" s="205"/>
      <c r="BZ359" s="319"/>
      <c r="CB359" s="320"/>
      <c r="CC359" s="316"/>
      <c r="CD359" s="207"/>
      <c r="CE359" s="317"/>
      <c r="CF359" s="316"/>
      <c r="CG359" s="207"/>
      <c r="CH359" s="316"/>
      <c r="CI359" s="316"/>
      <c r="CJ359" s="207"/>
      <c r="CK359" s="316"/>
      <c r="CL359" s="316"/>
      <c r="CM359" s="205"/>
      <c r="CN359" s="319"/>
    </row>
    <row r="360" spans="2:92" ht="69.75" customHeight="1" x14ac:dyDescent="0.2">
      <c r="B360" s="1456"/>
      <c r="C360" s="1314"/>
      <c r="D360" s="1352"/>
      <c r="E360" s="1353"/>
      <c r="F360" s="1318"/>
      <c r="G360" s="315" t="str">
        <f>+'Plan de Accion apoyo transversa'!X151</f>
        <v>Jornadas de capacitación frente a temas de Seguridad y Privacidad de la Información</v>
      </c>
      <c r="H360" s="227" t="str">
        <f>+'Plan de Accion apoyo transversa'!AK151</f>
        <v xml:space="preserve"># Jornadas de Capacitación en Seguridad y Privacidad de la Información para Servidores Públicos y Contratistas </v>
      </c>
      <c r="J360" s="221">
        <f>+'Plan de Accion apoyo transversa'!AT151</f>
        <v>0</v>
      </c>
      <c r="K360" s="483" t="str">
        <f>+'Plan de Accion apoyo transversa'!CE151</f>
        <v>No Prog ni Ejec</v>
      </c>
      <c r="L360" s="483" t="s">
        <v>204</v>
      </c>
      <c r="M360" s="483">
        <f>+'Plan de Accion apoyo transversa'!AX151</f>
        <v>0</v>
      </c>
      <c r="N360" s="483">
        <f t="shared" si="287"/>
        <v>0</v>
      </c>
      <c r="O360" s="485" t="s">
        <v>204</v>
      </c>
      <c r="P360" s="216"/>
      <c r="Q360" s="221">
        <f>+'Plan de Accion apoyo transversa'!BD151</f>
        <v>1</v>
      </c>
      <c r="R360" s="311">
        <f>+'Plan de Accion apoyo transversa'!CG151</f>
        <v>1</v>
      </c>
      <c r="S360" s="253">
        <f t="shared" si="307"/>
        <v>1</v>
      </c>
      <c r="T360" s="311">
        <f>+'Plan de Accion apoyo transversa'!BH151</f>
        <v>0.5</v>
      </c>
      <c r="U360" s="311">
        <f t="shared" si="308"/>
        <v>0.5</v>
      </c>
      <c r="V360" s="214">
        <f t="shared" si="309"/>
        <v>0.5</v>
      </c>
      <c r="W360" s="216"/>
      <c r="X360" s="221">
        <f>+'Plan de Accion apoyo transversa'!BN151</f>
        <v>0</v>
      </c>
      <c r="Y360" s="311" t="str">
        <f>+'Plan de Accion apoyo transversa'!CI151</f>
        <v>No Prog ni Ejec</v>
      </c>
      <c r="Z360" s="215" t="s">
        <v>204</v>
      </c>
      <c r="AA360" s="220">
        <f>+'Plan de Accion apoyo transversa'!BR151</f>
        <v>0.5</v>
      </c>
      <c r="AB360" s="220">
        <f t="shared" si="310"/>
        <v>0.5</v>
      </c>
      <c r="AC360" s="219">
        <f t="shared" si="313"/>
        <v>0.5</v>
      </c>
      <c r="AD360" s="216"/>
      <c r="AE360" s="221">
        <f>+'Plan de Accion apoyo transversa'!BX151</f>
        <v>0</v>
      </c>
      <c r="AF360" s="311">
        <f>+'Plan de Accion apoyo transversa'!CK151</f>
        <v>0</v>
      </c>
      <c r="AG360" s="215">
        <f t="shared" si="311"/>
        <v>0</v>
      </c>
      <c r="AH360" s="311">
        <f>+'Plan de Accion apoyo transversa'!CB151</f>
        <v>0.5</v>
      </c>
      <c r="AI360" s="214">
        <f t="shared" si="312"/>
        <v>0.5</v>
      </c>
      <c r="AJ360" s="321"/>
      <c r="AL360" s="320"/>
      <c r="AM360" s="316"/>
      <c r="AN360" s="207"/>
      <c r="AO360" s="317"/>
      <c r="AP360" s="316"/>
      <c r="AQ360" s="207"/>
      <c r="AR360" s="316"/>
      <c r="AS360" s="316"/>
      <c r="AT360" s="207"/>
      <c r="AU360" s="316"/>
      <c r="AV360" s="316"/>
      <c r="AW360" s="205"/>
      <c r="AX360" s="319"/>
      <c r="AZ360" s="320"/>
      <c r="BA360" s="316"/>
      <c r="BB360" s="207"/>
      <c r="BC360" s="317"/>
      <c r="BD360" s="316"/>
      <c r="BE360" s="207"/>
      <c r="BF360" s="316"/>
      <c r="BG360" s="316"/>
      <c r="BH360" s="207"/>
      <c r="BI360" s="316"/>
      <c r="BJ360" s="316"/>
      <c r="BK360" s="205"/>
      <c r="BL360" s="319"/>
      <c r="BN360" s="320"/>
      <c r="BO360" s="316"/>
      <c r="BP360" s="207"/>
      <c r="BQ360" s="317"/>
      <c r="BR360" s="316"/>
      <c r="BS360" s="207"/>
      <c r="BT360" s="316"/>
      <c r="BU360" s="316"/>
      <c r="BV360" s="207"/>
      <c r="BW360" s="316"/>
      <c r="BX360" s="316"/>
      <c r="BY360" s="205"/>
      <c r="BZ360" s="319"/>
      <c r="CB360" s="320"/>
      <c r="CC360" s="316"/>
      <c r="CD360" s="207"/>
      <c r="CE360" s="317"/>
      <c r="CF360" s="316"/>
      <c r="CG360" s="207"/>
      <c r="CH360" s="316"/>
      <c r="CI360" s="316"/>
      <c r="CJ360" s="207"/>
      <c r="CK360" s="316"/>
      <c r="CL360" s="316"/>
      <c r="CM360" s="205"/>
      <c r="CN360" s="319"/>
    </row>
    <row r="361" spans="2:92" ht="69.75" customHeight="1" x14ac:dyDescent="0.2">
      <c r="B361" s="1456"/>
      <c r="C361" s="1314"/>
      <c r="D361" s="1353"/>
      <c r="E361" s="809" t="s">
        <v>1</v>
      </c>
      <c r="F361" s="520" t="s">
        <v>1186</v>
      </c>
      <c r="G361" s="521" t="str">
        <f>+'Plan de Accion apoyo transversa'!X145</f>
        <v>Conjunto de datos abiertos de la DGTIC.</v>
      </c>
      <c r="H361" s="227" t="str">
        <f>+'Plan de Accion apoyo transversa'!AK145</f>
        <v># Conjuntos de datos abiertos publicados</v>
      </c>
      <c r="J361" s="221">
        <f>+'Plan de Accion apoyo transversa'!AT145</f>
        <v>0</v>
      </c>
      <c r="K361" s="522" t="str">
        <f>+'Plan de Accion apoyo transversa'!CE145</f>
        <v>No Prog ni Ejec</v>
      </c>
      <c r="L361" s="522" t="s">
        <v>204</v>
      </c>
      <c r="M361" s="522">
        <f>+'Plan de Accion apoyo transversa'!AX145</f>
        <v>0</v>
      </c>
      <c r="N361" s="522">
        <f>IF(M361&gt;100%,100%,M361)</f>
        <v>0</v>
      </c>
      <c r="O361" s="523" t="s">
        <v>204</v>
      </c>
      <c r="P361" s="216"/>
      <c r="Q361" s="221">
        <f>+'Plan de Accion apoyo transversa'!BD145</f>
        <v>0</v>
      </c>
      <c r="R361" s="522" t="str">
        <f>+'Plan de Accion apoyo transversa'!CG145</f>
        <v>No Prog ni Ejec</v>
      </c>
      <c r="S361" s="253" t="s">
        <v>204</v>
      </c>
      <c r="T361" s="522">
        <f>+'Plan de Accion apoyo transversa'!BH145</f>
        <v>0</v>
      </c>
      <c r="U361" s="522">
        <f t="shared" si="308"/>
        <v>0</v>
      </c>
      <c r="V361" s="214" t="s">
        <v>204</v>
      </c>
      <c r="W361" s="216"/>
      <c r="X361" s="221">
        <f>+'Plan de Accion apoyo transversa'!BN145</f>
        <v>0</v>
      </c>
      <c r="Y361" s="522" t="str">
        <f>+'Plan de Accion apoyo transversa'!CI145</f>
        <v>No Prog ni Ejec</v>
      </c>
      <c r="Z361" s="215" t="s">
        <v>204</v>
      </c>
      <c r="AA361" s="220">
        <f>+'Plan de Accion apoyo transversa'!BR145</f>
        <v>0</v>
      </c>
      <c r="AB361" s="220">
        <f t="shared" si="310"/>
        <v>0</v>
      </c>
      <c r="AC361" s="219" t="s">
        <v>204</v>
      </c>
      <c r="AD361" s="216"/>
      <c r="AE361" s="221">
        <f>+'Plan de Accion apoyo transversa'!BX145</f>
        <v>0</v>
      </c>
      <c r="AF361" s="522" t="s">
        <v>180</v>
      </c>
      <c r="AG361" s="215" t="s">
        <v>204</v>
      </c>
      <c r="AH361" s="522" t="s">
        <v>204</v>
      </c>
      <c r="AI361" s="214" t="s">
        <v>204</v>
      </c>
      <c r="AJ361" s="525"/>
      <c r="AL361" s="528"/>
      <c r="AM361" s="524"/>
      <c r="AN361" s="207"/>
      <c r="AO361" s="526"/>
      <c r="AP361" s="524"/>
      <c r="AQ361" s="207"/>
      <c r="AR361" s="524"/>
      <c r="AS361" s="524"/>
      <c r="AT361" s="207"/>
      <c r="AU361" s="524"/>
      <c r="AV361" s="524"/>
      <c r="AW361" s="205"/>
      <c r="AX361" s="529"/>
      <c r="AZ361" s="528"/>
      <c r="BA361" s="524"/>
      <c r="BB361" s="207"/>
      <c r="BC361" s="526"/>
      <c r="BD361" s="524"/>
      <c r="BE361" s="207"/>
      <c r="BF361" s="524"/>
      <c r="BG361" s="524"/>
      <c r="BH361" s="207"/>
      <c r="BI361" s="524"/>
      <c r="BJ361" s="524"/>
      <c r="BK361" s="205"/>
      <c r="BL361" s="529"/>
      <c r="BN361" s="528"/>
      <c r="BO361" s="524"/>
      <c r="BP361" s="207"/>
      <c r="BQ361" s="526"/>
      <c r="BR361" s="524"/>
      <c r="BS361" s="207"/>
      <c r="BT361" s="524"/>
      <c r="BU361" s="524"/>
      <c r="BV361" s="207"/>
      <c r="BW361" s="524"/>
      <c r="BX361" s="524"/>
      <c r="BY361" s="205"/>
      <c r="BZ361" s="529"/>
      <c r="CB361" s="528"/>
      <c r="CC361" s="524"/>
      <c r="CD361" s="207"/>
      <c r="CE361" s="526"/>
      <c r="CF361" s="524"/>
      <c r="CG361" s="207"/>
      <c r="CH361" s="524"/>
      <c r="CI361" s="524"/>
      <c r="CJ361" s="207"/>
      <c r="CK361" s="524"/>
      <c r="CL361" s="524"/>
      <c r="CM361" s="205"/>
      <c r="CN361" s="529"/>
    </row>
    <row r="362" spans="2:92" ht="69.75" customHeight="1" x14ac:dyDescent="0.2">
      <c r="B362" s="1456"/>
      <c r="C362" s="1314"/>
      <c r="D362" s="348" t="s">
        <v>204</v>
      </c>
      <c r="E362" s="350" t="s">
        <v>3</v>
      </c>
      <c r="F362" s="349" t="s">
        <v>330</v>
      </c>
      <c r="G362" s="322" t="str">
        <f>+'Plan de Accion apoyo transversa'!X48</f>
        <v>Boletines de Autocontrol con mensajes o actividades de promoción del  autocontrol para los funcionarios de ADRES.</v>
      </c>
      <c r="H362" s="218" t="str">
        <f>+'Plan de Accion apoyo transversa'!AK48</f>
        <v># Boletines de Autocontrol socializados con los funcionarios de la ADRES 
Indicador acumulado</v>
      </c>
      <c r="J362" s="221">
        <f>+'Plan de Accion apoyo transversa'!AT48</f>
        <v>3</v>
      </c>
      <c r="K362" s="483">
        <f>+'Plan de Accion apoyo transversa'!CE48</f>
        <v>1</v>
      </c>
      <c r="L362" s="483">
        <f>IF(K362&gt;100%,100%,K362)</f>
        <v>1</v>
      </c>
      <c r="M362" s="483">
        <f>+'Plan de Accion apoyo transversa'!AX48</f>
        <v>0.25</v>
      </c>
      <c r="N362" s="483">
        <f>IF(M362&gt;100%,100%,M362)</f>
        <v>0.25</v>
      </c>
      <c r="O362" s="485">
        <f>+N362</f>
        <v>0.25</v>
      </c>
      <c r="P362" s="216"/>
      <c r="Q362" s="221">
        <f>+'Plan de Accion apoyo transversa'!BD48</f>
        <v>3</v>
      </c>
      <c r="R362" s="253">
        <f>+'Plan de Accion apoyo transversa'!CG48</f>
        <v>1</v>
      </c>
      <c r="S362" s="215">
        <f>IF(R362&gt;100%,100%,R362)</f>
        <v>1</v>
      </c>
      <c r="T362" s="311">
        <f>+'Plan de Accion apoyo transversa'!BH48</f>
        <v>0.5</v>
      </c>
      <c r="U362" s="311">
        <f t="shared" si="308"/>
        <v>0.5</v>
      </c>
      <c r="V362" s="214">
        <f t="shared" si="309"/>
        <v>0.5</v>
      </c>
      <c r="W362" s="216"/>
      <c r="X362" s="221">
        <f>+'Plan de Accion apoyo transversa'!BN48</f>
        <v>3</v>
      </c>
      <c r="Y362" s="253">
        <f>+'Plan de Accion apoyo transversa'!CI48</f>
        <v>1</v>
      </c>
      <c r="Z362" s="215">
        <f>IF(Y362&gt;100%,100%,Y362)</f>
        <v>1</v>
      </c>
      <c r="AA362" s="220">
        <f>+'Plan de Accion apoyo transversa'!BR48</f>
        <v>0.75</v>
      </c>
      <c r="AB362" s="220">
        <f t="shared" si="310"/>
        <v>0.75</v>
      </c>
      <c r="AC362" s="219">
        <f t="shared" si="313"/>
        <v>0.75</v>
      </c>
      <c r="AD362" s="216"/>
      <c r="AE362" s="221">
        <f>+'Plan de Accion apoyo transversa'!BX48</f>
        <v>0</v>
      </c>
      <c r="AF362" s="253">
        <f>+'Plan de Accion apoyo transversa'!CK48</f>
        <v>0</v>
      </c>
      <c r="AG362" s="215">
        <f>IF(AF362&gt;100%,100%,AF362)</f>
        <v>0</v>
      </c>
      <c r="AH362" s="253">
        <f>+'Plan de Accion apoyo transversa'!CB48</f>
        <v>0.75</v>
      </c>
      <c r="AI362" s="214">
        <f t="shared" si="312"/>
        <v>0.75</v>
      </c>
      <c r="AJ362" s="355"/>
      <c r="AL362" s="354"/>
      <c r="AM362" s="351"/>
      <c r="AN362" s="207"/>
      <c r="AO362" s="352"/>
      <c r="AP362" s="351"/>
      <c r="AQ362" s="207"/>
      <c r="AR362" s="351"/>
      <c r="AS362" s="351"/>
      <c r="AT362" s="207"/>
      <c r="AU362" s="351"/>
      <c r="AV362" s="351"/>
      <c r="AW362" s="205"/>
      <c r="AX362" s="353"/>
      <c r="AZ362" s="354"/>
      <c r="BA362" s="351"/>
      <c r="BB362" s="207"/>
      <c r="BC362" s="352"/>
      <c r="BD362" s="351"/>
      <c r="BE362" s="207"/>
      <c r="BF362" s="351"/>
      <c r="BG362" s="351"/>
      <c r="BH362" s="207"/>
      <c r="BI362" s="351"/>
      <c r="BJ362" s="351"/>
      <c r="BK362" s="205"/>
      <c r="BL362" s="353"/>
      <c r="BN362" s="354"/>
      <c r="BO362" s="351"/>
      <c r="BP362" s="207"/>
      <c r="BQ362" s="352"/>
      <c r="BR362" s="351"/>
      <c r="BS362" s="207"/>
      <c r="BT362" s="351"/>
      <c r="BU362" s="351"/>
      <c r="BV362" s="207"/>
      <c r="BW362" s="351"/>
      <c r="BX362" s="351"/>
      <c r="BY362" s="205"/>
      <c r="BZ362" s="353"/>
      <c r="CB362" s="354"/>
      <c r="CC362" s="351"/>
      <c r="CD362" s="207"/>
      <c r="CE362" s="352"/>
      <c r="CF362" s="351"/>
      <c r="CG362" s="207"/>
      <c r="CH362" s="351"/>
      <c r="CI362" s="351"/>
      <c r="CJ362" s="207"/>
      <c r="CK362" s="351"/>
      <c r="CL362" s="351"/>
      <c r="CM362" s="205"/>
      <c r="CN362" s="353"/>
    </row>
    <row r="363" spans="2:92" ht="69.75" customHeight="1" x14ac:dyDescent="0.2">
      <c r="B363" s="1456"/>
      <c r="C363" s="1314"/>
      <c r="D363" s="1351" t="s">
        <v>204</v>
      </c>
      <c r="E363" s="1354" t="s">
        <v>231</v>
      </c>
      <c r="F363" s="1316" t="s">
        <v>1189</v>
      </c>
      <c r="G363" s="315" t="str">
        <f>+'Plan de Accion apoyo transversa'!X154</f>
        <v>Jornadas de socialización de la Política actualizada a funcionarios y contratistas</v>
      </c>
      <c r="H363" s="227" t="str">
        <f>+'Plan de Accion apoyo transversa'!AK154</f>
        <v># Políticas socializadas</v>
      </c>
      <c r="J363" s="221">
        <f>+'Plan de Accion apoyo transversa'!AT154</f>
        <v>0</v>
      </c>
      <c r="K363" s="483" t="str">
        <f>+'Plan de Accion apoyo transversa'!CE154</f>
        <v>No Prog ni Ejec</v>
      </c>
      <c r="L363" s="483" t="s">
        <v>204</v>
      </c>
      <c r="M363" s="483">
        <f>+'Plan de Accion apoyo transversa'!AX154</f>
        <v>0</v>
      </c>
      <c r="N363" s="483">
        <f t="shared" si="287"/>
        <v>0</v>
      </c>
      <c r="O363" s="485" t="s">
        <v>204</v>
      </c>
      <c r="P363" s="216"/>
      <c r="Q363" s="221">
        <f>+'Plan de Accion apoyo transversa'!BD154</f>
        <v>1</v>
      </c>
      <c r="R363" s="311">
        <f>+'Plan de Accion apoyo transversa'!CG154</f>
        <v>1</v>
      </c>
      <c r="S363" s="253">
        <f t="shared" si="307"/>
        <v>1</v>
      </c>
      <c r="T363" s="311">
        <f>+'Plan de Accion apoyo transversa'!BH154</f>
        <v>1</v>
      </c>
      <c r="U363" s="311">
        <f t="shared" si="308"/>
        <v>1</v>
      </c>
      <c r="V363" s="214">
        <f t="shared" si="309"/>
        <v>1</v>
      </c>
      <c r="W363" s="216"/>
      <c r="X363" s="221">
        <f>+'Plan de Accion apoyo transversa'!BN154</f>
        <v>0</v>
      </c>
      <c r="Y363" s="311" t="str">
        <f>+'Plan de Accion apoyo transversa'!CI154</f>
        <v>No Prog ni Ejec</v>
      </c>
      <c r="Z363" s="215" t="s">
        <v>204</v>
      </c>
      <c r="AA363" s="220">
        <f>+'Plan de Accion apoyo transversa'!BR154</f>
        <v>1</v>
      </c>
      <c r="AB363" s="220">
        <f t="shared" si="310"/>
        <v>1</v>
      </c>
      <c r="AC363" s="219">
        <f t="shared" si="313"/>
        <v>1</v>
      </c>
      <c r="AD363" s="216"/>
      <c r="AE363" s="221">
        <f>+'Plan de Accion apoyo transversa'!BX154</f>
        <v>0</v>
      </c>
      <c r="AF363" s="311" t="str">
        <f>+'Plan de Accion apoyo transversa'!CK154</f>
        <v>No Prog ni Ejec</v>
      </c>
      <c r="AG363" s="215" t="s">
        <v>204</v>
      </c>
      <c r="AH363" s="311">
        <f>+'Plan de Accion apoyo transversa'!CB154</f>
        <v>1</v>
      </c>
      <c r="AI363" s="214">
        <f t="shared" si="312"/>
        <v>1</v>
      </c>
      <c r="AJ363" s="321"/>
      <c r="AL363" s="320"/>
      <c r="AM363" s="316"/>
      <c r="AN363" s="207"/>
      <c r="AO363" s="317"/>
      <c r="AP363" s="316"/>
      <c r="AQ363" s="207"/>
      <c r="AR363" s="316"/>
      <c r="AS363" s="316"/>
      <c r="AT363" s="207"/>
      <c r="AU363" s="316"/>
      <c r="AV363" s="316"/>
      <c r="AW363" s="205"/>
      <c r="AX363" s="319"/>
      <c r="AZ363" s="320"/>
      <c r="BA363" s="316"/>
      <c r="BB363" s="207"/>
      <c r="BC363" s="317"/>
      <c r="BD363" s="316"/>
      <c r="BE363" s="207"/>
      <c r="BF363" s="316"/>
      <c r="BG363" s="316"/>
      <c r="BH363" s="207"/>
      <c r="BI363" s="316"/>
      <c r="BJ363" s="316"/>
      <c r="BK363" s="205"/>
      <c r="BL363" s="319"/>
      <c r="BN363" s="320"/>
      <c r="BO363" s="316"/>
      <c r="BP363" s="207"/>
      <c r="BQ363" s="317"/>
      <c r="BR363" s="316"/>
      <c r="BS363" s="207"/>
      <c r="BT363" s="316"/>
      <c r="BU363" s="316"/>
      <c r="BV363" s="207"/>
      <c r="BW363" s="316"/>
      <c r="BX363" s="316"/>
      <c r="BY363" s="205"/>
      <c r="BZ363" s="319"/>
      <c r="CB363" s="320"/>
      <c r="CC363" s="316"/>
      <c r="CD363" s="207"/>
      <c r="CE363" s="317"/>
      <c r="CF363" s="316"/>
      <c r="CG363" s="207"/>
      <c r="CH363" s="316"/>
      <c r="CI363" s="316"/>
      <c r="CJ363" s="207"/>
      <c r="CK363" s="316"/>
      <c r="CL363" s="316"/>
      <c r="CM363" s="205"/>
      <c r="CN363" s="319"/>
    </row>
    <row r="364" spans="2:92" ht="69.75" customHeight="1" thickBot="1" x14ac:dyDescent="0.25">
      <c r="B364" s="1456"/>
      <c r="C364" s="1315"/>
      <c r="D364" s="1353"/>
      <c r="E364" s="1312"/>
      <c r="F364" s="1318"/>
      <c r="G364" s="315" t="str">
        <f>+'Plan de Accion apoyo transversa'!X158</f>
        <v xml:space="preserve">Listas de asistencia a reuniones de autocontrol </v>
      </c>
      <c r="H364" s="227" t="str">
        <f>+'Plan de Accion apoyo transversa'!AK158</f>
        <v xml:space="preserve"># Listas de asistencia a reuniones de autocontrol </v>
      </c>
      <c r="J364" s="221">
        <f>+'Plan de Accion apoyo transversa'!AT158</f>
        <v>0</v>
      </c>
      <c r="K364" s="483" t="str">
        <f>+'Plan de Accion apoyo transversa'!CE158</f>
        <v>No Prog ni Ejec</v>
      </c>
      <c r="L364" s="483" t="s">
        <v>204</v>
      </c>
      <c r="M364" s="483">
        <f>+'Plan de Accion apoyo transversa'!AX158</f>
        <v>0</v>
      </c>
      <c r="N364" s="483">
        <f t="shared" si="287"/>
        <v>0</v>
      </c>
      <c r="O364" s="485" t="s">
        <v>204</v>
      </c>
      <c r="P364" s="216"/>
      <c r="Q364" s="446">
        <f>+'Plan de Accion apoyo transversa'!BD158</f>
        <v>1</v>
      </c>
      <c r="R364" s="658">
        <f>+'Plan de Accion apoyo transversa'!CG158</f>
        <v>1</v>
      </c>
      <c r="S364" s="657">
        <f t="shared" si="307"/>
        <v>1</v>
      </c>
      <c r="T364" s="658">
        <f>+'Plan de Accion apoyo transversa'!BH158</f>
        <v>0.33333333333333331</v>
      </c>
      <c r="U364" s="658">
        <f t="shared" si="308"/>
        <v>0.33333333333333331</v>
      </c>
      <c r="V364" s="449">
        <f t="shared" si="309"/>
        <v>0.33333333333333331</v>
      </c>
      <c r="W364" s="216"/>
      <c r="X364" s="221">
        <f>+'Plan de Accion apoyo transversa'!BN158</f>
        <v>1</v>
      </c>
      <c r="Y364" s="311">
        <f>+'Plan de Accion apoyo transversa'!CI158</f>
        <v>1</v>
      </c>
      <c r="Z364" s="215">
        <f>IF(Y364&gt;100%,100%,Y364)</f>
        <v>1</v>
      </c>
      <c r="AA364" s="220">
        <f>+'Plan de Accion apoyo transversa'!BR158</f>
        <v>0.66666666666666663</v>
      </c>
      <c r="AB364" s="220">
        <f t="shared" si="310"/>
        <v>0.66666666666666663</v>
      </c>
      <c r="AC364" s="219">
        <f t="shared" si="313"/>
        <v>0.66666666666666663</v>
      </c>
      <c r="AD364" s="216"/>
      <c r="AE364" s="221">
        <f>+'Plan de Accion apoyo transversa'!BX158</f>
        <v>0</v>
      </c>
      <c r="AF364" s="311">
        <f>+'Plan de Accion apoyo transversa'!CK158</f>
        <v>0</v>
      </c>
      <c r="AG364" s="215">
        <f t="shared" si="311"/>
        <v>0</v>
      </c>
      <c r="AH364" s="311">
        <f>+'Plan de Accion apoyo transversa'!CB158</f>
        <v>0.66666666666666663</v>
      </c>
      <c r="AI364" s="214">
        <f t="shared" si="312"/>
        <v>0.66666666666666663</v>
      </c>
      <c r="AJ364" s="321"/>
      <c r="AL364" s="320"/>
      <c r="AM364" s="316"/>
      <c r="AN364" s="207"/>
      <c r="AO364" s="317"/>
      <c r="AP364" s="316"/>
      <c r="AQ364" s="207"/>
      <c r="AR364" s="316"/>
      <c r="AS364" s="316"/>
      <c r="AT364" s="207"/>
      <c r="AU364" s="316"/>
      <c r="AV364" s="316"/>
      <c r="AW364" s="205"/>
      <c r="AX364" s="319"/>
      <c r="AZ364" s="320"/>
      <c r="BA364" s="316"/>
      <c r="BB364" s="207"/>
      <c r="BC364" s="317"/>
      <c r="BD364" s="316"/>
      <c r="BE364" s="207"/>
      <c r="BF364" s="316"/>
      <c r="BG364" s="316"/>
      <c r="BH364" s="207"/>
      <c r="BI364" s="316"/>
      <c r="BJ364" s="316"/>
      <c r="BK364" s="205"/>
      <c r="BL364" s="319"/>
      <c r="BN364" s="320"/>
      <c r="BO364" s="316"/>
      <c r="BP364" s="207"/>
      <c r="BQ364" s="317"/>
      <c r="BR364" s="316"/>
      <c r="BS364" s="207"/>
      <c r="BT364" s="316"/>
      <c r="BU364" s="316"/>
      <c r="BV364" s="207"/>
      <c r="BW364" s="316"/>
      <c r="BX364" s="316"/>
      <c r="BY364" s="205"/>
      <c r="BZ364" s="319"/>
      <c r="CB364" s="320"/>
      <c r="CC364" s="316"/>
      <c r="CD364" s="207"/>
      <c r="CE364" s="317"/>
      <c r="CF364" s="316"/>
      <c r="CG364" s="207"/>
      <c r="CH364" s="316"/>
      <c r="CI364" s="316"/>
      <c r="CJ364" s="207"/>
      <c r="CK364" s="316"/>
      <c r="CL364" s="316"/>
      <c r="CM364" s="205"/>
      <c r="CN364" s="319"/>
    </row>
    <row r="365" spans="2:92" ht="20.25" thickBot="1" x14ac:dyDescent="0.3">
      <c r="B365" s="1357" t="s">
        <v>218</v>
      </c>
      <c r="C365" s="1358"/>
      <c r="D365" s="1358"/>
      <c r="E365" s="1358"/>
      <c r="F365" s="1359"/>
      <c r="G365" s="1359"/>
      <c r="H365" s="1360"/>
      <c r="J365" s="200" t="s">
        <v>204</v>
      </c>
      <c r="K365" s="199">
        <f>AVERAGE(K310:K364)</f>
        <v>0.875</v>
      </c>
      <c r="L365" s="203">
        <f>IF(K365&gt;100%,100%,K365)</f>
        <v>0.875</v>
      </c>
      <c r="M365" s="199">
        <f>AVERAGE(M310:M364)</f>
        <v>9.5394736842105268E-2</v>
      </c>
      <c r="N365" s="199">
        <f>IF(M365&gt;25%,25%,M365)</f>
        <v>9.5394736842105268E-2</v>
      </c>
      <c r="O365" s="202">
        <f>AVERAGE(O310:O364)</f>
        <v>0.38157894736842107</v>
      </c>
      <c r="P365" s="201"/>
      <c r="Q365" s="200" t="s">
        <v>204</v>
      </c>
      <c r="R365" s="199">
        <f>AVERAGE(R310:R364)</f>
        <v>0.81818181818181823</v>
      </c>
      <c r="S365" s="203">
        <f>IF(R365&gt;100%,100%,R365)</f>
        <v>0.81818181818181823</v>
      </c>
      <c r="T365" s="199">
        <f>AVERAGE(T310:T364)</f>
        <v>0.21313909774436088</v>
      </c>
      <c r="U365" s="199">
        <f>IF(T365&gt;50%,50%,T365)</f>
        <v>0.21313909774436088</v>
      </c>
      <c r="V365" s="799">
        <f>AVERAGE(V310:V364)</f>
        <v>0.42627819548872176</v>
      </c>
      <c r="W365" s="201"/>
      <c r="X365" s="1028" t="s">
        <v>204</v>
      </c>
      <c r="Y365" s="1029">
        <f>AVERAGE(Y310:Y364)</f>
        <v>0.6333333333333333</v>
      </c>
      <c r="Z365" s="1030">
        <f>IF(Y365&gt;100%,100%,Y365)</f>
        <v>0.6333333333333333</v>
      </c>
      <c r="AA365" s="1031">
        <f>AVERAGE(AA310:AA364)</f>
        <v>0.42032581453634077</v>
      </c>
      <c r="AB365" s="1031">
        <f>IF(AA365&gt;75%,75%,AA365)</f>
        <v>0.42032581453634077</v>
      </c>
      <c r="AC365" s="1032">
        <f>AVERAGE(AC310:AC364)</f>
        <v>0.48950558213716105</v>
      </c>
      <c r="AD365" s="201"/>
      <c r="AE365" s="200" t="s">
        <v>204</v>
      </c>
      <c r="AF365" s="199">
        <f>AVERAGE(AF310:AF364)</f>
        <v>0</v>
      </c>
      <c r="AG365" s="203">
        <f>IF(AF365&gt;100%,100%,AF365)</f>
        <v>0</v>
      </c>
      <c r="AH365" s="199">
        <f>AVERAGE(AH310:AH364)</f>
        <v>0.43589343729694602</v>
      </c>
      <c r="AI365" s="202">
        <f>AVERAGE(AI310:AI364)</f>
        <v>0.43589343729694602</v>
      </c>
      <c r="AL365" s="196"/>
      <c r="AM365" s="198"/>
      <c r="AN365" s="197"/>
      <c r="AO365" s="196"/>
      <c r="AP365" s="195"/>
      <c r="AQ365" s="197"/>
      <c r="AR365" s="196"/>
      <c r="AS365" s="195"/>
      <c r="AT365" s="197"/>
      <c r="AU365" s="196"/>
      <c r="AV365" s="195"/>
      <c r="AZ365" s="196"/>
      <c r="BA365" s="198"/>
      <c r="BB365" s="197"/>
      <c r="BC365" s="196"/>
      <c r="BD365" s="195"/>
      <c r="BE365" s="197"/>
      <c r="BF365" s="196"/>
      <c r="BG365" s="195"/>
      <c r="BH365" s="197"/>
      <c r="BI365" s="196"/>
      <c r="BJ365" s="195"/>
      <c r="BN365" s="196"/>
      <c r="BO365" s="198"/>
      <c r="BP365" s="197"/>
      <c r="BQ365" s="196"/>
      <c r="BR365" s="195"/>
      <c r="BS365" s="197"/>
      <c r="BT365" s="196"/>
      <c r="BU365" s="195"/>
      <c r="BV365" s="197"/>
      <c r="BW365" s="196"/>
      <c r="BX365" s="195"/>
      <c r="CB365" s="196"/>
      <c r="CC365" s="198"/>
      <c r="CD365" s="197"/>
      <c r="CE365" s="196"/>
      <c r="CF365" s="195"/>
      <c r="CG365" s="197"/>
      <c r="CH365" s="196"/>
      <c r="CI365" s="195"/>
      <c r="CJ365" s="197"/>
      <c r="CK365" s="196"/>
      <c r="CL365" s="195"/>
    </row>
    <row r="366" spans="2:92" ht="25.5" thickBot="1" x14ac:dyDescent="0.35">
      <c r="B366" s="1357" t="s">
        <v>1156</v>
      </c>
      <c r="C366" s="1358"/>
      <c r="D366" s="1358"/>
      <c r="E366" s="1358"/>
      <c r="F366" s="1359"/>
      <c r="G366" s="1359"/>
      <c r="H366" s="1360"/>
      <c r="J366" s="193" t="str">
        <f>+J365</f>
        <v>N.A</v>
      </c>
      <c r="K366" s="191">
        <f>(K132+K208+K309+K365)/4</f>
        <v>0.77119788053598071</v>
      </c>
      <c r="L366" s="191">
        <f>(L132+L208+L309+L365)/4</f>
        <v>0.77119788053598071</v>
      </c>
      <c r="M366" s="191">
        <f>(M132+M208+M309+M365)/4</f>
        <v>0.14802609432978711</v>
      </c>
      <c r="N366" s="191">
        <f>(N132+N208+N309+N365)/4</f>
        <v>0.14802609432978711</v>
      </c>
      <c r="O366" s="188">
        <f>(O132+O208+O309+O365)/4</f>
        <v>0.30038106743971327</v>
      </c>
      <c r="P366" s="186"/>
      <c r="Q366" s="189" t="str">
        <f>+Q365</f>
        <v>N.A</v>
      </c>
      <c r="R366" s="191">
        <f>(R132+R208+R309+R365)/4</f>
        <v>0.9012325118765645</v>
      </c>
      <c r="S366" s="192">
        <f>(S132+S208+S309+S365)/4</f>
        <v>0.9012325118765645</v>
      </c>
      <c r="T366" s="191">
        <f>(T132+T208+T309+T365)/4</f>
        <v>0.29177851517788589</v>
      </c>
      <c r="U366" s="191">
        <f>(U132+U208+U309+U365)/4</f>
        <v>0.29177851517788589</v>
      </c>
      <c r="V366" s="188">
        <f>(V132+V208+V309+V365)/4</f>
        <v>0.4279550243336338</v>
      </c>
      <c r="W366" s="186"/>
      <c r="X366" s="193" t="str">
        <f>+X365</f>
        <v>N.A</v>
      </c>
      <c r="Y366" s="191">
        <f>(Y132+Y208+Y309+Y365)/4</f>
        <v>0.83105211424074155</v>
      </c>
      <c r="Z366" s="191">
        <f>(Z132+Z208+Z309+Z365)/4</f>
        <v>0.83105211424074155</v>
      </c>
      <c r="AA366" s="1037">
        <f>(AA132+AA208+AA309+AA365)/4</f>
        <v>0.52300653484073711</v>
      </c>
      <c r="AB366" s="1037">
        <f>(AB132+AB208+AB309+AB365)/4</f>
        <v>0.52300653484073711</v>
      </c>
      <c r="AC366" s="190">
        <f>(AC132+AC208+AC309+AC365)/4</f>
        <v>0.58006467649320403</v>
      </c>
      <c r="AD366" s="186"/>
      <c r="AE366" s="189" t="str">
        <f>+AE365</f>
        <v>N.A</v>
      </c>
      <c r="AF366" s="191">
        <f>(AF132+AF208+AF309+AF365)/4</f>
        <v>0</v>
      </c>
      <c r="AG366" s="192">
        <f>(AG132+AG208+AG309+AG365)/4</f>
        <v>0</v>
      </c>
      <c r="AH366" s="191" t="e">
        <f>(AH132+AH208+AH309+AH365)/4</f>
        <v>#VALUE!</v>
      </c>
      <c r="AI366" s="357" t="e">
        <f>(AI132+AI208+AI309+AI365)/4</f>
        <v>#VALUE!</v>
      </c>
      <c r="BG366" s="194"/>
      <c r="BH366" s="194"/>
    </row>
    <row r="367" spans="2:92" ht="25.5" thickBot="1" x14ac:dyDescent="0.35">
      <c r="B367" s="1357" t="s">
        <v>1155</v>
      </c>
      <c r="C367" s="1358"/>
      <c r="D367" s="1358"/>
      <c r="E367" s="1358"/>
      <c r="F367" s="1359"/>
      <c r="G367" s="1359"/>
      <c r="H367" s="1360"/>
      <c r="J367" s="193" t="str">
        <f>+J366</f>
        <v>N.A</v>
      </c>
      <c r="K367" s="191">
        <f>AVERAGE(K15:K131,K133,K135:K207,K209:K308,K310:K364)</f>
        <v>0.7558218142011871</v>
      </c>
      <c r="L367" s="192">
        <f>AVERAGE(L15:L131,L133,L135:L207,L209:L308,L310:L364)</f>
        <v>0.73954391716531076</v>
      </c>
      <c r="M367" s="191">
        <f>AVERAGE(M15:M34,M36:M131,M133,M135:M207,M209:M308,M310:M364)</f>
        <v>0.15830648259861974</v>
      </c>
      <c r="N367" s="191">
        <f>AVERAGE(N15:N34,N36:N131,N133,N135:N207,N209:N308,N310:N364)</f>
        <v>0.15705163804297076</v>
      </c>
      <c r="O367" s="191">
        <f>AVERAGE(O15:O131,O133,O135:O207,O209:O308,O310:O364)</f>
        <v>0.28754097106230725</v>
      </c>
      <c r="P367" s="186"/>
      <c r="Q367" s="189" t="str">
        <f>+Q366</f>
        <v>N.A</v>
      </c>
      <c r="R367" s="191">
        <f>AVERAGE(R15:R131,R133:R207,R209:R223,R225:R308,R310:R364)</f>
        <v>0.92657913241560375</v>
      </c>
      <c r="S367" s="191">
        <f>AVERAGE(S15:S131,S133:S207,S209:S223,S225:S308,S310:S364)</f>
        <v>0.88014768693801493</v>
      </c>
      <c r="T367" s="191">
        <f>AVERAGE(T15:T34,T36:T131,T133:T207,T209:T308,T310:T364)</f>
        <v>0.31004983301905792</v>
      </c>
      <c r="U367" s="191">
        <f>AVERAGE(U15:U34,U36:U131,U133:U207,U209:U308,U310:U364)</f>
        <v>0.30874136262769741</v>
      </c>
      <c r="V367" s="191">
        <f>AVERAGE(V15:V131,V133:V207,V209:V308,V310:V364)</f>
        <v>0.4384467408221191</v>
      </c>
      <c r="W367" s="186"/>
      <c r="X367" s="189" t="str">
        <f>+X366</f>
        <v>N.A</v>
      </c>
      <c r="Y367" s="1033">
        <f>AVERAGE(Y15:Y131,Y133:Y206,Y209:Y308,Y310:Y364)</f>
        <v>0.88197797182684401</v>
      </c>
      <c r="Z367" s="1034">
        <f>AVERAGE(Z15:Z131,Z133:Z206,Z209:Z308,Z310:Z364)</f>
        <v>0.81039130287859862</v>
      </c>
      <c r="AA367" s="1035">
        <f>AVERAGE(AA15:AA34,AA36:AA131,AA133:AA206,AA209:AA308,AA310:AA364)</f>
        <v>0.55449707518885705</v>
      </c>
      <c r="AB367" s="1035">
        <f>AVERAGE(AB15:AB34,AB36:AB131,AB133:AB206,AB209:AB308,AB310:AB364)</f>
        <v>0.55139472008909307</v>
      </c>
      <c r="AC367" s="1036">
        <f>AVERAGE(AC15:AC131,AC133:AC206,AC209:AC308,AC310:AC364)</f>
        <v>0.61099019217757833</v>
      </c>
      <c r="AD367" s="186"/>
      <c r="AE367" s="189" t="str">
        <f>+AE366</f>
        <v>N.A</v>
      </c>
      <c r="AF367" s="191">
        <f>AVERAGE(AF15:AF131,AF133:AF206,AF209:AF308,AF310:AF364)</f>
        <v>0</v>
      </c>
      <c r="AG367" s="192">
        <f>AVERAGE(AG15:AG131,AG133:AG206,AG209:AG308,AG310:AG364)</f>
        <v>6.0606060606060606E-3</v>
      </c>
      <c r="AH367" s="191" t="e">
        <f>AVERAGE(AH15:AH131,AH133:AH206,AH209:AH308,AH310:AH364)</f>
        <v>#VALUE!</v>
      </c>
      <c r="AI367" s="357" t="e">
        <f>AVERAGE(AI15:AI131,AI133:AI206,AI209:AI308,AI310:AI364)</f>
        <v>#VALUE!</v>
      </c>
    </row>
    <row r="368" spans="2:92" ht="25.5" thickBot="1" x14ac:dyDescent="0.35">
      <c r="B368" s="1357" t="s">
        <v>1154</v>
      </c>
      <c r="C368" s="1358"/>
      <c r="D368" s="1358"/>
      <c r="E368" s="1358"/>
      <c r="F368" s="1359"/>
      <c r="G368" s="1359"/>
      <c r="H368" s="1360"/>
      <c r="J368" s="193" t="str">
        <f>+J367</f>
        <v>N.A</v>
      </c>
      <c r="K368" s="191">
        <f>AVERAGE(K133,K135:K207,K209:K308,K310:K364)</f>
        <v>0.82827611840275961</v>
      </c>
      <c r="L368" s="192">
        <f>AVERAGE(L133,L135:L207,L209:L308,L310:L364)</f>
        <v>0.80930899356405339</v>
      </c>
      <c r="M368" s="191">
        <f>AVERAGE(M133,M135:M207,M209:M308,M310:M364)</f>
        <v>0.17088133186050111</v>
      </c>
      <c r="N368" s="191">
        <f>AVERAGE(N133,N135:N207,N209:N308,N310:N364)</f>
        <v>0.17088133186050111</v>
      </c>
      <c r="O368" s="191">
        <f>AVERAGE(O133,O135:O207,O209:O308,O310:O364)</f>
        <v>0.33130054136219605</v>
      </c>
      <c r="P368" s="186"/>
      <c r="Q368" s="189" t="str">
        <f>+Q367</f>
        <v>N.A</v>
      </c>
      <c r="R368" s="191">
        <f>AVERAGE(R133:R207,R209:R223,R225:R308,R310:R364)</f>
        <v>0.96739459512809489</v>
      </c>
      <c r="S368" s="191">
        <f>AVERAGE(S133:S207,S209:S223,S225:S308,S310:S364)</f>
        <v>0.91247884974337601</v>
      </c>
      <c r="T368" s="191">
        <f>AVERAGE(T133:T207,T209:T308,T310:T364)</f>
        <v>0.32211807860337272</v>
      </c>
      <c r="U368" s="191">
        <f>AVERAGE(U133:U207,U209:U308,U310:U364)</f>
        <v>0.32211807860337272</v>
      </c>
      <c r="V368" s="191">
        <f>AVERAGE(V133:V207,V209:V308,V310:V364)</f>
        <v>0.47133642884268173</v>
      </c>
      <c r="W368" s="186"/>
      <c r="X368" s="189" t="str">
        <f>+X367</f>
        <v>N.A</v>
      </c>
      <c r="Y368" s="191">
        <f>AVERAGE(Y133:Y206,Y209:Y308,Y310:Y364)</f>
        <v>0.9258935923392545</v>
      </c>
      <c r="Z368" s="192">
        <f>AVERAGE(Z133:Z206,Z209:Z308,Z310:Z364)</f>
        <v>0.84008577935319528</v>
      </c>
      <c r="AA368" s="1027">
        <f>AVERAGE(AA133:AA206,AA209:AA308,AA310:AA364)</f>
        <v>0.57934872640628088</v>
      </c>
      <c r="AB368" s="1027">
        <f>AVERAGE(AB133:AB206,AB209:AB308,AB310:AB364)</f>
        <v>0.57707185937531547</v>
      </c>
      <c r="AC368" s="190">
        <f>AVERAGE(AC133:AC206,AC209:AC308,AC310:AC364)</f>
        <v>0.65572247003596662</v>
      </c>
      <c r="AD368" s="186"/>
      <c r="AE368" s="189" t="str">
        <f>+AE367</f>
        <v>N.A</v>
      </c>
      <c r="AF368" s="191">
        <f>AVERAGE(AF133:AF206,AF209:AF308,AF310:AF364)</f>
        <v>0</v>
      </c>
      <c r="AG368" s="192">
        <f>AVERAGE(AG133:AG206,AG209:AG308,AG310:AG364)</f>
        <v>8.1967213114754103E-3</v>
      </c>
      <c r="AH368" s="191" t="e">
        <f>AVERAGE(AH133:AH206,AH209:AH308,AH310:AH364)</f>
        <v>#VALUE!</v>
      </c>
      <c r="AI368" s="357" t="e">
        <f>AVERAGE(AI133:AI206,AI209:AI308,AI310:AI364)</f>
        <v>#VALUE!</v>
      </c>
    </row>
    <row r="369" spans="2:37" s="176" customFormat="1" ht="24.75" x14ac:dyDescent="0.3">
      <c r="B369" s="187"/>
      <c r="C369" s="187"/>
      <c r="D369" s="187"/>
      <c r="E369" s="187"/>
      <c r="F369" s="187"/>
      <c r="G369" s="187"/>
      <c r="H369" s="187"/>
      <c r="I369" s="177"/>
      <c r="J369" s="185"/>
      <c r="K369" s="173"/>
      <c r="L369" s="173"/>
      <c r="M369" s="173"/>
      <c r="N369" s="173"/>
      <c r="O369" s="173"/>
      <c r="P369" s="186"/>
      <c r="Q369" s="185"/>
      <c r="R369" s="173"/>
      <c r="S369" s="173"/>
      <c r="T369" s="173"/>
      <c r="U369" s="173"/>
      <c r="V369" s="173"/>
      <c r="W369" s="186"/>
      <c r="X369" s="185"/>
      <c r="Y369" s="173"/>
      <c r="Z369" s="173"/>
      <c r="AA369" s="173"/>
      <c r="AB369" s="173"/>
      <c r="AC369" s="173"/>
      <c r="AD369" s="186"/>
      <c r="AE369" s="185"/>
      <c r="AF369" s="173"/>
      <c r="AG369" s="173"/>
      <c r="AH369" s="173"/>
      <c r="AI369" s="173"/>
      <c r="AK369" s="184"/>
    </row>
    <row r="370" spans="2:37" ht="24.75" customHeight="1" x14ac:dyDescent="0.25">
      <c r="B370" s="183" t="s">
        <v>1153</v>
      </c>
      <c r="C370" s="182"/>
      <c r="D370" s="182"/>
      <c r="E370" s="182"/>
      <c r="F370" s="182"/>
      <c r="G370" s="182"/>
      <c r="H370" s="181"/>
      <c r="P370" s="299"/>
      <c r="W370" s="299"/>
    </row>
    <row r="371" spans="2:37" x14ac:dyDescent="0.2">
      <c r="B371" s="182"/>
      <c r="C371" s="182"/>
      <c r="D371" s="182"/>
      <c r="E371" s="182"/>
      <c r="F371" s="182"/>
      <c r="G371" s="182"/>
      <c r="H371" s="181"/>
      <c r="P371" s="299"/>
      <c r="W371" s="299"/>
    </row>
    <row r="372" spans="2:37" x14ac:dyDescent="0.2">
      <c r="B372" s="182"/>
      <c r="C372" s="182"/>
      <c r="D372" s="182"/>
      <c r="E372" s="182"/>
      <c r="F372" s="182"/>
      <c r="G372" s="182"/>
      <c r="H372" s="181"/>
      <c r="P372" s="299"/>
      <c r="W372" s="299"/>
    </row>
    <row r="373" spans="2:37" x14ac:dyDescent="0.2">
      <c r="P373" s="299"/>
      <c r="V373" s="180"/>
      <c r="W373" s="299"/>
    </row>
    <row r="374" spans="2:37" ht="18" x14ac:dyDescent="0.25">
      <c r="B374" s="179"/>
      <c r="C374" s="179"/>
      <c r="D374" s="179"/>
      <c r="E374" s="179"/>
      <c r="F374" s="179"/>
      <c r="G374" s="179"/>
      <c r="K374" s="180"/>
      <c r="L374" s="180"/>
      <c r="M374" s="180"/>
      <c r="N374" s="180"/>
      <c r="O374" s="180"/>
      <c r="P374" s="299"/>
      <c r="W374" s="299"/>
    </row>
    <row r="375" spans="2:37" ht="18" x14ac:dyDescent="0.25">
      <c r="B375" s="179"/>
      <c r="C375" s="179"/>
      <c r="D375" s="179"/>
      <c r="E375" s="179"/>
      <c r="F375" s="179"/>
      <c r="G375" s="179"/>
      <c r="I375" s="173"/>
      <c r="J375" s="173"/>
      <c r="P375" s="300"/>
      <c r="W375" s="300"/>
      <c r="AD375" s="178"/>
      <c r="AK375" s="173"/>
    </row>
    <row r="376" spans="2:37" ht="18" x14ac:dyDescent="0.25">
      <c r="B376" s="179"/>
      <c r="C376" s="179"/>
      <c r="D376" s="179"/>
      <c r="E376" s="179"/>
      <c r="F376" s="179"/>
      <c r="G376" s="179"/>
      <c r="I376" s="173"/>
      <c r="J376" s="173"/>
      <c r="P376" s="300"/>
      <c r="W376" s="300"/>
      <c r="AD376" s="178"/>
      <c r="AK376" s="173"/>
    </row>
    <row r="377" spans="2:37" x14ac:dyDescent="0.2">
      <c r="P377" s="299"/>
      <c r="W377" s="299"/>
      <c r="AK377" s="173"/>
    </row>
    <row r="378" spans="2:37" x14ac:dyDescent="0.2">
      <c r="P378" s="299"/>
      <c r="W378" s="299"/>
      <c r="AK378" s="173"/>
    </row>
    <row r="379" spans="2:37" x14ac:dyDescent="0.2">
      <c r="P379" s="299"/>
      <c r="W379" s="299"/>
      <c r="AK379" s="173"/>
    </row>
    <row r="380" spans="2:37" x14ac:dyDescent="0.2">
      <c r="P380" s="299"/>
      <c r="AK380" s="173"/>
    </row>
  </sheetData>
  <sheetProtection algorithmName="SHA-512" hashValue="zzize5oaPHbkJV27ZZq8VnTc5oOCP4zn7XWyD3TPy4rxqirUnU5DYbDnj3Vt+5m8iO5mAW5ikxPLG57Y1vq3Ag==" saltValue="ulRAUPujj0IJcSYefe7g/A==" spinCount="100000" sheet="1" objects="1" scenarios="1"/>
  <autoFilter ref="B14:CN368" xr:uid="{00000000-0009-0000-0000-000004000000}"/>
  <mergeCells count="911">
    <mergeCell ref="D123:D125"/>
    <mergeCell ref="F124:F125"/>
    <mergeCell ref="E123:E125"/>
    <mergeCell ref="AI228:AI229"/>
    <mergeCell ref="AE97:AE116"/>
    <mergeCell ref="AF97:AF116"/>
    <mergeCell ref="AG97:AG116"/>
    <mergeCell ref="AH97:AH116"/>
    <mergeCell ref="AI97:AI116"/>
    <mergeCell ref="AB97:AB116"/>
    <mergeCell ref="AC97:AC116"/>
    <mergeCell ref="AB228:AB229"/>
    <mergeCell ref="AC228:AC229"/>
    <mergeCell ref="AF228:AF229"/>
    <mergeCell ref="AG228:AG229"/>
    <mergeCell ref="AH228:AH229"/>
    <mergeCell ref="O144:O145"/>
    <mergeCell ref="D183:D195"/>
    <mergeCell ref="E199:E204"/>
    <mergeCell ref="D199:D204"/>
    <mergeCell ref="E209:E210"/>
    <mergeCell ref="F209:F210"/>
    <mergeCell ref="E196:E198"/>
    <mergeCell ref="D196:D198"/>
    <mergeCell ref="F64:F65"/>
    <mergeCell ref="F286:F287"/>
    <mergeCell ref="T97:T116"/>
    <mergeCell ref="U97:U116"/>
    <mergeCell ref="V97:V116"/>
    <mergeCell ref="X97:X116"/>
    <mergeCell ref="Y97:Y116"/>
    <mergeCell ref="Z97:Z116"/>
    <mergeCell ref="AA97:AA116"/>
    <mergeCell ref="J97:J116"/>
    <mergeCell ref="K97:K116"/>
    <mergeCell ref="L97:L116"/>
    <mergeCell ref="M97:M116"/>
    <mergeCell ref="N97:N116"/>
    <mergeCell ref="O97:O116"/>
    <mergeCell ref="Q97:Q116"/>
    <mergeCell ref="V228:V229"/>
    <mergeCell ref="Y228:Y229"/>
    <mergeCell ref="Z228:Z229"/>
    <mergeCell ref="AA228:AA229"/>
    <mergeCell ref="O239:O241"/>
    <mergeCell ref="R239:R241"/>
    <mergeCell ref="S239:S241"/>
    <mergeCell ref="T239:T241"/>
    <mergeCell ref="AI239:AI241"/>
    <mergeCell ref="V239:V241"/>
    <mergeCell ref="Y239:Y241"/>
    <mergeCell ref="Z239:Z241"/>
    <mergeCell ref="AA239:AA241"/>
    <mergeCell ref="AB239:AB241"/>
    <mergeCell ref="AC239:AC241"/>
    <mergeCell ref="AF239:AF241"/>
    <mergeCell ref="AG239:AG241"/>
    <mergeCell ref="AH239:AH241"/>
    <mergeCell ref="M239:M241"/>
    <mergeCell ref="N239:N241"/>
    <mergeCell ref="D246:D248"/>
    <mergeCell ref="F262:F276"/>
    <mergeCell ref="F277:F279"/>
    <mergeCell ref="F280:F281"/>
    <mergeCell ref="U239:U241"/>
    <mergeCell ref="K228:K229"/>
    <mergeCell ref="L228:L229"/>
    <mergeCell ref="M228:M229"/>
    <mergeCell ref="N228:N229"/>
    <mergeCell ref="O228:O229"/>
    <mergeCell ref="R228:R229"/>
    <mergeCell ref="S228:S229"/>
    <mergeCell ref="T228:T229"/>
    <mergeCell ref="U228:U229"/>
    <mergeCell ref="D363:D364"/>
    <mergeCell ref="H41:H131"/>
    <mergeCell ref="D126:D131"/>
    <mergeCell ref="E126:E131"/>
    <mergeCell ref="B309:H309"/>
    <mergeCell ref="B310:B364"/>
    <mergeCell ref="B209:B308"/>
    <mergeCell ref="D238:D241"/>
    <mergeCell ref="C215:C217"/>
    <mergeCell ref="D215:D217"/>
    <mergeCell ref="C221:C222"/>
    <mergeCell ref="D221:D222"/>
    <mergeCell ref="E221:E222"/>
    <mergeCell ref="F221:F222"/>
    <mergeCell ref="F310:F313"/>
    <mergeCell ref="F314:F331"/>
    <mergeCell ref="F332:F355"/>
    <mergeCell ref="D288:D301"/>
    <mergeCell ref="C310:C364"/>
    <mergeCell ref="C223:C235"/>
    <mergeCell ref="C212:C214"/>
    <mergeCell ref="C209:C210"/>
    <mergeCell ref="D209:D210"/>
    <mergeCell ref="D256:D287"/>
    <mergeCell ref="C238:C308"/>
    <mergeCell ref="F359:F360"/>
    <mergeCell ref="E358:E360"/>
    <mergeCell ref="F292:F295"/>
    <mergeCell ref="F296:F297"/>
    <mergeCell ref="F288:F291"/>
    <mergeCell ref="E246:E248"/>
    <mergeCell ref="F282:F284"/>
    <mergeCell ref="E256:E287"/>
    <mergeCell ref="E310:E357"/>
    <mergeCell ref="F300:F301"/>
    <mergeCell ref="E288:E301"/>
    <mergeCell ref="D358:D361"/>
    <mergeCell ref="D310:D357"/>
    <mergeCell ref="F302:F305"/>
    <mergeCell ref="F254:F255"/>
    <mergeCell ref="D250:D255"/>
    <mergeCell ref="E250:E255"/>
    <mergeCell ref="E302:E306"/>
    <mergeCell ref="D302:D306"/>
    <mergeCell ref="K60:K63"/>
    <mergeCell ref="L60:L63"/>
    <mergeCell ref="M60:M63"/>
    <mergeCell ref="AC144:AC145"/>
    <mergeCell ref="N44:N46"/>
    <mergeCell ref="O44:O46"/>
    <mergeCell ref="Q44:Q46"/>
    <mergeCell ref="R44:R46"/>
    <mergeCell ref="S44:S46"/>
    <mergeCell ref="T44:T46"/>
    <mergeCell ref="V144:V145"/>
    <mergeCell ref="X144:X145"/>
    <mergeCell ref="Y144:Y145"/>
    <mergeCell ref="Z144:Z145"/>
    <mergeCell ref="AA144:AA145"/>
    <mergeCell ref="AB144:AB145"/>
    <mergeCell ref="U47:U48"/>
    <mergeCell ref="X47:X48"/>
    <mergeCell ref="Y47:Y48"/>
    <mergeCell ref="Z47:Z48"/>
    <mergeCell ref="AA47:AA48"/>
    <mergeCell ref="AC47:AC48"/>
    <mergeCell ref="M144:M145"/>
    <mergeCell ref="N144:N145"/>
    <mergeCell ref="AJ218:AJ220"/>
    <mergeCell ref="AF144:AF145"/>
    <mergeCell ref="AG144:AG145"/>
    <mergeCell ref="AH144:AH145"/>
    <mergeCell ref="AI144:AI145"/>
    <mergeCell ref="AL218:AL220"/>
    <mergeCell ref="F15:F17"/>
    <mergeCell ref="J18:J21"/>
    <mergeCell ref="C15:C17"/>
    <mergeCell ref="C18:C22"/>
    <mergeCell ref="D18:D22"/>
    <mergeCell ref="E18:E22"/>
    <mergeCell ref="H15:H34"/>
    <mergeCell ref="G61:G63"/>
    <mergeCell ref="E59:E65"/>
    <mergeCell ref="D59:D65"/>
    <mergeCell ref="F59:F63"/>
    <mergeCell ref="G47:G48"/>
    <mergeCell ref="J47:J48"/>
    <mergeCell ref="J53:J54"/>
    <mergeCell ref="C40:C58"/>
    <mergeCell ref="D40:D58"/>
    <mergeCell ref="E40:E58"/>
    <mergeCell ref="F40:F58"/>
    <mergeCell ref="AL239:AL241"/>
    <mergeCell ref="AM239:AM241"/>
    <mergeCell ref="AO239:AO241"/>
    <mergeCell ref="AP244:AP246"/>
    <mergeCell ref="AR244:AR246"/>
    <mergeCell ref="BU244:BU246"/>
    <mergeCell ref="BW244:BW246"/>
    <mergeCell ref="BX244:BX246"/>
    <mergeCell ref="AS244:AS246"/>
    <mergeCell ref="BJ239:BJ241"/>
    <mergeCell ref="BN239:BN241"/>
    <mergeCell ref="BO239:BO241"/>
    <mergeCell ref="BQ244:BQ246"/>
    <mergeCell ref="BI239:BI241"/>
    <mergeCell ref="BG244:BG246"/>
    <mergeCell ref="BI244:BI246"/>
    <mergeCell ref="AL244:AL246"/>
    <mergeCell ref="AM244:AM246"/>
    <mergeCell ref="AO244:AO246"/>
    <mergeCell ref="BQ239:BQ241"/>
    <mergeCell ref="BA244:BA246"/>
    <mergeCell ref="BC244:BC246"/>
    <mergeCell ref="AP239:AP241"/>
    <mergeCell ref="AR239:AR241"/>
    <mergeCell ref="AZ310:AZ355"/>
    <mergeCell ref="AJ310:AJ355"/>
    <mergeCell ref="AL310:AL355"/>
    <mergeCell ref="AM310:AM355"/>
    <mergeCell ref="AO310:AO355"/>
    <mergeCell ref="AP310:AP355"/>
    <mergeCell ref="AR310:AR355"/>
    <mergeCell ref="BF310:BF355"/>
    <mergeCell ref="BG310:BG355"/>
    <mergeCell ref="BA310:BA355"/>
    <mergeCell ref="BC310:BC355"/>
    <mergeCell ref="AS310:AS355"/>
    <mergeCell ref="AU310:AU355"/>
    <mergeCell ref="AV310:AV355"/>
    <mergeCell ref="AX310:AX355"/>
    <mergeCell ref="BF244:BF246"/>
    <mergeCell ref="CK310:CK355"/>
    <mergeCell ref="CL310:CL355"/>
    <mergeCell ref="CH310:CH355"/>
    <mergeCell ref="BN310:BN355"/>
    <mergeCell ref="BO310:BO355"/>
    <mergeCell ref="BQ310:BQ355"/>
    <mergeCell ref="BR310:BR355"/>
    <mergeCell ref="BT310:BT355"/>
    <mergeCell ref="BI310:BI355"/>
    <mergeCell ref="BJ310:BJ355"/>
    <mergeCell ref="BL310:BL355"/>
    <mergeCell ref="BT218:BT220"/>
    <mergeCell ref="AZ244:AZ246"/>
    <mergeCell ref="AS239:AS241"/>
    <mergeCell ref="CN310:CN355"/>
    <mergeCell ref="BW310:BW355"/>
    <mergeCell ref="BX310:BX355"/>
    <mergeCell ref="BZ310:BZ355"/>
    <mergeCell ref="CB310:CB355"/>
    <mergeCell ref="CC310:CC355"/>
    <mergeCell ref="CE310:CE355"/>
    <mergeCell ref="CF310:CF355"/>
    <mergeCell ref="BT244:BT246"/>
    <mergeCell ref="CK244:CK246"/>
    <mergeCell ref="CC244:CC246"/>
    <mergeCell ref="CE244:CE246"/>
    <mergeCell ref="CF244:CF246"/>
    <mergeCell ref="CH244:CH246"/>
    <mergeCell ref="CI244:CI246"/>
    <mergeCell ref="CL244:CL246"/>
    <mergeCell ref="CB244:CB246"/>
    <mergeCell ref="CI310:CI355"/>
    <mergeCell ref="BU310:BU355"/>
    <mergeCell ref="BD310:BD355"/>
    <mergeCell ref="BR239:BR241"/>
    <mergeCell ref="BC218:BC220"/>
    <mergeCell ref="BD218:BD220"/>
    <mergeCell ref="BF218:BF220"/>
    <mergeCell ref="BJ218:BJ220"/>
    <mergeCell ref="BL218:BL220"/>
    <mergeCell ref="BN218:BN220"/>
    <mergeCell ref="BO218:BO220"/>
    <mergeCell ref="BQ218:BQ220"/>
    <mergeCell ref="BR218:BR220"/>
    <mergeCell ref="BG218:BG220"/>
    <mergeCell ref="BI218:BI220"/>
    <mergeCell ref="AR218:AR220"/>
    <mergeCell ref="AS218:AS220"/>
    <mergeCell ref="AU218:AU220"/>
    <mergeCell ref="AV218:AV220"/>
    <mergeCell ref="AX218:AX220"/>
    <mergeCell ref="AM218:AM220"/>
    <mergeCell ref="AO218:AO220"/>
    <mergeCell ref="AP218:AP220"/>
    <mergeCell ref="BA218:BA220"/>
    <mergeCell ref="AZ218:AZ220"/>
    <mergeCell ref="AU244:AU246"/>
    <mergeCell ref="AV244:AV246"/>
    <mergeCell ref="AU239:AU241"/>
    <mergeCell ref="AV239:AV241"/>
    <mergeCell ref="AZ239:AZ241"/>
    <mergeCell ref="CL239:CL241"/>
    <mergeCell ref="BU239:BU241"/>
    <mergeCell ref="BW239:BW241"/>
    <mergeCell ref="BX239:BX241"/>
    <mergeCell ref="CB239:CB241"/>
    <mergeCell ref="CC239:CC241"/>
    <mergeCell ref="CE239:CE241"/>
    <mergeCell ref="CF239:CF241"/>
    <mergeCell ref="BD239:BD241"/>
    <mergeCell ref="BF239:BF241"/>
    <mergeCell ref="BA239:BA241"/>
    <mergeCell ref="BC239:BC241"/>
    <mergeCell ref="BD244:BD246"/>
    <mergeCell ref="BJ244:BJ246"/>
    <mergeCell ref="BN244:BN246"/>
    <mergeCell ref="BO244:BO246"/>
    <mergeCell ref="BG239:BG241"/>
    <mergeCell ref="BT239:BT241"/>
    <mergeCell ref="BR244:BR246"/>
    <mergeCell ref="BX218:BX220"/>
    <mergeCell ref="BZ218:BZ220"/>
    <mergeCell ref="CB218:CB220"/>
    <mergeCell ref="CH239:CH241"/>
    <mergeCell ref="CI239:CI241"/>
    <mergeCell ref="CK239:CK241"/>
    <mergeCell ref="CN218:CN220"/>
    <mergeCell ref="CC218:CC220"/>
    <mergeCell ref="CE218:CE220"/>
    <mergeCell ref="CF218:CF220"/>
    <mergeCell ref="CH218:CH220"/>
    <mergeCell ref="CI218:CI220"/>
    <mergeCell ref="CK218:CK220"/>
    <mergeCell ref="CL218:CL220"/>
    <mergeCell ref="BU218:BU220"/>
    <mergeCell ref="BW218:BW220"/>
    <mergeCell ref="AP209:AP217"/>
    <mergeCell ref="AR209:AR217"/>
    <mergeCell ref="AS209:AS217"/>
    <mergeCell ref="AL182:AL200"/>
    <mergeCell ref="AM182:AM200"/>
    <mergeCell ref="AO182:AO200"/>
    <mergeCell ref="CN209:CN217"/>
    <mergeCell ref="BW209:BW217"/>
    <mergeCell ref="BX209:BX217"/>
    <mergeCell ref="BZ209:BZ217"/>
    <mergeCell ref="CB209:CB217"/>
    <mergeCell ref="CC209:CC217"/>
    <mergeCell ref="CE209:CE217"/>
    <mergeCell ref="BJ209:BJ217"/>
    <mergeCell ref="CF209:CF217"/>
    <mergeCell ref="CH209:CH217"/>
    <mergeCell ref="CI209:CI217"/>
    <mergeCell ref="CK209:CK217"/>
    <mergeCell ref="CL209:CL217"/>
    <mergeCell ref="BN209:BN217"/>
    <mergeCell ref="BO209:BO217"/>
    <mergeCell ref="BQ209:BQ217"/>
    <mergeCell ref="AJ209:AJ217"/>
    <mergeCell ref="BL209:BL217"/>
    <mergeCell ref="AU209:AU217"/>
    <mergeCell ref="AV209:AV217"/>
    <mergeCell ref="AX209:AX217"/>
    <mergeCell ref="AZ209:AZ217"/>
    <mergeCell ref="BA209:BA217"/>
    <mergeCell ref="AP182:AP200"/>
    <mergeCell ref="AR182:AR200"/>
    <mergeCell ref="AS182:AS200"/>
    <mergeCell ref="AU182:AU200"/>
    <mergeCell ref="AV182:AV200"/>
    <mergeCell ref="AZ182:AZ200"/>
    <mergeCell ref="BA182:BA200"/>
    <mergeCell ref="BC182:BC200"/>
    <mergeCell ref="BD182:BD200"/>
    <mergeCell ref="BF182:BF200"/>
    <mergeCell ref="BG182:BG200"/>
    <mergeCell ref="BI182:BI200"/>
    <mergeCell ref="BJ182:BJ200"/>
    <mergeCell ref="BC209:BC217"/>
    <mergeCell ref="AL209:AL217"/>
    <mergeCell ref="BD209:BD217"/>
    <mergeCell ref="BF209:BF217"/>
    <mergeCell ref="AM209:AM217"/>
    <mergeCell ref="AO209:AO217"/>
    <mergeCell ref="BO182:BO200"/>
    <mergeCell ref="BQ182:BQ200"/>
    <mergeCell ref="BR182:BR200"/>
    <mergeCell ref="BT182:BT200"/>
    <mergeCell ref="CL182:CL200"/>
    <mergeCell ref="BU182:BU200"/>
    <mergeCell ref="BW182:BW200"/>
    <mergeCell ref="BX182:BX200"/>
    <mergeCell ref="CB182:CB200"/>
    <mergeCell ref="CC182:CC200"/>
    <mergeCell ref="CE182:CE200"/>
    <mergeCell ref="CF182:CF200"/>
    <mergeCell ref="BR209:BR217"/>
    <mergeCell ref="BN182:BN200"/>
    <mergeCell ref="BT209:BT217"/>
    <mergeCell ref="BU209:BU217"/>
    <mergeCell ref="BG209:BG217"/>
    <mergeCell ref="BI209:BI217"/>
    <mergeCell ref="BX139:BX171"/>
    <mergeCell ref="BZ139:BZ171"/>
    <mergeCell ref="CB139:CB171"/>
    <mergeCell ref="CH182:CH200"/>
    <mergeCell ref="CI182:CI200"/>
    <mergeCell ref="CK182:CK200"/>
    <mergeCell ref="CN139:CN171"/>
    <mergeCell ref="CC139:CC171"/>
    <mergeCell ref="CE139:CE171"/>
    <mergeCell ref="CF139:CF171"/>
    <mergeCell ref="CH139:CH171"/>
    <mergeCell ref="CI139:CI171"/>
    <mergeCell ref="CK139:CK171"/>
    <mergeCell ref="CL139:CL171"/>
    <mergeCell ref="BJ139:BJ171"/>
    <mergeCell ref="BL139:BL171"/>
    <mergeCell ref="BN139:BN171"/>
    <mergeCell ref="BO139:BO171"/>
    <mergeCell ref="BQ139:BQ171"/>
    <mergeCell ref="BR139:BR171"/>
    <mergeCell ref="BT139:BT171"/>
    <mergeCell ref="BU139:BU171"/>
    <mergeCell ref="BW139:BW171"/>
    <mergeCell ref="BF139:BF171"/>
    <mergeCell ref="BG139:BG171"/>
    <mergeCell ref="BI139:BI171"/>
    <mergeCell ref="AR139:AR171"/>
    <mergeCell ref="AS139:AS171"/>
    <mergeCell ref="AU139:AU171"/>
    <mergeCell ref="AV139:AV171"/>
    <mergeCell ref="AX139:AX171"/>
    <mergeCell ref="AZ139:AZ171"/>
    <mergeCell ref="BG133:BG138"/>
    <mergeCell ref="BI133:BI138"/>
    <mergeCell ref="BJ133:BJ138"/>
    <mergeCell ref="BL133:BL138"/>
    <mergeCell ref="BN133:BN138"/>
    <mergeCell ref="BO133:BO138"/>
    <mergeCell ref="CK133:CK138"/>
    <mergeCell ref="CL133:CL138"/>
    <mergeCell ref="AJ139:AJ171"/>
    <mergeCell ref="AL139:AL171"/>
    <mergeCell ref="AM139:AM171"/>
    <mergeCell ref="AO139:AO171"/>
    <mergeCell ref="AP139:AP171"/>
    <mergeCell ref="BA139:BA171"/>
    <mergeCell ref="BC139:BC171"/>
    <mergeCell ref="BD139:BD171"/>
    <mergeCell ref="BR133:BR138"/>
    <mergeCell ref="BT133:BT138"/>
    <mergeCell ref="BU133:BU138"/>
    <mergeCell ref="BW133:BW138"/>
    <mergeCell ref="BX133:BX138"/>
    <mergeCell ref="CI133:CI138"/>
    <mergeCell ref="AR133:AR138"/>
    <mergeCell ref="AS133:AS138"/>
    <mergeCell ref="CN133:CN138"/>
    <mergeCell ref="BZ133:BZ138"/>
    <mergeCell ref="CB133:CB138"/>
    <mergeCell ref="CC133:CC138"/>
    <mergeCell ref="CE133:CE138"/>
    <mergeCell ref="CF133:CF138"/>
    <mergeCell ref="CH133:CH138"/>
    <mergeCell ref="BQ133:BQ138"/>
    <mergeCell ref="BT46:BT48"/>
    <mergeCell ref="BU46:BU48"/>
    <mergeCell ref="BW46:BW48"/>
    <mergeCell ref="BR46:BR48"/>
    <mergeCell ref="BQ46:BQ48"/>
    <mergeCell ref="CI46:CI48"/>
    <mergeCell ref="CK46:CK48"/>
    <mergeCell ref="CL46:CL48"/>
    <mergeCell ref="BX46:BX48"/>
    <mergeCell ref="CB46:CB48"/>
    <mergeCell ref="CC46:CC48"/>
    <mergeCell ref="CE46:CE48"/>
    <mergeCell ref="CF46:CF48"/>
    <mergeCell ref="CH46:CH48"/>
    <mergeCell ref="BG46:BG48"/>
    <mergeCell ref="BN46:BN48"/>
    <mergeCell ref="BI46:BI48"/>
    <mergeCell ref="BJ46:BJ48"/>
    <mergeCell ref="BO46:BO48"/>
    <mergeCell ref="AM46:AM48"/>
    <mergeCell ref="AO46:AO48"/>
    <mergeCell ref="AP46:AP48"/>
    <mergeCell ref="AR46:AR48"/>
    <mergeCell ref="AS46:AS48"/>
    <mergeCell ref="BD46:BD48"/>
    <mergeCell ref="BF46:BF48"/>
    <mergeCell ref="BA133:BA138"/>
    <mergeCell ref="BC133:BC138"/>
    <mergeCell ref="BA46:BA48"/>
    <mergeCell ref="BC46:BC48"/>
    <mergeCell ref="BD133:BD138"/>
    <mergeCell ref="BF133:BF138"/>
    <mergeCell ref="AU133:AU138"/>
    <mergeCell ref="AV133:AV138"/>
    <mergeCell ref="AX133:AX138"/>
    <mergeCell ref="AU46:AU48"/>
    <mergeCell ref="AV46:AV48"/>
    <mergeCell ref="AZ46:AZ48"/>
    <mergeCell ref="AZ133:AZ138"/>
    <mergeCell ref="AO133:AO138"/>
    <mergeCell ref="AP133:AP138"/>
    <mergeCell ref="AJ133:AJ138"/>
    <mergeCell ref="AL133:AL138"/>
    <mergeCell ref="AG60:AG63"/>
    <mergeCell ref="AH60:AH63"/>
    <mergeCell ref="AI60:AI63"/>
    <mergeCell ref="AH67:AH83"/>
    <mergeCell ref="AI67:AI83"/>
    <mergeCell ref="AM133:AM138"/>
    <mergeCell ref="S97:S116"/>
    <mergeCell ref="R97:R116"/>
    <mergeCell ref="AS16:AS45"/>
    <mergeCell ref="AU16:AU45"/>
    <mergeCell ref="AV16:AV45"/>
    <mergeCell ref="AI53:AI54"/>
    <mergeCell ref="N60:N63"/>
    <mergeCell ref="O60:O63"/>
    <mergeCell ref="Q60:Q63"/>
    <mergeCell ref="R60:R63"/>
    <mergeCell ref="S60:S63"/>
    <mergeCell ref="T60:T63"/>
    <mergeCell ref="U60:U63"/>
    <mergeCell ref="X67:X83"/>
    <mergeCell ref="Y67:Y83"/>
    <mergeCell ref="AL46:AL48"/>
    <mergeCell ref="AF18:AF21"/>
    <mergeCell ref="AG18:AG21"/>
    <mergeCell ref="AH18:AH21"/>
    <mergeCell ref="AI18:AI21"/>
    <mergeCell ref="V18:V21"/>
    <mergeCell ref="X18:X21"/>
    <mergeCell ref="Y18:Y21"/>
    <mergeCell ref="Z18:Z21"/>
    <mergeCell ref="AX16:AX45"/>
    <mergeCell ref="J13:AJ13"/>
    <mergeCell ref="AL13:AX13"/>
    <mergeCell ref="Y14:Z14"/>
    <mergeCell ref="AF14:AG14"/>
    <mergeCell ref="K18:K21"/>
    <mergeCell ref="L18:L21"/>
    <mergeCell ref="M18:M21"/>
    <mergeCell ref="AB31:AB33"/>
    <mergeCell ref="AC31:AC33"/>
    <mergeCell ref="AE31:AE33"/>
    <mergeCell ref="AF31:AF33"/>
    <mergeCell ref="AG31:AG33"/>
    <mergeCell ref="AH31:AH33"/>
    <mergeCell ref="AI31:AI33"/>
    <mergeCell ref="S18:S21"/>
    <mergeCell ref="T18:T21"/>
    <mergeCell ref="J31:J33"/>
    <mergeCell ref="K31:K33"/>
    <mergeCell ref="N18:N21"/>
    <mergeCell ref="AE18:AE21"/>
    <mergeCell ref="AJ16:AJ45"/>
    <mergeCell ref="AH44:AH46"/>
    <mergeCell ref="AI44:AI46"/>
    <mergeCell ref="BX16:BX45"/>
    <mergeCell ref="CC16:CC45"/>
    <mergeCell ref="CE16:CE45"/>
    <mergeCell ref="CF16:CF45"/>
    <mergeCell ref="CH16:CH45"/>
    <mergeCell ref="BN16:BN45"/>
    <mergeCell ref="BO16:BO45"/>
    <mergeCell ref="BQ16:BQ45"/>
    <mergeCell ref="BR16:BR45"/>
    <mergeCell ref="BT16:BT45"/>
    <mergeCell ref="BZ16:BZ45"/>
    <mergeCell ref="BU16:BU45"/>
    <mergeCell ref="F363:F364"/>
    <mergeCell ref="CB13:CN13"/>
    <mergeCell ref="D15:D17"/>
    <mergeCell ref="CI16:CI45"/>
    <mergeCell ref="CK16:CK45"/>
    <mergeCell ref="CL16:CL45"/>
    <mergeCell ref="CN16:CN45"/>
    <mergeCell ref="BW16:BW45"/>
    <mergeCell ref="L31:L33"/>
    <mergeCell ref="M31:M33"/>
    <mergeCell ref="N31:N33"/>
    <mergeCell ref="O31:O33"/>
    <mergeCell ref="Q31:Q33"/>
    <mergeCell ref="R31:R33"/>
    <mergeCell ref="S31:S33"/>
    <mergeCell ref="T31:T33"/>
    <mergeCell ref="U31:U33"/>
    <mergeCell ref="V31:V33"/>
    <mergeCell ref="X31:X33"/>
    <mergeCell ref="Y31:Y33"/>
    <mergeCell ref="Z31:Z33"/>
    <mergeCell ref="AA31:AA33"/>
    <mergeCell ref="CB16:CB45"/>
    <mergeCell ref="BN13:BZ13"/>
    <mergeCell ref="J44:J46"/>
    <mergeCell ref="B367:H367"/>
    <mergeCell ref="C158:C161"/>
    <mergeCell ref="D158:D161"/>
    <mergeCell ref="B366:H366"/>
    <mergeCell ref="L44:L46"/>
    <mergeCell ref="M44:M46"/>
    <mergeCell ref="V60:V63"/>
    <mergeCell ref="X60:X63"/>
    <mergeCell ref="C133:C142"/>
    <mergeCell ref="E133:E142"/>
    <mergeCell ref="F133:F142"/>
    <mergeCell ref="Q144:Q145"/>
    <mergeCell ref="R144:R145"/>
    <mergeCell ref="S144:S145"/>
    <mergeCell ref="T144:T145"/>
    <mergeCell ref="U144:U145"/>
    <mergeCell ref="H144:H145"/>
    <mergeCell ref="J144:J145"/>
    <mergeCell ref="F87:F96"/>
    <mergeCell ref="F97:F120"/>
    <mergeCell ref="E66:E122"/>
    <mergeCell ref="D66:D122"/>
    <mergeCell ref="U44:U46"/>
    <mergeCell ref="AR16:AR45"/>
    <mergeCell ref="M53:M54"/>
    <mergeCell ref="D29:D35"/>
    <mergeCell ref="E29:E35"/>
    <mergeCell ref="F29:F35"/>
    <mergeCell ref="U18:U21"/>
    <mergeCell ref="Y60:Y63"/>
    <mergeCell ref="Z60:Z63"/>
    <mergeCell ref="AA60:AA63"/>
    <mergeCell ref="AB60:AB63"/>
    <mergeCell ref="AC60:AC63"/>
    <mergeCell ref="O47:O48"/>
    <mergeCell ref="Q47:Q48"/>
    <mergeCell ref="R47:R48"/>
    <mergeCell ref="O18:O21"/>
    <mergeCell ref="Q18:Q21"/>
    <mergeCell ref="R18:R21"/>
    <mergeCell ref="AC18:AC21"/>
    <mergeCell ref="AA18:AA21"/>
    <mergeCell ref="AB18:AB21"/>
    <mergeCell ref="AA44:AA46"/>
    <mergeCell ref="V44:V46"/>
    <mergeCell ref="S47:S48"/>
    <mergeCell ref="T47:T48"/>
    <mergeCell ref="K44:K46"/>
    <mergeCell ref="Q53:Q54"/>
    <mergeCell ref="AZ13:BL13"/>
    <mergeCell ref="AH14:AI14"/>
    <mergeCell ref="F236:F237"/>
    <mergeCell ref="AE60:AE63"/>
    <mergeCell ref="AF60:AF63"/>
    <mergeCell ref="BD16:BD45"/>
    <mergeCell ref="BF16:BF45"/>
    <mergeCell ref="BG16:BG45"/>
    <mergeCell ref="BI16:BI45"/>
    <mergeCell ref="BJ16:BJ45"/>
    <mergeCell ref="BL16:BL45"/>
    <mergeCell ref="AZ16:AZ45"/>
    <mergeCell ref="BA16:BA45"/>
    <mergeCell ref="BC16:BC45"/>
    <mergeCell ref="AL16:AL45"/>
    <mergeCell ref="AM16:AM45"/>
    <mergeCell ref="AO16:AO45"/>
    <mergeCell ref="AP16:AP45"/>
    <mergeCell ref="G228:G229"/>
    <mergeCell ref="AH49:AH52"/>
    <mergeCell ref="AI49:AI52"/>
    <mergeCell ref="V47:V48"/>
    <mergeCell ref="B133:B207"/>
    <mergeCell ref="E206:E207"/>
    <mergeCell ref="F199:F207"/>
    <mergeCell ref="D223:D235"/>
    <mergeCell ref="E363:E364"/>
    <mergeCell ref="Y1:AJ3"/>
    <mergeCell ref="D2:E2"/>
    <mergeCell ref="H2:X2"/>
    <mergeCell ref="D3:E3"/>
    <mergeCell ref="I3:R3"/>
    <mergeCell ref="T3:W3"/>
    <mergeCell ref="B208:H208"/>
    <mergeCell ref="AA14:AC14"/>
    <mergeCell ref="R14:S14"/>
    <mergeCell ref="T14:V14"/>
    <mergeCell ref="H1:X1"/>
    <mergeCell ref="B5:C5"/>
    <mergeCell ref="K14:L14"/>
    <mergeCell ref="M14:O14"/>
    <mergeCell ref="D5:E5"/>
    <mergeCell ref="B1:C3"/>
    <mergeCell ref="D1:E1"/>
    <mergeCell ref="J60:J63"/>
    <mergeCell ref="AB49:AB52"/>
    <mergeCell ref="S67:S83"/>
    <mergeCell ref="T67:T83"/>
    <mergeCell ref="Y53:Y54"/>
    <mergeCell ref="Z53:Z54"/>
    <mergeCell ref="B368:H368"/>
    <mergeCell ref="D133:D142"/>
    <mergeCell ref="E158:E161"/>
    <mergeCell ref="F158:F161"/>
    <mergeCell ref="F218:F220"/>
    <mergeCell ref="E218:E220"/>
    <mergeCell ref="D218:D220"/>
    <mergeCell ref="C218:C220"/>
    <mergeCell ref="C236:C237"/>
    <mergeCell ref="D236:D237"/>
    <mergeCell ref="E236:E237"/>
    <mergeCell ref="B365:H365"/>
    <mergeCell ref="F174:F181"/>
    <mergeCell ref="F250:F253"/>
    <mergeCell ref="F256:F259"/>
    <mergeCell ref="F260:F261"/>
    <mergeCell ref="E171:E181"/>
    <mergeCell ref="C165:C170"/>
    <mergeCell ref="D165:D170"/>
    <mergeCell ref="E165:E170"/>
    <mergeCell ref="U67:U83"/>
    <mergeCell ref="V67:V83"/>
    <mergeCell ref="AE53:AE54"/>
    <mergeCell ref="X53:X54"/>
    <mergeCell ref="X56:X57"/>
    <mergeCell ref="Y56:Y57"/>
    <mergeCell ref="Z56:Z57"/>
    <mergeCell ref="AA56:AA57"/>
    <mergeCell ref="AB56:AB57"/>
    <mergeCell ref="AC56:AC57"/>
    <mergeCell ref="AE56:AE57"/>
    <mergeCell ref="AC53:AC54"/>
    <mergeCell ref="AE67:AE83"/>
    <mergeCell ref="Z67:Z83"/>
    <mergeCell ref="AA67:AA83"/>
    <mergeCell ref="AB67:AB83"/>
    <mergeCell ref="AC67:AC83"/>
    <mergeCell ref="AA53:AA54"/>
    <mergeCell ref="AB53:AB54"/>
    <mergeCell ref="K47:K48"/>
    <mergeCell ref="L47:L48"/>
    <mergeCell ref="M47:M48"/>
    <mergeCell ref="N47:N48"/>
    <mergeCell ref="AB47:AB48"/>
    <mergeCell ref="AH56:AH57"/>
    <mergeCell ref="AI56:AI57"/>
    <mergeCell ref="AF56:AF57"/>
    <mergeCell ref="AG56:AG57"/>
    <mergeCell ref="AF53:AF54"/>
    <mergeCell ref="AG53:AG54"/>
    <mergeCell ref="AH53:AH54"/>
    <mergeCell ref="T53:T54"/>
    <mergeCell ref="U53:U54"/>
    <mergeCell ref="AH47:AH48"/>
    <mergeCell ref="AI47:AI48"/>
    <mergeCell ref="K49:K52"/>
    <mergeCell ref="L49:L52"/>
    <mergeCell ref="M49:M52"/>
    <mergeCell ref="N49:N52"/>
    <mergeCell ref="K53:K54"/>
    <mergeCell ref="L53:L54"/>
    <mergeCell ref="O53:O54"/>
    <mergeCell ref="N53:N54"/>
    <mergeCell ref="J56:J57"/>
    <mergeCell ref="Y44:Y46"/>
    <mergeCell ref="AB44:AB46"/>
    <mergeCell ref="D36:D39"/>
    <mergeCell ref="E36:E39"/>
    <mergeCell ref="F36:F39"/>
    <mergeCell ref="K56:K57"/>
    <mergeCell ref="L56:L57"/>
    <mergeCell ref="O56:O57"/>
    <mergeCell ref="M56:M57"/>
    <mergeCell ref="N56:N57"/>
    <mergeCell ref="Q56:Q57"/>
    <mergeCell ref="J49:J52"/>
    <mergeCell ref="O49:O52"/>
    <mergeCell ref="Q49:Q52"/>
    <mergeCell ref="R49:R52"/>
    <mergeCell ref="S49:S52"/>
    <mergeCell ref="T49:T52"/>
    <mergeCell ref="U49:U52"/>
    <mergeCell ref="V49:V52"/>
    <mergeCell ref="X49:X52"/>
    <mergeCell ref="Y49:Y52"/>
    <mergeCell ref="Z49:Z52"/>
    <mergeCell ref="AA49:AA52"/>
    <mergeCell ref="J67:J83"/>
    <mergeCell ref="F67:F86"/>
    <mergeCell ref="K67:K83"/>
    <mergeCell ref="L67:L83"/>
    <mergeCell ref="M67:M83"/>
    <mergeCell ref="N67:N83"/>
    <mergeCell ref="O67:O83"/>
    <mergeCell ref="Q67:Q83"/>
    <mergeCell ref="R67:R83"/>
    <mergeCell ref="H36:H39"/>
    <mergeCell ref="C162:C164"/>
    <mergeCell ref="D162:D164"/>
    <mergeCell ref="E162:E164"/>
    <mergeCell ref="F162:F164"/>
    <mergeCell ref="C143:C146"/>
    <mergeCell ref="D143:D146"/>
    <mergeCell ref="E143:E146"/>
    <mergeCell ref="F129:F130"/>
    <mergeCell ref="C59:C131"/>
    <mergeCell ref="F143:F146"/>
    <mergeCell ref="C147:C152"/>
    <mergeCell ref="D147:D152"/>
    <mergeCell ref="C36:C39"/>
    <mergeCell ref="B132:H132"/>
    <mergeCell ref="F126:F128"/>
    <mergeCell ref="B15:B131"/>
    <mergeCell ref="E15:E17"/>
    <mergeCell ref="F18:F22"/>
    <mergeCell ref="C23:C28"/>
    <mergeCell ref="D23:D28"/>
    <mergeCell ref="E23:E28"/>
    <mergeCell ref="C29:C35"/>
    <mergeCell ref="F23:F28"/>
    <mergeCell ref="AF67:AF83"/>
    <mergeCell ref="AG67:AG83"/>
    <mergeCell ref="AF49:AF52"/>
    <mergeCell ref="AG49:AG52"/>
    <mergeCell ref="AE47:AE48"/>
    <mergeCell ref="AF47:AF48"/>
    <mergeCell ref="AG47:AG48"/>
    <mergeCell ref="AE44:AE46"/>
    <mergeCell ref="AF44:AF46"/>
    <mergeCell ref="AE49:AE52"/>
    <mergeCell ref="R56:R57"/>
    <mergeCell ref="S56:S57"/>
    <mergeCell ref="V56:V57"/>
    <mergeCell ref="U56:U57"/>
    <mergeCell ref="T56:T57"/>
    <mergeCell ref="AC44:AC46"/>
    <mergeCell ref="AG44:AG46"/>
    <mergeCell ref="Z44:Z46"/>
    <mergeCell ref="R53:R54"/>
    <mergeCell ref="S53:S54"/>
    <mergeCell ref="V53:V54"/>
    <mergeCell ref="AC49:AC52"/>
    <mergeCell ref="X44:X46"/>
    <mergeCell ref="H316:H321"/>
    <mergeCell ref="J316:J321"/>
    <mergeCell ref="K316:K321"/>
    <mergeCell ref="L316:L321"/>
    <mergeCell ref="G177:G178"/>
    <mergeCell ref="G179:G180"/>
    <mergeCell ref="F171:F173"/>
    <mergeCell ref="E238:E243"/>
    <mergeCell ref="F238:F243"/>
    <mergeCell ref="E223:E235"/>
    <mergeCell ref="F223:F235"/>
    <mergeCell ref="G239:G241"/>
    <mergeCell ref="K239:K241"/>
    <mergeCell ref="L239:L241"/>
    <mergeCell ref="F187:F194"/>
    <mergeCell ref="F184:F185"/>
    <mergeCell ref="G303:G305"/>
    <mergeCell ref="F307:F308"/>
    <mergeCell ref="F247:F248"/>
    <mergeCell ref="G133:G137"/>
    <mergeCell ref="C171:C207"/>
    <mergeCell ref="F165:F170"/>
    <mergeCell ref="K144:K145"/>
    <mergeCell ref="L144:L145"/>
    <mergeCell ref="E215:E217"/>
    <mergeCell ref="F215:F217"/>
    <mergeCell ref="F212:F214"/>
    <mergeCell ref="E212:E214"/>
    <mergeCell ref="D212:D214"/>
    <mergeCell ref="D171:D181"/>
    <mergeCell ref="D153:D156"/>
    <mergeCell ref="E147:E156"/>
    <mergeCell ref="F147:F156"/>
    <mergeCell ref="C153:C156"/>
    <mergeCell ref="E183:E194"/>
    <mergeCell ref="AF332:AF350"/>
    <mergeCell ref="AG332:AG350"/>
    <mergeCell ref="M316:M321"/>
    <mergeCell ref="N316:N321"/>
    <mergeCell ref="O316:O321"/>
    <mergeCell ref="Q316:Q321"/>
    <mergeCell ref="R316:R321"/>
    <mergeCell ref="S316:S321"/>
    <mergeCell ref="T316:T321"/>
    <mergeCell ref="U316:U321"/>
    <mergeCell ref="V316:V321"/>
    <mergeCell ref="AH316:AH321"/>
    <mergeCell ref="X316:X321"/>
    <mergeCell ref="Y316:Y321"/>
    <mergeCell ref="Z316:Z321"/>
    <mergeCell ref="AA316:AA321"/>
    <mergeCell ref="AB316:AB321"/>
    <mergeCell ref="AC316:AC321"/>
    <mergeCell ref="AE316:AE321"/>
    <mergeCell ref="AF316:AF321"/>
    <mergeCell ref="AG316:AG321"/>
    <mergeCell ref="AI316:AI321"/>
    <mergeCell ref="AE144:AE145"/>
    <mergeCell ref="AI332:AI350"/>
    <mergeCell ref="H332:H350"/>
    <mergeCell ref="J332:J350"/>
    <mergeCell ref="K332:K350"/>
    <mergeCell ref="L332:L350"/>
    <mergeCell ref="M332:M350"/>
    <mergeCell ref="N332:N350"/>
    <mergeCell ref="O332:O350"/>
    <mergeCell ref="Q332:Q350"/>
    <mergeCell ref="R332:R350"/>
    <mergeCell ref="S332:S350"/>
    <mergeCell ref="T332:T350"/>
    <mergeCell ref="U332:U350"/>
    <mergeCell ref="V332:V350"/>
    <mergeCell ref="X332:X350"/>
    <mergeCell ref="Y332:Y350"/>
    <mergeCell ref="Z332:Z350"/>
    <mergeCell ref="AA332:AA350"/>
    <mergeCell ref="AB332:AB350"/>
    <mergeCell ref="AC332:AC350"/>
    <mergeCell ref="AE332:AE350"/>
    <mergeCell ref="AH332:AH350"/>
    <mergeCell ref="J91:J96"/>
    <mergeCell ref="K91:K96"/>
    <mergeCell ref="L91:L96"/>
    <mergeCell ref="M91:M96"/>
    <mergeCell ref="N91:N96"/>
    <mergeCell ref="O91:O96"/>
    <mergeCell ref="Q91:Q96"/>
    <mergeCell ref="R91:R96"/>
    <mergeCell ref="S91:S96"/>
    <mergeCell ref="AE91:AE96"/>
    <mergeCell ref="AF91:AF96"/>
    <mergeCell ref="AG91:AG96"/>
    <mergeCell ref="AH91:AH96"/>
    <mergeCell ref="AI91:AI96"/>
    <mergeCell ref="T91:T96"/>
    <mergeCell ref="U91:U96"/>
    <mergeCell ref="V91:V96"/>
    <mergeCell ref="X91:X96"/>
    <mergeCell ref="Y91:Y96"/>
    <mergeCell ref="Z91:Z96"/>
    <mergeCell ref="AA91:AA96"/>
    <mergeCell ref="AB91:AB96"/>
    <mergeCell ref="AC91:AC96"/>
  </mergeCells>
  <conditionalFormatting sqref="AR218:AR243 AU209:AU238 BF218:BF243 BI209:BI238 BT218:BT243 BW209:BW238 CH218:CH243 CK209:CK238 AO218:AO243 BC218:BC243 BQ218:BQ243 CE218:CE243 AL218:AL308 AZ218:AZ308 BN218:BN308 CB218:CB308 BC16:BC71 AL16:AL71 AR16:AR71 AZ16:AZ71 BF16:BF71 BI16:BI71 BN16:BN71 BT16:BT71 CB16:CB71 CH16:CH71 AO16:AO71 BQ16:BQ71 CE16:CE71 AU16:AU71 BW16:BW71 CK16:CK71 AU310:AU364 BI310:BI364 BW310:BW364 CK310:CK364 AL310:AL364 AZ310:AZ364 BN310:BN364 CB310:CB364 AR139:AR207 AU139:AU207 AL139:AL207 AO139:AO207 BC139:BC207 AZ139:AZ207 BF139:BF207 BI133:BI207 CB139:CB207 BQ139:BQ207 BN139:BN207 BT139:BT207 BW133:BW207 CE139:CE207 CH139:CH207 CK133:CK207">
    <cfRule type="expression" dxfId="12929" priority="34804" stopIfTrue="1">
      <formula>AND(IF(AL16&gt;=#REF!,AL16&lt;&gt;"N/A"))</formula>
    </cfRule>
    <cfRule type="expression" dxfId="12928" priority="34805" stopIfTrue="1">
      <formula>AND(IF(AL16&lt;#REF!,AL16&gt;=#REF!,AL16&lt;&gt;"N/A"))</formula>
    </cfRule>
    <cfRule type="expression" dxfId="12927" priority="34806" stopIfTrue="1">
      <formula>AND(IF(AL16&lt;#REF!,AL16&lt;&gt;"N/A"))</formula>
    </cfRule>
  </conditionalFormatting>
  <conditionalFormatting sqref="AR209:AR217 AO209:AO217 BF209:BF217 BC209:BC217 BT209:BT217 BQ209:BQ217 CH209:CH217 CE209:CE217">
    <cfRule type="expression" dxfId="12926" priority="34798" stopIfTrue="1">
      <formula>AND(IF(AO209&gt;=#REF!,AO209&lt;&gt;"N/A"))</formula>
    </cfRule>
    <cfRule type="expression" dxfId="12925" priority="34799" stopIfTrue="1">
      <formula>AND(IF(AO209&lt;#REF!,AO209&gt;=#REF!,AO209&lt;&gt;"N/A"))</formula>
    </cfRule>
    <cfRule type="expression" dxfId="12924" priority="34800" stopIfTrue="1">
      <formula>AND(IF(AO209&lt;#REF!,AO209&lt;&gt;"N/A"))</formula>
    </cfRule>
  </conditionalFormatting>
  <conditionalFormatting sqref="AL15">
    <cfRule type="expression" dxfId="12923" priority="34795" stopIfTrue="1">
      <formula>AND(IF(AL15&gt;=#REF!,AL15&lt;&gt;"N/A"))</formula>
    </cfRule>
    <cfRule type="expression" dxfId="12922" priority="34796" stopIfTrue="1">
      <formula>AND(IF(AL15&lt;#REF!,AL15&gt;=#REF!,AL15&lt;&gt;"N/A"))</formula>
    </cfRule>
    <cfRule type="expression" dxfId="12921" priority="34797" stopIfTrue="1">
      <formula>AND(IF(AL15&lt;#REF!,AL15&lt;&gt;"N/A"))</formula>
    </cfRule>
  </conditionalFormatting>
  <conditionalFormatting sqref="AU239:AU243">
    <cfRule type="expression" dxfId="12920" priority="34792" stopIfTrue="1">
      <formula>AND(IF(AU239&gt;=#REF!,AU239&lt;&gt;"N/A"))</formula>
    </cfRule>
    <cfRule type="expression" dxfId="12919" priority="34793" stopIfTrue="1">
      <formula>AND(IF(AU239&lt;#REF!,AU239&gt;=#REF!,AU239&lt;&gt;"N/A"))</formula>
    </cfRule>
    <cfRule type="expression" dxfId="12918" priority="34794" stopIfTrue="1">
      <formula>AND(IF(AU239&lt;#REF!,AU239&lt;&gt;"N/A"))</formula>
    </cfRule>
  </conditionalFormatting>
  <conditionalFormatting sqref="AL209:AL217">
    <cfRule type="expression" dxfId="12917" priority="34786" stopIfTrue="1">
      <formula>AND(IF(AL209&gt;=#REF!,AL209&lt;&gt;"N/A"))</formula>
    </cfRule>
    <cfRule type="expression" dxfId="12916" priority="34787" stopIfTrue="1">
      <formula>AND(IF(AL209&lt;#REF!,AL209&gt;=#REF!,AL209&lt;&gt;"N/A"))</formula>
    </cfRule>
    <cfRule type="expression" dxfId="12915" priority="34788" stopIfTrue="1">
      <formula>AND(IF(AL209&lt;#REF!,AL209&lt;&gt;"N/A"))</formula>
    </cfRule>
  </conditionalFormatting>
  <conditionalFormatting sqref="AL133:AL138">
    <cfRule type="expression" dxfId="12914" priority="34780" stopIfTrue="1">
      <formula>AND(IF(AL133&gt;=#REF!,AL133&lt;&gt;"N/A"))</formula>
    </cfRule>
    <cfRule type="expression" dxfId="12913" priority="34781" stopIfTrue="1">
      <formula>AND(IF(AL133&lt;#REF!,AL133&gt;=#REF!,AL133&lt;&gt;"N/A"))</formula>
    </cfRule>
    <cfRule type="expression" dxfId="12912" priority="34782" stopIfTrue="1">
      <formula>AND(IF(AL133&lt;#REF!,AL133&lt;&gt;"N/A"))</formula>
    </cfRule>
  </conditionalFormatting>
  <conditionalFormatting sqref="AU15">
    <cfRule type="expression" dxfId="12911" priority="34777" stopIfTrue="1">
      <formula>AND(IF(AU15&gt;=#REF!,AU15&lt;&gt;"N/A"))</formula>
    </cfRule>
    <cfRule type="expression" dxfId="12910" priority="34778" stopIfTrue="1">
      <formula>AND(IF(AU15&lt;#REF!,AU15&gt;=#REF!,AU15&lt;&gt;"N/A"))</formula>
    </cfRule>
    <cfRule type="expression" dxfId="12909" priority="34779" stopIfTrue="1">
      <formula>AND(IF(AU15&lt;#REF!,AU15&lt;&gt;"N/A"))</formula>
    </cfRule>
  </conditionalFormatting>
  <conditionalFormatting sqref="AO133:AO138">
    <cfRule type="expression" dxfId="12908" priority="34774" stopIfTrue="1">
      <formula>AND(IF(AO133&gt;=#REF!,AO133&lt;&gt;"N/A"))</formula>
    </cfRule>
    <cfRule type="expression" dxfId="12907" priority="34775" stopIfTrue="1">
      <formula>AND(IF(AO133&lt;#REF!,AO133&gt;=#REF!,AO133&lt;&gt;"N/A"))</formula>
    </cfRule>
    <cfRule type="expression" dxfId="12906" priority="34776" stopIfTrue="1">
      <formula>AND(IF(AO133&lt;#REF!,AO133&lt;&gt;"N/A"))</formula>
    </cfRule>
  </conditionalFormatting>
  <conditionalFormatting sqref="AR133:AR138">
    <cfRule type="expression" dxfId="12905" priority="34771" stopIfTrue="1">
      <formula>AND(IF(AR133&gt;=#REF!,AR133&lt;&gt;"N/A"))</formula>
    </cfRule>
    <cfRule type="expression" dxfId="12904" priority="34772" stopIfTrue="1">
      <formula>AND(IF(AR133&lt;#REF!,AR133&gt;=#REF!,AR133&lt;&gt;"N/A"))</formula>
    </cfRule>
    <cfRule type="expression" dxfId="12903" priority="34773" stopIfTrue="1">
      <formula>AND(IF(AR133&lt;#REF!,AR133&lt;&gt;"N/A"))</formula>
    </cfRule>
  </conditionalFormatting>
  <conditionalFormatting sqref="AU133:AU138">
    <cfRule type="expression" dxfId="12902" priority="34768" stopIfTrue="1">
      <formula>AND(IF(AU133&gt;=#REF!,AU133&lt;&gt;"N/A"))</formula>
    </cfRule>
    <cfRule type="expression" dxfId="12901" priority="34769" stopIfTrue="1">
      <formula>AND(IF(AU133&lt;#REF!,AU133&gt;=#REF!,AU133&lt;&gt;"N/A"))</formula>
    </cfRule>
    <cfRule type="expression" dxfId="12900" priority="34770" stopIfTrue="1">
      <formula>AND(IF(AU133&lt;#REF!,AU133&lt;&gt;"N/A"))</formula>
    </cfRule>
  </conditionalFormatting>
  <conditionalFormatting sqref="AZ15">
    <cfRule type="expression" dxfId="12899" priority="34765" stopIfTrue="1">
      <formula>AND(IF(AZ15&gt;=#REF!,AZ15&lt;&gt;"N/A"))</formula>
    </cfRule>
    <cfRule type="expression" dxfId="12898" priority="34766" stopIfTrue="1">
      <formula>AND(IF(AZ15&lt;#REF!,AZ15&gt;=#REF!,AZ15&lt;&gt;"N/A"))</formula>
    </cfRule>
    <cfRule type="expression" dxfId="12897" priority="34767" stopIfTrue="1">
      <formula>AND(IF(AZ15&lt;#REF!,AZ15&lt;&gt;"N/A"))</formula>
    </cfRule>
  </conditionalFormatting>
  <conditionalFormatting sqref="BI239:BI243">
    <cfRule type="expression" dxfId="12896" priority="34762" stopIfTrue="1">
      <formula>AND(IF(BI239&gt;=#REF!,BI239&lt;&gt;"N/A"))</formula>
    </cfRule>
    <cfRule type="expression" dxfId="12895" priority="34763" stopIfTrue="1">
      <formula>AND(IF(BI239&lt;#REF!,BI239&gt;=#REF!,BI239&lt;&gt;"N/A"))</formula>
    </cfRule>
    <cfRule type="expression" dxfId="12894" priority="34764" stopIfTrue="1">
      <formula>AND(IF(BI239&lt;#REF!,BI239&lt;&gt;"N/A"))</formula>
    </cfRule>
  </conditionalFormatting>
  <conditionalFormatting sqref="AZ209:AZ217">
    <cfRule type="expression" dxfId="12893" priority="34756" stopIfTrue="1">
      <formula>AND(IF(AZ209&gt;=#REF!,AZ209&lt;&gt;"N/A"))</formula>
    </cfRule>
    <cfRule type="expression" dxfId="12892" priority="34757" stopIfTrue="1">
      <formula>AND(IF(AZ209&lt;#REF!,AZ209&gt;=#REF!,AZ209&lt;&gt;"N/A"))</formula>
    </cfRule>
    <cfRule type="expression" dxfId="12891" priority="34758" stopIfTrue="1">
      <formula>AND(IF(AZ209&lt;#REF!,AZ209&lt;&gt;"N/A"))</formula>
    </cfRule>
  </conditionalFormatting>
  <conditionalFormatting sqref="AZ133:AZ138">
    <cfRule type="expression" dxfId="12890" priority="34750" stopIfTrue="1">
      <formula>AND(IF(AZ133&gt;=#REF!,AZ133&lt;&gt;"N/A"))</formula>
    </cfRule>
    <cfRule type="expression" dxfId="12889" priority="34751" stopIfTrue="1">
      <formula>AND(IF(AZ133&lt;#REF!,AZ133&gt;=#REF!,AZ133&lt;&gt;"N/A"))</formula>
    </cfRule>
    <cfRule type="expression" dxfId="12888" priority="34752" stopIfTrue="1">
      <formula>AND(IF(AZ133&lt;#REF!,AZ133&lt;&gt;"N/A"))</formula>
    </cfRule>
  </conditionalFormatting>
  <conditionalFormatting sqref="BI15">
    <cfRule type="expression" dxfId="12887" priority="34747" stopIfTrue="1">
      <formula>AND(IF(BI15&gt;=#REF!,BI15&lt;&gt;"N/A"))</formula>
    </cfRule>
    <cfRule type="expression" dxfId="12886" priority="34748" stopIfTrue="1">
      <formula>AND(IF(BI15&lt;#REF!,BI15&gt;=#REF!,BI15&lt;&gt;"N/A"))</formula>
    </cfRule>
    <cfRule type="expression" dxfId="12885" priority="34749" stopIfTrue="1">
      <formula>AND(IF(BI15&lt;#REF!,BI15&lt;&gt;"N/A"))</formula>
    </cfRule>
  </conditionalFormatting>
  <conditionalFormatting sqref="BC133:BC138">
    <cfRule type="expression" dxfId="12884" priority="34744" stopIfTrue="1">
      <formula>AND(IF(BC133&gt;=#REF!,BC133&lt;&gt;"N/A"))</formula>
    </cfRule>
    <cfRule type="expression" dxfId="12883" priority="34745" stopIfTrue="1">
      <formula>AND(IF(BC133&lt;#REF!,BC133&gt;=#REF!,BC133&lt;&gt;"N/A"))</formula>
    </cfRule>
    <cfRule type="expression" dxfId="12882" priority="34746" stopIfTrue="1">
      <formula>AND(IF(BC133&lt;#REF!,BC133&lt;&gt;"N/A"))</formula>
    </cfRule>
  </conditionalFormatting>
  <conditionalFormatting sqref="BF133:BF138">
    <cfRule type="expression" dxfId="12881" priority="34741" stopIfTrue="1">
      <formula>AND(IF(BF133&gt;=#REF!,BF133&lt;&gt;"N/A"))</formula>
    </cfRule>
    <cfRule type="expression" dxfId="12880" priority="34742" stopIfTrue="1">
      <formula>AND(IF(BF133&lt;#REF!,BF133&gt;=#REF!,BF133&lt;&gt;"N/A"))</formula>
    </cfRule>
    <cfRule type="expression" dxfId="12879" priority="34743" stopIfTrue="1">
      <formula>AND(IF(BF133&lt;#REF!,BF133&lt;&gt;"N/A"))</formula>
    </cfRule>
  </conditionalFormatting>
  <conditionalFormatting sqref="BN15">
    <cfRule type="expression" dxfId="12878" priority="34738" stopIfTrue="1">
      <formula>AND(IF(BN15&gt;=#REF!,BN15&lt;&gt;"N/A"))</formula>
    </cfRule>
    <cfRule type="expression" dxfId="12877" priority="34739" stopIfTrue="1">
      <formula>AND(IF(BN15&lt;#REF!,BN15&gt;=#REF!,BN15&lt;&gt;"N/A"))</formula>
    </cfRule>
    <cfRule type="expression" dxfId="12876" priority="34740" stopIfTrue="1">
      <formula>AND(IF(BN15&lt;#REF!,BN15&lt;&gt;"N/A"))</formula>
    </cfRule>
  </conditionalFormatting>
  <conditionalFormatting sqref="BW239:BW243">
    <cfRule type="expression" dxfId="12875" priority="34735" stopIfTrue="1">
      <formula>AND(IF(BW239&gt;=#REF!,BW239&lt;&gt;"N/A"))</formula>
    </cfRule>
    <cfRule type="expression" dxfId="12874" priority="34736" stopIfTrue="1">
      <formula>AND(IF(BW239&lt;#REF!,BW239&gt;=#REF!,BW239&lt;&gt;"N/A"))</formula>
    </cfRule>
    <cfRule type="expression" dxfId="12873" priority="34737" stopIfTrue="1">
      <formula>AND(IF(BW239&lt;#REF!,BW239&lt;&gt;"N/A"))</formula>
    </cfRule>
  </conditionalFormatting>
  <conditionalFormatting sqref="BN209:BN217">
    <cfRule type="expression" dxfId="12872" priority="34729" stopIfTrue="1">
      <formula>AND(IF(BN209&gt;=#REF!,BN209&lt;&gt;"N/A"))</formula>
    </cfRule>
    <cfRule type="expression" dxfId="12871" priority="34730" stopIfTrue="1">
      <formula>AND(IF(BN209&lt;#REF!,BN209&gt;=#REF!,BN209&lt;&gt;"N/A"))</formula>
    </cfRule>
    <cfRule type="expression" dxfId="12870" priority="34731" stopIfTrue="1">
      <formula>AND(IF(BN209&lt;#REF!,BN209&lt;&gt;"N/A"))</formula>
    </cfRule>
  </conditionalFormatting>
  <conditionalFormatting sqref="BN133:BN138">
    <cfRule type="expression" dxfId="12869" priority="34723" stopIfTrue="1">
      <formula>AND(IF(BN133&gt;=#REF!,BN133&lt;&gt;"N/A"))</formula>
    </cfRule>
    <cfRule type="expression" dxfId="12868" priority="34724" stopIfTrue="1">
      <formula>AND(IF(BN133&lt;#REF!,BN133&gt;=#REF!,BN133&lt;&gt;"N/A"))</formula>
    </cfRule>
    <cfRule type="expression" dxfId="12867" priority="34725" stopIfTrue="1">
      <formula>AND(IF(BN133&lt;#REF!,BN133&lt;&gt;"N/A"))</formula>
    </cfRule>
  </conditionalFormatting>
  <conditionalFormatting sqref="BW15">
    <cfRule type="expression" dxfId="12866" priority="34720" stopIfTrue="1">
      <formula>AND(IF(BW15&gt;=#REF!,BW15&lt;&gt;"N/A"))</formula>
    </cfRule>
    <cfRule type="expression" dxfId="12865" priority="34721" stopIfTrue="1">
      <formula>AND(IF(BW15&lt;#REF!,BW15&gt;=#REF!,BW15&lt;&gt;"N/A"))</formula>
    </cfRule>
    <cfRule type="expression" dxfId="12864" priority="34722" stopIfTrue="1">
      <formula>AND(IF(BW15&lt;#REF!,BW15&lt;&gt;"N/A"))</formula>
    </cfRule>
  </conditionalFormatting>
  <conditionalFormatting sqref="BQ133:BQ138">
    <cfRule type="expression" dxfId="12863" priority="34717" stopIfTrue="1">
      <formula>AND(IF(BQ133&gt;=#REF!,BQ133&lt;&gt;"N/A"))</formula>
    </cfRule>
    <cfRule type="expression" dxfId="12862" priority="34718" stopIfTrue="1">
      <formula>AND(IF(BQ133&lt;#REF!,BQ133&gt;=#REF!,BQ133&lt;&gt;"N/A"))</formula>
    </cfRule>
    <cfRule type="expression" dxfId="12861" priority="34719" stopIfTrue="1">
      <formula>AND(IF(BQ133&lt;#REF!,BQ133&lt;&gt;"N/A"))</formula>
    </cfRule>
  </conditionalFormatting>
  <conditionalFormatting sqref="BT133:BT138">
    <cfRule type="expression" dxfId="12860" priority="34714" stopIfTrue="1">
      <formula>AND(IF(BT133&gt;=#REF!,BT133&lt;&gt;"N/A"))</formula>
    </cfRule>
    <cfRule type="expression" dxfId="12859" priority="34715" stopIfTrue="1">
      <formula>AND(IF(BT133&lt;#REF!,BT133&gt;=#REF!,BT133&lt;&gt;"N/A"))</formula>
    </cfRule>
    <cfRule type="expression" dxfId="12858" priority="34716" stopIfTrue="1">
      <formula>AND(IF(BT133&lt;#REF!,BT133&lt;&gt;"N/A"))</formula>
    </cfRule>
  </conditionalFormatting>
  <conditionalFormatting sqref="CB15">
    <cfRule type="expression" dxfId="12857" priority="34711" stopIfTrue="1">
      <formula>AND(IF(CB15&gt;=#REF!,CB15&lt;&gt;"N/A"))</formula>
    </cfRule>
    <cfRule type="expression" dxfId="12856" priority="34712" stopIfTrue="1">
      <formula>AND(IF(CB15&lt;#REF!,CB15&gt;=#REF!,CB15&lt;&gt;"N/A"))</formula>
    </cfRule>
    <cfRule type="expression" dxfId="12855" priority="34713" stopIfTrue="1">
      <formula>AND(IF(CB15&lt;#REF!,CB15&lt;&gt;"N/A"))</formula>
    </cfRule>
  </conditionalFormatting>
  <conditionalFormatting sqref="CK239:CK243">
    <cfRule type="expression" dxfId="12854" priority="34708" stopIfTrue="1">
      <formula>AND(IF(CK239&gt;=#REF!,CK239&lt;&gt;"N/A"))</formula>
    </cfRule>
    <cfRule type="expression" dxfId="12853" priority="34709" stopIfTrue="1">
      <formula>AND(IF(CK239&lt;#REF!,CK239&gt;=#REF!,CK239&lt;&gt;"N/A"))</formula>
    </cfRule>
    <cfRule type="expression" dxfId="12852" priority="34710" stopIfTrue="1">
      <formula>AND(IF(CK239&lt;#REF!,CK239&lt;&gt;"N/A"))</formula>
    </cfRule>
  </conditionalFormatting>
  <conditionalFormatting sqref="CB209:CB217">
    <cfRule type="expression" dxfId="12851" priority="34702" stopIfTrue="1">
      <formula>AND(IF(CB209&gt;=#REF!,CB209&lt;&gt;"N/A"))</formula>
    </cfRule>
    <cfRule type="expression" dxfId="12850" priority="34703" stopIfTrue="1">
      <formula>AND(IF(CB209&lt;#REF!,CB209&gt;=#REF!,CB209&lt;&gt;"N/A"))</formula>
    </cfRule>
    <cfRule type="expression" dxfId="12849" priority="34704" stopIfTrue="1">
      <formula>AND(IF(CB209&lt;#REF!,CB209&lt;&gt;"N/A"))</formula>
    </cfRule>
  </conditionalFormatting>
  <conditionalFormatting sqref="CB133:CB138">
    <cfRule type="expression" dxfId="12848" priority="34696" stopIfTrue="1">
      <formula>AND(IF(CB133&gt;=#REF!,CB133&lt;&gt;"N/A"))</formula>
    </cfRule>
    <cfRule type="expression" dxfId="12847" priority="34697" stopIfTrue="1">
      <formula>AND(IF(CB133&lt;#REF!,CB133&gt;=#REF!,CB133&lt;&gt;"N/A"))</formula>
    </cfRule>
    <cfRule type="expression" dxfId="12846" priority="34698" stopIfTrue="1">
      <formula>AND(IF(CB133&lt;#REF!,CB133&lt;&gt;"N/A"))</formula>
    </cfRule>
  </conditionalFormatting>
  <conditionalFormatting sqref="CK15">
    <cfRule type="expression" dxfId="12845" priority="34693" stopIfTrue="1">
      <formula>AND(IF(CK15&gt;=#REF!,CK15&lt;&gt;"N/A"))</formula>
    </cfRule>
    <cfRule type="expression" dxfId="12844" priority="34694" stopIfTrue="1">
      <formula>AND(IF(CK15&lt;#REF!,CK15&gt;=#REF!,CK15&lt;&gt;"N/A"))</formula>
    </cfRule>
    <cfRule type="expression" dxfId="12843" priority="34695" stopIfTrue="1">
      <formula>AND(IF(CK15&lt;#REF!,CK15&lt;&gt;"N/A"))</formula>
    </cfRule>
  </conditionalFormatting>
  <conditionalFormatting sqref="CE133:CE138">
    <cfRule type="expression" dxfId="12842" priority="34690" stopIfTrue="1">
      <formula>AND(IF(CE133&gt;=#REF!,CE133&lt;&gt;"N/A"))</formula>
    </cfRule>
    <cfRule type="expression" dxfId="12841" priority="34691" stopIfTrue="1">
      <formula>AND(IF(CE133&lt;#REF!,CE133&gt;=#REF!,CE133&lt;&gt;"N/A"))</formula>
    </cfRule>
    <cfRule type="expression" dxfId="12840" priority="34692" stopIfTrue="1">
      <formula>AND(IF(CE133&lt;#REF!,CE133&lt;&gt;"N/A"))</formula>
    </cfRule>
  </conditionalFormatting>
  <conditionalFormatting sqref="CH133:CH138">
    <cfRule type="expression" dxfId="12839" priority="34687" stopIfTrue="1">
      <formula>AND(IF(CH133&gt;=#REF!,CH133&lt;&gt;"N/A"))</formula>
    </cfRule>
    <cfRule type="expression" dxfId="12838" priority="34688" stopIfTrue="1">
      <formula>AND(IF(CH133&lt;#REF!,CH133&gt;=#REF!,CH133&lt;&gt;"N/A"))</formula>
    </cfRule>
    <cfRule type="expression" dxfId="12837" priority="34689" stopIfTrue="1">
      <formula>AND(IF(CH133&lt;#REF!,CH133&lt;&gt;"N/A"))</formula>
    </cfRule>
  </conditionalFormatting>
  <conditionalFormatting sqref="AG15 AI15 AG133 AI133 K15 S133 Z133 Z15 AF218:AI220 R218:S220 Y218:Z220 R174 R238 Y174:Z174 Y238:Z238 AF174:AI174 AF238:AI238 R160:S161 Y160:Z161 AF248:AF249 AH248:AI249 R35 R59 R182:S182 Y182:Z182 AF182:AI182 L309 L133 L208 L365 AF222:AI222 R222:S222 Y222:Z222 R247:S254 R362:S362 Y247:Z254 Y362:Z362 AF249:AI254 AF362:AI362 K211:L226 Y165:Z168 R165:S168 K34:L36 K146:L152 K40:L44 K138:L144 K230:L231 K244:L284 K287:L303 AF239:AG239 K179:L179 K174:L177 K181:L185 K187:L206 K160:L171 R170:S170 Y170:Z170 AF170:AI170 K322:L331 K353:L355 K351:L351 K332 K306:L308 K56:L56 K234:L239 L233 K357:L360 K228:L228 K227 AF160:AI161 AF165:AI168 K91:L91 K97:L97 K117:L122 K157:L158 K126:L130">
    <cfRule type="cellIs" dxfId="12836" priority="34667" operator="between">
      <formula>0.76</formula>
      <formula>0.95</formula>
    </cfRule>
    <cfRule type="cellIs" dxfId="12835" priority="34668" operator="between">
      <formula>0.51</formula>
      <formula>0.75</formula>
    </cfRule>
    <cfRule type="cellIs" dxfId="12834" priority="34669" operator="greaterThan">
      <formula>1</formula>
    </cfRule>
    <cfRule type="cellIs" dxfId="12833" priority="34670" operator="between">
      <formula>0.96</formula>
      <formula>1</formula>
    </cfRule>
    <cfRule type="cellIs" dxfId="12832" priority="34671" stopIfTrue="1" operator="between">
      <formula>0</formula>
      <formula>0.5</formula>
    </cfRule>
  </conditionalFormatting>
  <conditionalFormatting sqref="K208">
    <cfRule type="cellIs" dxfId="12831" priority="33997" operator="between">
      <formula>0.76</formula>
      <formula>0.95</formula>
    </cfRule>
    <cfRule type="cellIs" dxfId="12830" priority="33998" operator="between">
      <formula>0.51</formula>
      <formula>0.75</formula>
    </cfRule>
    <cfRule type="cellIs" dxfId="12829" priority="33999" operator="greaterThan">
      <formula>1</formula>
    </cfRule>
    <cfRule type="cellIs" dxfId="12828" priority="34000" operator="between">
      <formula>0.96</formula>
      <formula>1</formula>
    </cfRule>
    <cfRule type="cellIs" dxfId="12827" priority="34001" stopIfTrue="1" operator="between">
      <formula>0</formula>
      <formula>0.5</formula>
    </cfRule>
  </conditionalFormatting>
  <conditionalFormatting sqref="K132">
    <cfRule type="cellIs" dxfId="12826" priority="34332" operator="between">
      <formula>0.76</formula>
      <formula>0.95</formula>
    </cfRule>
    <cfRule type="cellIs" dxfId="12825" priority="34333" operator="between">
      <formula>0.51</formula>
      <formula>0.75</formula>
    </cfRule>
    <cfRule type="cellIs" dxfId="12824" priority="34334" operator="greaterThan">
      <formula>1</formula>
    </cfRule>
    <cfRule type="cellIs" dxfId="12823" priority="34335" operator="between">
      <formula>0.96</formula>
      <formula>1</formula>
    </cfRule>
    <cfRule type="cellIs" dxfId="12822" priority="34336" stopIfTrue="1" operator="between">
      <formula>0</formula>
      <formula>0.5</formula>
    </cfRule>
  </conditionalFormatting>
  <conditionalFormatting sqref="K133">
    <cfRule type="cellIs" dxfId="12821" priority="34327" operator="between">
      <formula>0.76</formula>
      <formula>0.95</formula>
    </cfRule>
    <cfRule type="cellIs" dxfId="12820" priority="34328" operator="between">
      <formula>0.51</formula>
      <formula>0.75</formula>
    </cfRule>
    <cfRule type="cellIs" dxfId="12819" priority="34329" operator="greaterThan">
      <formula>1</formula>
    </cfRule>
    <cfRule type="cellIs" dxfId="12818" priority="34330" operator="between">
      <formula>0.96</formula>
      <formula>1</formula>
    </cfRule>
    <cfRule type="cellIs" dxfId="12817" priority="34331" stopIfTrue="1" operator="between">
      <formula>0</formula>
      <formula>0.5</formula>
    </cfRule>
  </conditionalFormatting>
  <conditionalFormatting sqref="K309">
    <cfRule type="cellIs" dxfId="12816" priority="33812" operator="between">
      <formula>0.76</formula>
      <formula>0.95</formula>
    </cfRule>
    <cfRule type="cellIs" dxfId="12815" priority="33813" operator="between">
      <formula>0.51</formula>
      <formula>0.75</formula>
    </cfRule>
    <cfRule type="cellIs" dxfId="12814" priority="33814" operator="greaterThan">
      <formula>1</formula>
    </cfRule>
    <cfRule type="cellIs" dxfId="12813" priority="33815" operator="between">
      <formula>0.96</formula>
      <formula>1</formula>
    </cfRule>
    <cfRule type="cellIs" dxfId="12812" priority="33816" stopIfTrue="1" operator="between">
      <formula>0</formula>
      <formula>0.5</formula>
    </cfRule>
  </conditionalFormatting>
  <conditionalFormatting sqref="K365">
    <cfRule type="cellIs" dxfId="12811" priority="33792" operator="between">
      <formula>0.76</formula>
      <formula>0.95</formula>
    </cfRule>
    <cfRule type="cellIs" dxfId="12810" priority="33793" operator="between">
      <formula>0.51</formula>
      <formula>0.75</formula>
    </cfRule>
    <cfRule type="cellIs" dxfId="12809" priority="33794" operator="greaterThan">
      <formula>1</formula>
    </cfRule>
    <cfRule type="cellIs" dxfId="12808" priority="33795" operator="between">
      <formula>0.96</formula>
      <formula>1</formula>
    </cfRule>
    <cfRule type="cellIs" dxfId="12807" priority="33796" stopIfTrue="1" operator="between">
      <formula>0</formula>
      <formula>0.5</formula>
    </cfRule>
  </conditionalFormatting>
  <conditionalFormatting sqref="R15:S15 S209 R225:S226 Y225:Z226 AF225:AI226 R43:R44 Y43:Z44 AF43:AI44 AF322:AI326 R322:R326 Y322:Y326 AH332:AI332 R332 AF332 R351 Y351:Z351 Y332:Z332 AF351 AH351:AI351 R56 Y56:Z56 AF56:AI56">
    <cfRule type="cellIs" dxfId="12806" priority="33782" operator="between">
      <formula>0.76</formula>
      <formula>0.95</formula>
    </cfRule>
    <cfRule type="cellIs" dxfId="12805" priority="33783" operator="between">
      <formula>0.51</formula>
      <formula>0.75</formula>
    </cfRule>
    <cfRule type="cellIs" dxfId="12804" priority="33784" operator="greaterThan">
      <formula>1</formula>
    </cfRule>
    <cfRule type="cellIs" dxfId="12803" priority="33785" operator="between">
      <formula>0.95</formula>
      <formula>1</formula>
    </cfRule>
    <cfRule type="cellIs" dxfId="12802" priority="33786" stopIfTrue="1" operator="between">
      <formula>0</formula>
      <formula>0.5</formula>
    </cfRule>
  </conditionalFormatting>
  <conditionalFormatting sqref="R208">
    <cfRule type="cellIs" dxfId="12801" priority="33087" operator="between">
      <formula>0.76</formula>
      <formula>0.95</formula>
    </cfRule>
    <cfRule type="cellIs" dxfId="12800" priority="33088" operator="between">
      <formula>0.51</formula>
      <formula>0.75</formula>
    </cfRule>
    <cfRule type="cellIs" dxfId="12799" priority="33089" operator="greaterThan">
      <formula>1</formula>
    </cfRule>
    <cfRule type="cellIs" dxfId="12798" priority="33090" operator="between">
      <formula>0.95</formula>
      <formula>1</formula>
    </cfRule>
    <cfRule type="cellIs" dxfId="12797" priority="33091" stopIfTrue="1" operator="between">
      <formula>0</formula>
      <formula>0.5</formula>
    </cfRule>
  </conditionalFormatting>
  <conditionalFormatting sqref="R209">
    <cfRule type="cellIs" dxfId="12796" priority="33082" operator="between">
      <formula>0.76</formula>
      <formula>0.95</formula>
    </cfRule>
    <cfRule type="cellIs" dxfId="12795" priority="33083" operator="between">
      <formula>0.51</formula>
      <formula>0.75</formula>
    </cfRule>
    <cfRule type="cellIs" dxfId="12794" priority="33084" operator="greaterThan">
      <formula>1</formula>
    </cfRule>
    <cfRule type="cellIs" dxfId="12793" priority="33085" operator="between">
      <formula>0.95</formula>
      <formula>1</formula>
    </cfRule>
    <cfRule type="cellIs" dxfId="12792" priority="33086" stopIfTrue="1" operator="between">
      <formula>0</formula>
      <formula>0.5</formula>
    </cfRule>
  </conditionalFormatting>
  <conditionalFormatting sqref="R132">
    <cfRule type="cellIs" dxfId="12791" priority="33417" operator="between">
      <formula>0.76</formula>
      <formula>0.95</formula>
    </cfRule>
    <cfRule type="cellIs" dxfId="12790" priority="33418" operator="between">
      <formula>0.51</formula>
      <formula>0.75</formula>
    </cfRule>
    <cfRule type="cellIs" dxfId="12789" priority="33419" operator="greaterThan">
      <formula>1</formula>
    </cfRule>
    <cfRule type="cellIs" dxfId="12788" priority="33420" operator="between">
      <formula>0.95</formula>
      <formula>1</formula>
    </cfRule>
    <cfRule type="cellIs" dxfId="12787" priority="33421" stopIfTrue="1" operator="between">
      <formula>0</formula>
      <formula>0.5</formula>
    </cfRule>
  </conditionalFormatting>
  <conditionalFormatting sqref="R133">
    <cfRule type="cellIs" dxfId="12786" priority="33412" operator="between">
      <formula>0.76</formula>
      <formula>0.95</formula>
    </cfRule>
    <cfRule type="cellIs" dxfId="12785" priority="33413" operator="between">
      <formula>0.51</formula>
      <formula>0.75</formula>
    </cfRule>
    <cfRule type="cellIs" dxfId="12784" priority="33414" operator="greaterThan">
      <formula>1</formula>
    </cfRule>
    <cfRule type="cellIs" dxfId="12783" priority="33415" operator="between">
      <formula>0.95</formula>
      <formula>1</formula>
    </cfRule>
    <cfRule type="cellIs" dxfId="12782" priority="33416" stopIfTrue="1" operator="between">
      <formula>0</formula>
      <formula>0.5</formula>
    </cfRule>
  </conditionalFormatting>
  <conditionalFormatting sqref="R158">
    <cfRule type="cellIs" dxfId="12781" priority="33057" operator="between">
      <formula>0.76</formula>
      <formula>0.95</formula>
    </cfRule>
    <cfRule type="cellIs" dxfId="12780" priority="33058" operator="between">
      <formula>0.51</formula>
      <formula>0.75</formula>
    </cfRule>
    <cfRule type="cellIs" dxfId="12779" priority="33059" operator="greaterThan">
      <formula>1</formula>
    </cfRule>
    <cfRule type="cellIs" dxfId="12778" priority="33060" operator="between">
      <formula>0.95</formula>
      <formula>1</formula>
    </cfRule>
    <cfRule type="cellIs" dxfId="12777" priority="33061" stopIfTrue="1" operator="between">
      <formula>0</formula>
      <formula>0.5</formula>
    </cfRule>
  </conditionalFormatting>
  <conditionalFormatting sqref="Y15">
    <cfRule type="cellIs" dxfId="12776" priority="32867" operator="between">
      <formula>0.76</formula>
      <formula>0.95</formula>
    </cfRule>
    <cfRule type="cellIs" dxfId="12775" priority="32868" operator="between">
      <formula>0.51</formula>
      <formula>0.75</formula>
    </cfRule>
    <cfRule type="cellIs" dxfId="12774" priority="32869" operator="greaterThan">
      <formula>1</formula>
    </cfRule>
    <cfRule type="cellIs" dxfId="12773" priority="32870" operator="between">
      <formula>0.95</formula>
      <formula>1</formula>
    </cfRule>
    <cfRule type="cellIs" dxfId="12772" priority="32871" stopIfTrue="1" operator="between">
      <formula>0</formula>
      <formula>0.5</formula>
    </cfRule>
  </conditionalFormatting>
  <conditionalFormatting sqref="Y209">
    <cfRule type="cellIs" dxfId="12771" priority="32177" operator="between">
      <formula>0.76</formula>
      <formula>0.95</formula>
    </cfRule>
    <cfRule type="cellIs" dxfId="12770" priority="32178" operator="between">
      <formula>0.51</formula>
      <formula>0.75</formula>
    </cfRule>
    <cfRule type="cellIs" dxfId="12769" priority="32179" operator="greaterThan">
      <formula>1</formula>
    </cfRule>
    <cfRule type="cellIs" dxfId="12768" priority="32180" operator="between">
      <formula>0.95</formula>
      <formula>1</formula>
    </cfRule>
    <cfRule type="cellIs" dxfId="12767" priority="32181" stopIfTrue="1" operator="between">
      <formula>0</formula>
      <formula>0.5</formula>
    </cfRule>
  </conditionalFormatting>
  <conditionalFormatting sqref="Y133">
    <cfRule type="cellIs" dxfId="12766" priority="32497" operator="between">
      <formula>0.76</formula>
      <formula>0.95</formula>
    </cfRule>
    <cfRule type="cellIs" dxfId="12765" priority="32498" operator="between">
      <formula>0.51</formula>
      <formula>0.75</formula>
    </cfRule>
    <cfRule type="cellIs" dxfId="12764" priority="32499" operator="greaterThan">
      <formula>1</formula>
    </cfRule>
    <cfRule type="cellIs" dxfId="12763" priority="32500" operator="between">
      <formula>0.95</formula>
      <formula>1</formula>
    </cfRule>
    <cfRule type="cellIs" dxfId="12762" priority="32501" stopIfTrue="1" operator="between">
      <formula>0</formula>
      <formula>0.5</formula>
    </cfRule>
  </conditionalFormatting>
  <conditionalFormatting sqref="Y158">
    <cfRule type="cellIs" dxfId="12761" priority="32147" operator="between">
      <formula>0.76</formula>
      <formula>0.95</formula>
    </cfRule>
    <cfRule type="cellIs" dxfId="12760" priority="32148" operator="between">
      <formula>0.51</formula>
      <formula>0.75</formula>
    </cfRule>
    <cfRule type="cellIs" dxfId="12759" priority="32149" operator="greaterThan">
      <formula>1</formula>
    </cfRule>
    <cfRule type="cellIs" dxfId="12758" priority="32150" operator="between">
      <formula>0.95</formula>
      <formula>1</formula>
    </cfRule>
    <cfRule type="cellIs" dxfId="12757" priority="32151" stopIfTrue="1" operator="between">
      <formula>0</formula>
      <formula>0.5</formula>
    </cfRule>
  </conditionalFormatting>
  <conditionalFormatting sqref="AF15">
    <cfRule type="cellIs" dxfId="12756" priority="31962" operator="between">
      <formula>0.76</formula>
      <formula>0.95</formula>
    </cfRule>
    <cfRule type="cellIs" dxfId="12755" priority="31963" operator="between">
      <formula>0.51</formula>
      <formula>0.75</formula>
    </cfRule>
    <cfRule type="cellIs" dxfId="12754" priority="31964" operator="greaterThan">
      <formula>1</formula>
    </cfRule>
    <cfRule type="cellIs" dxfId="12753" priority="31965" operator="between">
      <formula>0.95</formula>
      <formula>1</formula>
    </cfRule>
    <cfRule type="cellIs" dxfId="12752" priority="31966" stopIfTrue="1" operator="between">
      <formula>0</formula>
      <formula>0.5</formula>
    </cfRule>
  </conditionalFormatting>
  <conditionalFormatting sqref="AF209">
    <cfRule type="cellIs" dxfId="12751" priority="31277" operator="between">
      <formula>0.76</formula>
      <formula>0.95</formula>
    </cfRule>
    <cfRule type="cellIs" dxfId="12750" priority="31278" operator="between">
      <formula>0.51</formula>
      <formula>0.75</formula>
    </cfRule>
    <cfRule type="cellIs" dxfId="12749" priority="31279" operator="greaterThan">
      <formula>1</formula>
    </cfRule>
    <cfRule type="cellIs" dxfId="12748" priority="31280" operator="between">
      <formula>0.95</formula>
      <formula>1</formula>
    </cfRule>
    <cfRule type="cellIs" dxfId="12747" priority="31281" stopIfTrue="1" operator="between">
      <formula>0</formula>
      <formula>0.5</formula>
    </cfRule>
  </conditionalFormatting>
  <conditionalFormatting sqref="AF133">
    <cfRule type="cellIs" dxfId="12746" priority="31602" operator="between">
      <formula>0.76</formula>
      <formula>0.95</formula>
    </cfRule>
    <cfRule type="cellIs" dxfId="12745" priority="31603" operator="between">
      <formula>0.51</formula>
      <formula>0.75</formula>
    </cfRule>
    <cfRule type="cellIs" dxfId="12744" priority="31604" operator="greaterThan">
      <formula>1</formula>
    </cfRule>
    <cfRule type="cellIs" dxfId="12743" priority="31605" operator="between">
      <formula>0.95</formula>
      <formula>1</formula>
    </cfRule>
    <cfRule type="cellIs" dxfId="12742" priority="31606" stopIfTrue="1" operator="between">
      <formula>0</formula>
      <formula>0.5</formula>
    </cfRule>
  </conditionalFormatting>
  <conditionalFormatting sqref="AF158">
    <cfRule type="cellIs" dxfId="12741" priority="31252" operator="between">
      <formula>0.76</formula>
      <formula>0.95</formula>
    </cfRule>
    <cfRule type="cellIs" dxfId="12740" priority="31253" operator="between">
      <formula>0.51</formula>
      <formula>0.75</formula>
    </cfRule>
    <cfRule type="cellIs" dxfId="12739" priority="31254" operator="greaterThan">
      <formula>1</formula>
    </cfRule>
    <cfRule type="cellIs" dxfId="12738" priority="31255" operator="between">
      <formula>0.95</formula>
      <formula>1</formula>
    </cfRule>
    <cfRule type="cellIs" dxfId="12737" priority="31256" stopIfTrue="1" operator="between">
      <formula>0</formula>
      <formula>0.5</formula>
    </cfRule>
  </conditionalFormatting>
  <conditionalFormatting sqref="AH15">
    <cfRule type="cellIs" dxfId="12736" priority="31042" operator="between">
      <formula>0.76</formula>
      <formula>0.95</formula>
    </cfRule>
    <cfRule type="cellIs" dxfId="12735" priority="31043" operator="between">
      <formula>0.51</formula>
      <formula>0.75</formula>
    </cfRule>
    <cfRule type="cellIs" dxfId="12734" priority="31044" operator="greaterThan">
      <formula>1</formula>
    </cfRule>
    <cfRule type="cellIs" dxfId="12733" priority="31045" operator="between">
      <formula>0.95</formula>
      <formula>1</formula>
    </cfRule>
    <cfRule type="cellIs" dxfId="12732" priority="31046" stopIfTrue="1" operator="between">
      <formula>0</formula>
      <formula>0.5</formula>
    </cfRule>
  </conditionalFormatting>
  <conditionalFormatting sqref="T15 T218:T220 T174 T238 T161 T35 T59 T182 T222 T247:T254 T362 T225:T226 T165:T167 T43:T44 T170 T322:T326 T332 T351 T56">
    <cfRule type="cellIs" dxfId="12731" priority="31077" operator="between">
      <formula>0.3751</formula>
      <formula>0.475</formula>
    </cfRule>
    <cfRule type="cellIs" dxfId="12730" priority="31078" operator="between">
      <formula>0.2551</formula>
      <formula>0.375</formula>
    </cfRule>
    <cfRule type="cellIs" dxfId="12729" priority="31079" operator="greaterThan">
      <formula>0.505</formula>
    </cfRule>
    <cfRule type="cellIs" dxfId="12728" priority="31080" operator="between">
      <formula>0.48</formula>
      <formula>0.5</formula>
    </cfRule>
    <cfRule type="cellIs" dxfId="12727" priority="31081" stopIfTrue="1" operator="between">
      <formula>0</formula>
      <formula>0.255</formula>
    </cfRule>
  </conditionalFormatting>
  <conditionalFormatting sqref="AA15:AC15 AA218:AC220 AA174:AC174 AA238:AC238 AA182:AC182 AA222:AC222 AA247:AC254 AA362:AC362 AA225:AC226 AA43:AC44 AA161:AC161 AA170:AC170 AA322:AC326 AA332:AC332 AA351:AC351 AA56:AC56 AA165:AC168">
    <cfRule type="cellIs" dxfId="12726" priority="31047" operator="between">
      <formula>0.56251</formula>
      <formula>0.7125</formula>
    </cfRule>
    <cfRule type="cellIs" dxfId="12725" priority="31048" operator="between">
      <formula>0.3751</formula>
      <formula>0.5625</formula>
    </cfRule>
    <cfRule type="cellIs" dxfId="12724" priority="31049" operator="greaterThan">
      <formula>0.751</formula>
    </cfRule>
    <cfRule type="cellIs" dxfId="12723" priority="31050" operator="between">
      <formula>0.71251</formula>
      <formula>0.75</formula>
    </cfRule>
    <cfRule type="cellIs" dxfId="12722" priority="31051" stopIfTrue="1" operator="between">
      <formula>0</formula>
      <formula>0.375</formula>
    </cfRule>
  </conditionalFormatting>
  <conditionalFormatting sqref="AH209">
    <cfRule type="cellIs" dxfId="12721" priority="30357" operator="between">
      <formula>0.76</formula>
      <formula>0.95</formula>
    </cfRule>
    <cfRule type="cellIs" dxfId="12720" priority="30358" operator="between">
      <formula>0.51</formula>
      <formula>0.75</formula>
    </cfRule>
    <cfRule type="cellIs" dxfId="12719" priority="30359" operator="greaterThan">
      <formula>1</formula>
    </cfRule>
    <cfRule type="cellIs" dxfId="12718" priority="30360" operator="between">
      <formula>0.95</formula>
      <formula>1</formula>
    </cfRule>
    <cfRule type="cellIs" dxfId="12717" priority="30361" stopIfTrue="1" operator="between">
      <formula>0</formula>
      <formula>0.5</formula>
    </cfRule>
  </conditionalFormatting>
  <conditionalFormatting sqref="AH133">
    <cfRule type="cellIs" dxfId="12716" priority="30682" operator="between">
      <formula>0.76</formula>
      <formula>0.95</formula>
    </cfRule>
    <cfRule type="cellIs" dxfId="12715" priority="30683" operator="between">
      <formula>0.51</formula>
      <formula>0.75</formula>
    </cfRule>
    <cfRule type="cellIs" dxfId="12714" priority="30684" operator="greaterThan">
      <formula>1</formula>
    </cfRule>
    <cfRule type="cellIs" dxfId="12713" priority="30685" operator="between">
      <formula>0.95</formula>
      <formula>1</formula>
    </cfRule>
    <cfRule type="cellIs" dxfId="12712" priority="30686" stopIfTrue="1" operator="between">
      <formula>0</formula>
      <formula>0.5</formula>
    </cfRule>
  </conditionalFormatting>
  <conditionalFormatting sqref="M15 M132:O132 O211:O226 O132:O133 M34:M36 O146:O152 O187:O196 M40:M44 O230:O231 O244:O284 O287:O303 O179 O174:O177 O138:O144 O181:O185 O160:O171 O322:O331 O353:O355 O351 O306:O308 O136 O233:O239 O357:O360 O228 M91 M97 M118:M122 O157:O158 M126:M131">
    <cfRule type="cellIs" dxfId="12711" priority="30152" operator="between">
      <formula>0.1876</formula>
      <formula>0.2375</formula>
    </cfRule>
    <cfRule type="cellIs" dxfId="12710" priority="30153" operator="between">
      <formula>0.1251</formula>
      <formula>0.1875</formula>
    </cfRule>
    <cfRule type="cellIs" dxfId="12709" priority="30154" operator="greaterThan">
      <formula>0.25</formula>
    </cfRule>
    <cfRule type="cellIs" dxfId="12708" priority="30155" operator="between">
      <formula>0.2375</formula>
      <formula>0.25</formula>
    </cfRule>
    <cfRule type="cellIs" dxfId="12707" priority="30156" stopIfTrue="1" operator="between">
      <formula>0</formula>
      <formula>0.125</formula>
    </cfRule>
  </conditionalFormatting>
  <conditionalFormatting sqref="M211:N226 M133:N133 N34:O36 M146:N152 M187:N196 M230:N231 M287:N303 M179:N179 M174:N177 M138:N144 M181:N185 M160:N171 M322:N332 M353:N355 M351:N351 M306:N308 M233:N239 M357:N360 O117 M228:N228 M244:N284 N40:O44 N91:O91 N97:O97 N118:O122 M157:N158 N126:O131">
    <cfRule type="cellIs" dxfId="12706" priority="29792" operator="between">
      <formula>0.1876</formula>
      <formula>0.2375</formula>
    </cfRule>
    <cfRule type="cellIs" dxfId="12705" priority="29793" operator="between">
      <formula>0.1251</formula>
      <formula>0.1875</formula>
    </cfRule>
    <cfRule type="cellIs" dxfId="12704" priority="29794" operator="greaterThan">
      <formula>0.25</formula>
    </cfRule>
    <cfRule type="cellIs" dxfId="12703" priority="29795" operator="between">
      <formula>0.2376</formula>
      <formula>0.25</formula>
    </cfRule>
    <cfRule type="cellIs" dxfId="12702" priority="29796" stopIfTrue="1" operator="between">
      <formula>0</formula>
      <formula>0.125</formula>
    </cfRule>
  </conditionalFormatting>
  <conditionalFormatting sqref="T209">
    <cfRule type="cellIs" dxfId="12701" priority="27997" operator="between">
      <formula>0.3751</formula>
      <formula>0.475</formula>
    </cfRule>
    <cfRule type="cellIs" dxfId="12700" priority="27998" operator="between">
      <formula>0.2551</formula>
      <formula>0.375</formula>
    </cfRule>
    <cfRule type="cellIs" dxfId="12699" priority="27999" operator="greaterThan">
      <formula>0.505</formula>
    </cfRule>
    <cfRule type="cellIs" dxfId="12698" priority="28000" operator="between">
      <formula>0.48</formula>
      <formula>0.5</formula>
    </cfRule>
    <cfRule type="cellIs" dxfId="12697" priority="28001" stopIfTrue="1" operator="between">
      <formula>0</formula>
      <formula>0.255</formula>
    </cfRule>
  </conditionalFormatting>
  <conditionalFormatting sqref="T133">
    <cfRule type="cellIs" dxfId="12696" priority="28317" operator="between">
      <formula>0.3751</formula>
      <formula>0.475</formula>
    </cfRule>
    <cfRule type="cellIs" dxfId="12695" priority="28318" operator="between">
      <formula>0.2551</formula>
      <formula>0.375</formula>
    </cfRule>
    <cfRule type="cellIs" dxfId="12694" priority="28319" operator="greaterThan">
      <formula>0.505</formula>
    </cfRule>
    <cfRule type="cellIs" dxfId="12693" priority="28320" operator="between">
      <formula>0.48</formula>
      <formula>0.5</formula>
    </cfRule>
    <cfRule type="cellIs" dxfId="12692" priority="28321" stopIfTrue="1" operator="between">
      <formula>0</formula>
      <formula>0.255</formula>
    </cfRule>
  </conditionalFormatting>
  <conditionalFormatting sqref="U15:V15 U209:V209 U133:V133 U218:V220 U174 U238 U182:V182 U222:V222 U247:V254 U362:V362 U225:V226 U165:V167 U43:U44 U161:V161 U170:V170 U322:V326 U56">
    <cfRule type="cellIs" dxfId="12691" priority="27692" operator="between">
      <formula>0.376</formula>
      <formula>0.475</formula>
    </cfRule>
    <cfRule type="cellIs" dxfId="12690" priority="27693" operator="between">
      <formula>0.2551</formula>
      <formula>0.3751</formula>
    </cfRule>
    <cfRule type="cellIs" dxfId="12689" priority="27694" operator="greaterThan">
      <formula>0.505</formula>
    </cfRule>
    <cfRule type="cellIs" dxfId="12688" priority="27695" operator="between">
      <formula>0.48</formula>
      <formula>0.5</formula>
    </cfRule>
    <cfRule type="cellIs" dxfId="12687" priority="27696" stopIfTrue="1" operator="between">
      <formula>0</formula>
      <formula>0.255</formula>
    </cfRule>
  </conditionalFormatting>
  <conditionalFormatting sqref="Z209">
    <cfRule type="cellIs" dxfId="12686" priority="27502" operator="between">
      <formula>0.76</formula>
      <formula>0.95</formula>
    </cfRule>
    <cfRule type="cellIs" dxfId="12685" priority="27503" operator="between">
      <formula>0.51</formula>
      <formula>0.75</formula>
    </cfRule>
    <cfRule type="cellIs" dxfId="12684" priority="27504" operator="greaterThan">
      <formula>1</formula>
    </cfRule>
    <cfRule type="cellIs" dxfId="12683" priority="27505" operator="between">
      <formula>0.95</formula>
      <formula>1</formula>
    </cfRule>
    <cfRule type="cellIs" dxfId="12682" priority="27506" stopIfTrue="1" operator="between">
      <formula>0</formula>
      <formula>0.5</formula>
    </cfRule>
  </conditionalFormatting>
  <conditionalFormatting sqref="Y132">
    <cfRule type="cellIs" dxfId="12681" priority="27462" operator="between">
      <formula>0.76</formula>
      <formula>0.95</formula>
    </cfRule>
    <cfRule type="cellIs" dxfId="12680" priority="27463" operator="between">
      <formula>0.51</formula>
      <formula>0.75</formula>
    </cfRule>
    <cfRule type="cellIs" dxfId="12679" priority="27464" operator="greaterThan">
      <formula>1</formula>
    </cfRule>
    <cfRule type="cellIs" dxfId="12678" priority="27465" operator="between">
      <formula>0.95</formula>
      <formula>1</formula>
    </cfRule>
    <cfRule type="cellIs" dxfId="12677" priority="27466" stopIfTrue="1" operator="between">
      <formula>0</formula>
      <formula>0.5</formula>
    </cfRule>
  </conditionalFormatting>
  <conditionalFormatting sqref="Y208">
    <cfRule type="cellIs" dxfId="12676" priority="27422" operator="between">
      <formula>0.76</formula>
      <formula>0.95</formula>
    </cfRule>
    <cfRule type="cellIs" dxfId="12675" priority="27423" operator="between">
      <formula>0.51</formula>
      <formula>0.75</formula>
    </cfRule>
    <cfRule type="cellIs" dxfId="12674" priority="27424" operator="greaterThan">
      <formula>1</formula>
    </cfRule>
    <cfRule type="cellIs" dxfId="12673" priority="27425" operator="between">
      <formula>0.95</formula>
      <formula>1</formula>
    </cfRule>
    <cfRule type="cellIs" dxfId="12672" priority="27426" stopIfTrue="1" operator="between">
      <formula>0</formula>
      <formula>0.5</formula>
    </cfRule>
  </conditionalFormatting>
  <conditionalFormatting sqref="AG209 AG158">
    <cfRule type="cellIs" dxfId="12671" priority="27342" operator="between">
      <formula>0.76</formula>
      <formula>0.95</formula>
    </cfRule>
    <cfRule type="cellIs" dxfId="12670" priority="27343" operator="between">
      <formula>0.51</formula>
      <formula>0.75</formula>
    </cfRule>
    <cfRule type="cellIs" dxfId="12669" priority="27344" operator="greaterThan">
      <formula>1</formula>
    </cfRule>
    <cfRule type="cellIs" dxfId="12668" priority="27345" operator="between">
      <formula>0.95</formula>
      <formula>1</formula>
    </cfRule>
    <cfRule type="cellIs" dxfId="12667" priority="27346" stopIfTrue="1" operator="between">
      <formula>0</formula>
      <formula>0.5</formula>
    </cfRule>
  </conditionalFormatting>
  <conditionalFormatting sqref="AI209">
    <cfRule type="cellIs" dxfId="12666" priority="27337" operator="between">
      <formula>0.76</formula>
      <formula>0.95</formula>
    </cfRule>
    <cfRule type="cellIs" dxfId="12665" priority="27338" operator="between">
      <formula>0.51</formula>
      <formula>0.75</formula>
    </cfRule>
    <cfRule type="cellIs" dxfId="12664" priority="27339" operator="greaterThan">
      <formula>1</formula>
    </cfRule>
    <cfRule type="cellIs" dxfId="12663" priority="27340" operator="between">
      <formula>0.95</formula>
      <formula>1</formula>
    </cfRule>
    <cfRule type="cellIs" dxfId="12662" priority="27341" stopIfTrue="1" operator="between">
      <formula>0</formula>
      <formula>0.5</formula>
    </cfRule>
  </conditionalFormatting>
  <conditionalFormatting sqref="AF132">
    <cfRule type="cellIs" dxfId="12661" priority="27282" operator="between">
      <formula>0.76</formula>
      <formula>0.95</formula>
    </cfRule>
    <cfRule type="cellIs" dxfId="12660" priority="27283" operator="between">
      <formula>0.51</formula>
      <formula>0.75</formula>
    </cfRule>
    <cfRule type="cellIs" dxfId="12659" priority="27284" operator="greaterThan">
      <formula>1</formula>
    </cfRule>
    <cfRule type="cellIs" dxfId="12658" priority="27285" operator="between">
      <formula>0.95</formula>
      <formula>1</formula>
    </cfRule>
    <cfRule type="cellIs" dxfId="12657" priority="27286" stopIfTrue="1" operator="between">
      <formula>0</formula>
      <formula>0.5</formula>
    </cfRule>
  </conditionalFormatting>
  <conditionalFormatting sqref="AF208">
    <cfRule type="cellIs" dxfId="12656" priority="27212" operator="between">
      <formula>0.76</formula>
      <formula>0.95</formula>
    </cfRule>
    <cfRule type="cellIs" dxfId="12655" priority="27213" operator="between">
      <formula>0.51</formula>
      <formula>0.75</formula>
    </cfRule>
    <cfRule type="cellIs" dxfId="12654" priority="27214" operator="greaterThan">
      <formula>1</formula>
    </cfRule>
    <cfRule type="cellIs" dxfId="12653" priority="27215" operator="between">
      <formula>0.95</formula>
      <formula>1</formula>
    </cfRule>
    <cfRule type="cellIs" dxfId="12652" priority="27216" stopIfTrue="1" operator="between">
      <formula>0</formula>
      <formula>0.5</formula>
    </cfRule>
  </conditionalFormatting>
  <conditionalFormatting sqref="L15">
    <cfRule type="cellIs" dxfId="12651" priority="26962" operator="between">
      <formula>0.76</formula>
      <formula>0.95</formula>
    </cfRule>
    <cfRule type="cellIs" dxfId="12650" priority="26963" operator="between">
      <formula>0.51</formula>
      <formula>0.75</formula>
    </cfRule>
    <cfRule type="cellIs" dxfId="12649" priority="26964" operator="greaterThan">
      <formula>1</formula>
    </cfRule>
    <cfRule type="cellIs" dxfId="12648" priority="26965" operator="between">
      <formula>0.96</formula>
      <formula>1</formula>
    </cfRule>
    <cfRule type="cellIs" dxfId="12647" priority="26966" stopIfTrue="1" operator="between">
      <formula>0</formula>
      <formula>0.5</formula>
    </cfRule>
  </conditionalFormatting>
  <conditionalFormatting sqref="N15">
    <cfRule type="cellIs" dxfId="12646" priority="26957" operator="between">
      <formula>0.1876</formula>
      <formula>0.2375</formula>
    </cfRule>
    <cfRule type="cellIs" dxfId="12645" priority="26958" operator="between">
      <formula>0.1251</formula>
      <formula>0.1875</formula>
    </cfRule>
    <cfRule type="cellIs" dxfId="12644" priority="26959" operator="greaterThan">
      <formula>0.25</formula>
    </cfRule>
    <cfRule type="cellIs" dxfId="12643" priority="26960" operator="between">
      <formula>0.2376</formula>
      <formula>0.25</formula>
    </cfRule>
    <cfRule type="cellIs" dxfId="12642" priority="26961" stopIfTrue="1" operator="between">
      <formula>0</formula>
      <formula>0.125</formula>
    </cfRule>
  </conditionalFormatting>
  <conditionalFormatting sqref="AI168 AI170">
    <cfRule type="cellIs" dxfId="12641" priority="21117" operator="between">
      <formula>0.76</formula>
      <formula>0.95</formula>
    </cfRule>
    <cfRule type="cellIs" dxfId="12640" priority="21118" operator="between">
      <formula>0.51</formula>
      <formula>0.75</formula>
    </cfRule>
    <cfRule type="cellIs" dxfId="12639" priority="21119" operator="greaterThan">
      <formula>1</formula>
    </cfRule>
    <cfRule type="cellIs" dxfId="12638" priority="21120" operator="between">
      <formula>0.95</formula>
      <formula>1</formula>
    </cfRule>
    <cfRule type="cellIs" dxfId="12637" priority="21121" stopIfTrue="1" operator="between">
      <formula>0</formula>
      <formula>0.5</formula>
    </cfRule>
  </conditionalFormatting>
  <conditionalFormatting sqref="AB209">
    <cfRule type="cellIs" dxfId="12636" priority="20482" operator="between">
      <formula>0.56251</formula>
      <formula>0.7125</formula>
    </cfRule>
    <cfRule type="cellIs" dxfId="12635" priority="20483" operator="between">
      <formula>0.3751</formula>
      <formula>0.5625</formula>
    </cfRule>
    <cfRule type="cellIs" dxfId="12634" priority="20484" operator="greaterThan">
      <formula>0.751</formula>
    </cfRule>
    <cfRule type="cellIs" dxfId="12633" priority="20485" operator="between">
      <formula>0.71251</formula>
      <formula>0.75</formula>
    </cfRule>
    <cfRule type="cellIs" dxfId="12632" priority="20486" stopIfTrue="1" operator="between">
      <formula>0</formula>
      <formula>0.375</formula>
    </cfRule>
  </conditionalFormatting>
  <conditionalFormatting sqref="AB133">
    <cfRule type="cellIs" dxfId="12631" priority="20407" operator="between">
      <formula>0.56251</formula>
      <formula>0.7125</formula>
    </cfRule>
    <cfRule type="cellIs" dxfId="12630" priority="20408" operator="between">
      <formula>0.3751</formula>
      <formula>0.5625</formula>
    </cfRule>
    <cfRule type="cellIs" dxfId="12629" priority="20409" operator="greaterThan">
      <formula>0.751</formula>
    </cfRule>
    <cfRule type="cellIs" dxfId="12628" priority="20410" operator="between">
      <formula>0.71251</formula>
      <formula>0.75</formula>
    </cfRule>
    <cfRule type="cellIs" dxfId="12627" priority="20411" stopIfTrue="1" operator="between">
      <formula>0</formula>
      <formula>0.375</formula>
    </cfRule>
  </conditionalFormatting>
  <conditionalFormatting sqref="AA209">
    <cfRule type="cellIs" dxfId="12626" priority="20492" operator="between">
      <formula>0.56251</formula>
      <formula>0.7125</formula>
    </cfRule>
    <cfRule type="cellIs" dxfId="12625" priority="20493" operator="between">
      <formula>0.3751</formula>
      <formula>0.5625</formula>
    </cfRule>
    <cfRule type="cellIs" dxfId="12624" priority="20494" operator="greaterThan">
      <formula>0.751</formula>
    </cfRule>
    <cfRule type="cellIs" dxfId="12623" priority="20495" operator="between">
      <formula>0.71251</formula>
      <formula>0.75</formula>
    </cfRule>
    <cfRule type="cellIs" dxfId="12622" priority="20496" stopIfTrue="1" operator="between">
      <formula>0</formula>
      <formula>0.375</formula>
    </cfRule>
  </conditionalFormatting>
  <conditionalFormatting sqref="AC209">
    <cfRule type="cellIs" dxfId="12621" priority="20487" operator="between">
      <formula>0.56251</formula>
      <formula>0.7125</formula>
    </cfRule>
    <cfRule type="cellIs" dxfId="12620" priority="20488" operator="between">
      <formula>0.3751</formula>
      <formula>0.5625</formula>
    </cfRule>
    <cfRule type="cellIs" dxfId="12619" priority="20489" operator="greaterThan">
      <formula>0.751</formula>
    </cfRule>
    <cfRule type="cellIs" dxfId="12618" priority="20490" operator="between">
      <formula>0.71251</formula>
      <formula>0.75</formula>
    </cfRule>
    <cfRule type="cellIs" dxfId="12617" priority="20491" stopIfTrue="1" operator="between">
      <formula>0</formula>
      <formula>0.375</formula>
    </cfRule>
  </conditionalFormatting>
  <conditionalFormatting sqref="AA133">
    <cfRule type="cellIs" dxfId="12616" priority="20417" operator="between">
      <formula>0.56251</formula>
      <formula>0.7125</formula>
    </cfRule>
    <cfRule type="cellIs" dxfId="12615" priority="20418" operator="between">
      <formula>0.3751</formula>
      <formula>0.5625</formula>
    </cfRule>
    <cfRule type="cellIs" dxfId="12614" priority="20419" operator="greaterThan">
      <formula>0.751</formula>
    </cfRule>
    <cfRule type="cellIs" dxfId="12613" priority="20420" operator="between">
      <formula>0.71251</formula>
      <formula>0.75</formula>
    </cfRule>
    <cfRule type="cellIs" dxfId="12612" priority="20421" stopIfTrue="1" operator="between">
      <formula>0</formula>
      <formula>0.375</formula>
    </cfRule>
  </conditionalFormatting>
  <conditionalFormatting sqref="AC133">
    <cfRule type="cellIs" dxfId="12611" priority="20412" operator="between">
      <formula>0.56251</formula>
      <formula>0.7125</formula>
    </cfRule>
    <cfRule type="cellIs" dxfId="12610" priority="20413" operator="between">
      <formula>0.3751</formula>
      <formula>0.5625</formula>
    </cfRule>
    <cfRule type="cellIs" dxfId="12609" priority="20414" operator="greaterThan">
      <formula>0.751</formula>
    </cfRule>
    <cfRule type="cellIs" dxfId="12608" priority="20415" operator="between">
      <formula>0.71251</formula>
      <formula>0.75</formula>
    </cfRule>
    <cfRule type="cellIs" dxfId="12607" priority="20416" stopIfTrue="1" operator="between">
      <formula>0</formula>
      <formula>0.375</formula>
    </cfRule>
  </conditionalFormatting>
  <conditionalFormatting sqref="AG136 AI136 S136 Z136">
    <cfRule type="cellIs" dxfId="12606" priority="18530" operator="between">
      <formula>0.76</formula>
      <formula>0.95</formula>
    </cfRule>
    <cfRule type="cellIs" dxfId="12605" priority="18531" operator="between">
      <formula>0.51</formula>
      <formula>0.75</formula>
    </cfRule>
    <cfRule type="cellIs" dxfId="12604" priority="18532" operator="greaterThan">
      <formula>1</formula>
    </cfRule>
    <cfRule type="cellIs" dxfId="12603" priority="18533" operator="between">
      <formula>0.95</formula>
      <formula>1</formula>
    </cfRule>
    <cfRule type="cellIs" dxfId="12602" priority="18534" stopIfTrue="1" operator="between">
      <formula>0</formula>
      <formula>0.5</formula>
    </cfRule>
  </conditionalFormatting>
  <conditionalFormatting sqref="R136">
    <cfRule type="cellIs" dxfId="12601" priority="18520" operator="between">
      <formula>0.76</formula>
      <formula>0.95</formula>
    </cfRule>
    <cfRule type="cellIs" dxfId="12600" priority="18521" operator="between">
      <formula>0.51</formula>
      <formula>0.75</formula>
    </cfRule>
    <cfRule type="cellIs" dxfId="12599" priority="18522" operator="greaterThan">
      <formula>1</formula>
    </cfRule>
    <cfRule type="cellIs" dxfId="12598" priority="18523" operator="between">
      <formula>0.95</formula>
      <formula>1</formula>
    </cfRule>
    <cfRule type="cellIs" dxfId="12597" priority="18524" stopIfTrue="1" operator="between">
      <formula>0</formula>
      <formula>0.5</formula>
    </cfRule>
  </conditionalFormatting>
  <conditionalFormatting sqref="Y136">
    <cfRule type="cellIs" dxfId="12596" priority="18515" operator="between">
      <formula>0.76</formula>
      <formula>0.95</formula>
    </cfRule>
    <cfRule type="cellIs" dxfId="12595" priority="18516" operator="between">
      <formula>0.51</formula>
      <formula>0.75</formula>
    </cfRule>
    <cfRule type="cellIs" dxfId="12594" priority="18517" operator="greaterThan">
      <formula>1</formula>
    </cfRule>
    <cfRule type="cellIs" dxfId="12593" priority="18518" operator="between">
      <formula>0.95</formula>
      <formula>1</formula>
    </cfRule>
    <cfRule type="cellIs" dxfId="12592" priority="18519" stopIfTrue="1" operator="between">
      <formula>0</formula>
      <formula>0.5</formula>
    </cfRule>
  </conditionalFormatting>
  <conditionalFormatting sqref="AF136">
    <cfRule type="cellIs" dxfId="12591" priority="18510" operator="between">
      <formula>0.76</formula>
      <formula>0.95</formula>
    </cfRule>
    <cfRule type="cellIs" dxfId="12590" priority="18511" operator="between">
      <formula>0.51</formula>
      <formula>0.75</formula>
    </cfRule>
    <cfRule type="cellIs" dxfId="12589" priority="18512" operator="greaterThan">
      <formula>1</formula>
    </cfRule>
    <cfRule type="cellIs" dxfId="12588" priority="18513" operator="between">
      <formula>0.95</formula>
      <formula>1</formula>
    </cfRule>
    <cfRule type="cellIs" dxfId="12587" priority="18514" stopIfTrue="1" operator="between">
      <formula>0</formula>
      <formula>0.5</formula>
    </cfRule>
  </conditionalFormatting>
  <conditionalFormatting sqref="AH136">
    <cfRule type="cellIs" dxfId="12586" priority="18505" operator="between">
      <formula>0.76</formula>
      <formula>0.95</formula>
    </cfRule>
    <cfRule type="cellIs" dxfId="12585" priority="18506" operator="between">
      <formula>0.51</formula>
      <formula>0.75</formula>
    </cfRule>
    <cfRule type="cellIs" dxfId="12584" priority="18507" operator="greaterThan">
      <formula>1</formula>
    </cfRule>
    <cfRule type="cellIs" dxfId="12583" priority="18508" operator="between">
      <formula>0.95</formula>
      <formula>1</formula>
    </cfRule>
    <cfRule type="cellIs" dxfId="12582" priority="18509" stopIfTrue="1" operator="between">
      <formula>0</formula>
      <formula>0.5</formula>
    </cfRule>
  </conditionalFormatting>
  <conditionalFormatting sqref="T136">
    <cfRule type="cellIs" dxfId="12581" priority="18490" operator="between">
      <formula>0.3751</formula>
      <formula>0.475</formula>
    </cfRule>
    <cfRule type="cellIs" dxfId="12580" priority="18491" operator="between">
      <formula>0.2551</formula>
      <formula>0.375</formula>
    </cfRule>
    <cfRule type="cellIs" dxfId="12579" priority="18492" operator="greaterThan">
      <formula>0.505</formula>
    </cfRule>
    <cfRule type="cellIs" dxfId="12578" priority="18493" operator="between">
      <formula>0.48</formula>
      <formula>0.5</formula>
    </cfRule>
    <cfRule type="cellIs" dxfId="12577" priority="18494" stopIfTrue="1" operator="between">
      <formula>0</formula>
      <formula>0.255</formula>
    </cfRule>
  </conditionalFormatting>
  <conditionalFormatting sqref="U136:V136">
    <cfRule type="cellIs" dxfId="12576" priority="18485" operator="between">
      <formula>0.376</formula>
      <formula>0.475</formula>
    </cfRule>
    <cfRule type="cellIs" dxfId="12575" priority="18486" operator="between">
      <formula>0.2551</formula>
      <formula>0.3751</formula>
    </cfRule>
    <cfRule type="cellIs" dxfId="12574" priority="18487" operator="greaterThan">
      <formula>0.505</formula>
    </cfRule>
    <cfRule type="cellIs" dxfId="12573" priority="18488" operator="between">
      <formula>0.48</formula>
      <formula>0.5</formula>
    </cfRule>
    <cfRule type="cellIs" dxfId="12572" priority="18489" stopIfTrue="1" operator="between">
      <formula>0</formula>
      <formula>0.255</formula>
    </cfRule>
  </conditionalFormatting>
  <conditionalFormatting sqref="AA136">
    <cfRule type="cellIs" dxfId="12571" priority="18480" operator="between">
      <formula>0.56251</formula>
      <formula>0.7125</formula>
    </cfRule>
    <cfRule type="cellIs" dxfId="12570" priority="18481" operator="between">
      <formula>0.3751</formula>
      <formula>0.5625</formula>
    </cfRule>
    <cfRule type="cellIs" dxfId="12569" priority="18482" operator="greaterThan">
      <formula>0.751</formula>
    </cfRule>
    <cfRule type="cellIs" dxfId="12568" priority="18483" operator="between">
      <formula>0.71251</formula>
      <formula>0.75</formula>
    </cfRule>
    <cfRule type="cellIs" dxfId="12567" priority="18484" stopIfTrue="1" operator="between">
      <formula>0</formula>
      <formula>0.375</formula>
    </cfRule>
  </conditionalFormatting>
  <conditionalFormatting sqref="AC136">
    <cfRule type="cellIs" dxfId="12566" priority="18475" operator="between">
      <formula>0.56251</formula>
      <formula>0.7125</formula>
    </cfRule>
    <cfRule type="cellIs" dxfId="12565" priority="18476" operator="between">
      <formula>0.3751</formula>
      <formula>0.5625</formula>
    </cfRule>
    <cfRule type="cellIs" dxfId="12564" priority="18477" operator="greaterThan">
      <formula>0.751</formula>
    </cfRule>
    <cfRule type="cellIs" dxfId="12563" priority="18478" operator="between">
      <formula>0.71251</formula>
      <formula>0.75</formula>
    </cfRule>
    <cfRule type="cellIs" dxfId="12562" priority="18479" stopIfTrue="1" operator="between">
      <formula>0</formula>
      <formula>0.375</formula>
    </cfRule>
  </conditionalFormatting>
  <conditionalFormatting sqref="AB136">
    <cfRule type="cellIs" dxfId="12561" priority="18470" operator="between">
      <formula>0.56251</formula>
      <formula>0.7125</formula>
    </cfRule>
    <cfRule type="cellIs" dxfId="12560" priority="18471" operator="between">
      <formula>0.3751</formula>
      <formula>0.5625</formula>
    </cfRule>
    <cfRule type="cellIs" dxfId="12559" priority="18472" operator="greaterThan">
      <formula>0.751</formula>
    </cfRule>
    <cfRule type="cellIs" dxfId="12558" priority="18473" operator="between">
      <formula>0.71251</formula>
      <formula>0.75</formula>
    </cfRule>
    <cfRule type="cellIs" dxfId="12557" priority="18474" stopIfTrue="1" operator="between">
      <formula>0</formula>
      <formula>0.375</formula>
    </cfRule>
  </conditionalFormatting>
  <conditionalFormatting sqref="AG16 AI16 Z16">
    <cfRule type="cellIs" dxfId="12556" priority="18453" operator="between">
      <formula>0.76</formula>
      <formula>0.95</formula>
    </cfRule>
    <cfRule type="cellIs" dxfId="12555" priority="18454" operator="between">
      <formula>0.51</formula>
      <formula>0.75</formula>
    </cfRule>
    <cfRule type="cellIs" dxfId="12554" priority="18455" operator="greaterThan">
      <formula>1</formula>
    </cfRule>
    <cfRule type="cellIs" dxfId="12553" priority="18456" operator="between">
      <formula>0.95</formula>
      <formula>1</formula>
    </cfRule>
    <cfRule type="cellIs" dxfId="12552" priority="18457" stopIfTrue="1" operator="between">
      <formula>0</formula>
      <formula>0.5</formula>
    </cfRule>
  </conditionalFormatting>
  <conditionalFormatting sqref="R16:S16">
    <cfRule type="cellIs" dxfId="12551" priority="18448" operator="between">
      <formula>0.76</formula>
      <formula>0.95</formula>
    </cfRule>
    <cfRule type="cellIs" dxfId="12550" priority="18449" operator="between">
      <formula>0.51</formula>
      <formula>0.75</formula>
    </cfRule>
    <cfRule type="cellIs" dxfId="12549" priority="18450" operator="greaterThan">
      <formula>1</formula>
    </cfRule>
    <cfRule type="cellIs" dxfId="12548" priority="18451" operator="between">
      <formula>0.95</formula>
      <formula>1</formula>
    </cfRule>
    <cfRule type="cellIs" dxfId="12547" priority="18452" stopIfTrue="1" operator="between">
      <formula>0</formula>
      <formula>0.5</formula>
    </cfRule>
  </conditionalFormatting>
  <conditionalFormatting sqref="Y16">
    <cfRule type="cellIs" dxfId="12546" priority="18443" operator="between">
      <formula>0.76</formula>
      <formula>0.95</formula>
    </cfRule>
    <cfRule type="cellIs" dxfId="12545" priority="18444" operator="between">
      <formula>0.51</formula>
      <formula>0.75</formula>
    </cfRule>
    <cfRule type="cellIs" dxfId="12544" priority="18445" operator="greaterThan">
      <formula>1</formula>
    </cfRule>
    <cfRule type="cellIs" dxfId="12543" priority="18446" operator="between">
      <formula>0.95</formula>
      <formula>1</formula>
    </cfRule>
    <cfRule type="cellIs" dxfId="12542" priority="18447" stopIfTrue="1" operator="between">
      <formula>0</formula>
      <formula>0.5</formula>
    </cfRule>
  </conditionalFormatting>
  <conditionalFormatting sqref="AF16">
    <cfRule type="cellIs" dxfId="12541" priority="18438" operator="between">
      <formula>0.76</formula>
      <formula>0.95</formula>
    </cfRule>
    <cfRule type="cellIs" dxfId="12540" priority="18439" operator="between">
      <formula>0.51</formula>
      <formula>0.75</formula>
    </cfRule>
    <cfRule type="cellIs" dxfId="12539" priority="18440" operator="greaterThan">
      <formula>1</formula>
    </cfRule>
    <cfRule type="cellIs" dxfId="12538" priority="18441" operator="between">
      <formula>0.95</formula>
      <formula>1</formula>
    </cfRule>
    <cfRule type="cellIs" dxfId="12537" priority="18442" stopIfTrue="1" operator="between">
      <formula>0</formula>
      <formula>0.5</formula>
    </cfRule>
  </conditionalFormatting>
  <conditionalFormatting sqref="T16">
    <cfRule type="cellIs" dxfId="12536" priority="18433" operator="between">
      <formula>0.3751</formula>
      <formula>0.475</formula>
    </cfRule>
    <cfRule type="cellIs" dxfId="12535" priority="18434" operator="between">
      <formula>0.2551</formula>
      <formula>0.375</formula>
    </cfRule>
    <cfRule type="cellIs" dxfId="12534" priority="18435" operator="greaterThan">
      <formula>0.505</formula>
    </cfRule>
    <cfRule type="cellIs" dxfId="12533" priority="18436" operator="between">
      <formula>0.48</formula>
      <formula>0.5</formula>
    </cfRule>
    <cfRule type="cellIs" dxfId="12532" priority="18437" stopIfTrue="1" operator="between">
      <formula>0</formula>
      <formula>0.255</formula>
    </cfRule>
  </conditionalFormatting>
  <conditionalFormatting sqref="AA16:AC16">
    <cfRule type="cellIs" dxfId="12531" priority="18428" operator="between">
      <formula>0.56251</formula>
      <formula>0.7125</formula>
    </cfRule>
    <cfRule type="cellIs" dxfId="12530" priority="18429" operator="between">
      <formula>0.3751</formula>
      <formula>0.5625</formula>
    </cfRule>
    <cfRule type="cellIs" dxfId="12529" priority="18430" operator="greaterThan">
      <formula>0.751</formula>
    </cfRule>
    <cfRule type="cellIs" dxfId="12528" priority="18431" operator="between">
      <formula>0.71251</formula>
      <formula>0.75</formula>
    </cfRule>
    <cfRule type="cellIs" dxfId="12527" priority="18432" stopIfTrue="1" operator="between">
      <formula>0</formula>
      <formula>0.375</formula>
    </cfRule>
  </conditionalFormatting>
  <conditionalFormatting sqref="AH16">
    <cfRule type="cellIs" dxfId="12526" priority="18423" operator="between">
      <formula>0.76</formula>
      <formula>0.95</formula>
    </cfRule>
    <cfRule type="cellIs" dxfId="12525" priority="18424" operator="between">
      <formula>0.51</formula>
      <formula>0.75</formula>
    </cfRule>
    <cfRule type="cellIs" dxfId="12524" priority="18425" operator="greaterThan">
      <formula>1</formula>
    </cfRule>
    <cfRule type="cellIs" dxfId="12523" priority="18426" operator="between">
      <formula>0.95</formula>
      <formula>1</formula>
    </cfRule>
    <cfRule type="cellIs" dxfId="12522" priority="18427" stopIfTrue="1" operator="between">
      <formula>0</formula>
      <formula>0.5</formula>
    </cfRule>
  </conditionalFormatting>
  <conditionalFormatting sqref="U16:V16">
    <cfRule type="cellIs" dxfId="12521" priority="18413" operator="between">
      <formula>0.376</formula>
      <formula>0.475</formula>
    </cfRule>
    <cfRule type="cellIs" dxfId="12520" priority="18414" operator="between">
      <formula>0.2551</formula>
      <formula>0.3751</formula>
    </cfRule>
    <cfRule type="cellIs" dxfId="12519" priority="18415" operator="greaterThan">
      <formula>0.505</formula>
    </cfRule>
    <cfRule type="cellIs" dxfId="12518" priority="18416" operator="between">
      <formula>0.48</formula>
      <formula>0.5</formula>
    </cfRule>
    <cfRule type="cellIs" dxfId="12517" priority="18417" stopIfTrue="1" operator="between">
      <formula>0</formula>
      <formula>0.255</formula>
    </cfRule>
  </conditionalFormatting>
  <conditionalFormatting sqref="AG17 AI17 Z17">
    <cfRule type="cellIs" dxfId="12516" priority="18381" operator="between">
      <formula>0.76</formula>
      <formula>0.95</formula>
    </cfRule>
    <cfRule type="cellIs" dxfId="12515" priority="18382" operator="between">
      <formula>0.51</formula>
      <formula>0.75</formula>
    </cfRule>
    <cfRule type="cellIs" dxfId="12514" priority="18383" operator="greaterThan">
      <formula>1</formula>
    </cfRule>
    <cfRule type="cellIs" dxfId="12513" priority="18384" operator="between">
      <formula>0.95</formula>
      <formula>1</formula>
    </cfRule>
    <cfRule type="cellIs" dxfId="12512" priority="18385" stopIfTrue="1" operator="between">
      <formula>0</formula>
      <formula>0.5</formula>
    </cfRule>
  </conditionalFormatting>
  <conditionalFormatting sqref="R17:S17">
    <cfRule type="cellIs" dxfId="12511" priority="18376" operator="between">
      <formula>0.76</formula>
      <formula>0.95</formula>
    </cfRule>
    <cfRule type="cellIs" dxfId="12510" priority="18377" operator="between">
      <formula>0.51</formula>
      <formula>0.75</formula>
    </cfRule>
    <cfRule type="cellIs" dxfId="12509" priority="18378" operator="greaterThan">
      <formula>1</formula>
    </cfRule>
    <cfRule type="cellIs" dxfId="12508" priority="18379" operator="between">
      <formula>0.95</formula>
      <formula>1</formula>
    </cfRule>
    <cfRule type="cellIs" dxfId="12507" priority="18380" stopIfTrue="1" operator="between">
      <formula>0</formula>
      <formula>0.5</formula>
    </cfRule>
  </conditionalFormatting>
  <conditionalFormatting sqref="Y17">
    <cfRule type="cellIs" dxfId="12506" priority="18371" operator="between">
      <formula>0.76</formula>
      <formula>0.95</formula>
    </cfRule>
    <cfRule type="cellIs" dxfId="12505" priority="18372" operator="between">
      <formula>0.51</formula>
      <formula>0.75</formula>
    </cfRule>
    <cfRule type="cellIs" dxfId="12504" priority="18373" operator="greaterThan">
      <formula>1</formula>
    </cfRule>
    <cfRule type="cellIs" dxfId="12503" priority="18374" operator="between">
      <formula>0.95</formula>
      <formula>1</formula>
    </cfRule>
    <cfRule type="cellIs" dxfId="12502" priority="18375" stopIfTrue="1" operator="between">
      <formula>0</formula>
      <formula>0.5</formula>
    </cfRule>
  </conditionalFormatting>
  <conditionalFormatting sqref="AF17">
    <cfRule type="cellIs" dxfId="12501" priority="18366" operator="between">
      <formula>0.76</formula>
      <formula>0.95</formula>
    </cfRule>
    <cfRule type="cellIs" dxfId="12500" priority="18367" operator="between">
      <formula>0.51</formula>
      <formula>0.75</formula>
    </cfRule>
    <cfRule type="cellIs" dxfId="12499" priority="18368" operator="greaterThan">
      <formula>1</formula>
    </cfRule>
    <cfRule type="cellIs" dxfId="12498" priority="18369" operator="between">
      <formula>0.95</formula>
      <formula>1</formula>
    </cfRule>
    <cfRule type="cellIs" dxfId="12497" priority="18370" stopIfTrue="1" operator="between">
      <formula>0</formula>
      <formula>0.5</formula>
    </cfRule>
  </conditionalFormatting>
  <conditionalFormatting sqref="T17">
    <cfRule type="cellIs" dxfId="12496" priority="18361" operator="between">
      <formula>0.3751</formula>
      <formula>0.475</formula>
    </cfRule>
    <cfRule type="cellIs" dxfId="12495" priority="18362" operator="between">
      <formula>0.2551</formula>
      <formula>0.375</formula>
    </cfRule>
    <cfRule type="cellIs" dxfId="12494" priority="18363" operator="greaterThan">
      <formula>0.505</formula>
    </cfRule>
    <cfRule type="cellIs" dxfId="12493" priority="18364" operator="between">
      <formula>0.48</formula>
      <formula>0.5</formula>
    </cfRule>
    <cfRule type="cellIs" dxfId="12492" priority="18365" stopIfTrue="1" operator="between">
      <formula>0</formula>
      <formula>0.255</formula>
    </cfRule>
  </conditionalFormatting>
  <conditionalFormatting sqref="AA17:AC17">
    <cfRule type="cellIs" dxfId="12491" priority="18356" operator="between">
      <formula>0.56251</formula>
      <formula>0.7125</formula>
    </cfRule>
    <cfRule type="cellIs" dxfId="12490" priority="18357" operator="between">
      <formula>0.3751</formula>
      <formula>0.5625</formula>
    </cfRule>
    <cfRule type="cellIs" dxfId="12489" priority="18358" operator="greaterThan">
      <formula>0.751</formula>
    </cfRule>
    <cfRule type="cellIs" dxfId="12488" priority="18359" operator="between">
      <formula>0.71251</formula>
      <formula>0.75</formula>
    </cfRule>
    <cfRule type="cellIs" dxfId="12487" priority="18360" stopIfTrue="1" operator="between">
      <formula>0</formula>
      <formula>0.375</formula>
    </cfRule>
  </conditionalFormatting>
  <conditionalFormatting sqref="AH17">
    <cfRule type="cellIs" dxfId="12486" priority="18351" operator="between">
      <formula>0.76</formula>
      <formula>0.95</formula>
    </cfRule>
    <cfRule type="cellIs" dxfId="12485" priority="18352" operator="between">
      <formula>0.51</formula>
      <formula>0.75</formula>
    </cfRule>
    <cfRule type="cellIs" dxfId="12484" priority="18353" operator="greaterThan">
      <formula>1</formula>
    </cfRule>
    <cfRule type="cellIs" dxfId="12483" priority="18354" operator="between">
      <formula>0.95</formula>
      <formula>1</formula>
    </cfRule>
    <cfRule type="cellIs" dxfId="12482" priority="18355" stopIfTrue="1" operator="between">
      <formula>0</formula>
      <formula>0.5</formula>
    </cfRule>
  </conditionalFormatting>
  <conditionalFormatting sqref="U17:V17">
    <cfRule type="cellIs" dxfId="12481" priority="18341" operator="between">
      <formula>0.376</formula>
      <formula>0.475</formula>
    </cfRule>
    <cfRule type="cellIs" dxfId="12480" priority="18342" operator="between">
      <formula>0.2551</formula>
      <formula>0.3751</formula>
    </cfRule>
    <cfRule type="cellIs" dxfId="12479" priority="18343" operator="greaterThan">
      <formula>0.505</formula>
    </cfRule>
    <cfRule type="cellIs" dxfId="12478" priority="18344" operator="between">
      <formula>0.48</formula>
      <formula>0.5</formula>
    </cfRule>
    <cfRule type="cellIs" dxfId="12477" priority="18345" stopIfTrue="1" operator="between">
      <formula>0</formula>
      <formula>0.255</formula>
    </cfRule>
  </conditionalFormatting>
  <conditionalFormatting sqref="S210">
    <cfRule type="cellIs" dxfId="12476" priority="18299" operator="between">
      <formula>0.76</formula>
      <formula>0.95</formula>
    </cfRule>
    <cfRule type="cellIs" dxfId="12475" priority="18300" operator="between">
      <formula>0.51</formula>
      <formula>0.75</formula>
    </cfRule>
    <cfRule type="cellIs" dxfId="12474" priority="18301" operator="greaterThan">
      <formula>1</formula>
    </cfRule>
    <cfRule type="cellIs" dxfId="12473" priority="18302" operator="between">
      <formula>0.95</formula>
      <formula>1</formula>
    </cfRule>
    <cfRule type="cellIs" dxfId="12472" priority="18303" stopIfTrue="1" operator="between">
      <formula>0</formula>
      <formula>0.5</formula>
    </cfRule>
  </conditionalFormatting>
  <conditionalFormatting sqref="R210">
    <cfRule type="cellIs" dxfId="12471" priority="18294" operator="between">
      <formula>0.76</formula>
      <formula>0.95</formula>
    </cfRule>
    <cfRule type="cellIs" dxfId="12470" priority="18295" operator="between">
      <formula>0.51</formula>
      <formula>0.75</formula>
    </cfRule>
    <cfRule type="cellIs" dxfId="12469" priority="18296" operator="greaterThan">
      <formula>1</formula>
    </cfRule>
    <cfRule type="cellIs" dxfId="12468" priority="18297" operator="between">
      <formula>0.95</formula>
      <formula>1</formula>
    </cfRule>
    <cfRule type="cellIs" dxfId="12467" priority="18298" stopIfTrue="1" operator="between">
      <formula>0</formula>
      <formula>0.5</formula>
    </cfRule>
  </conditionalFormatting>
  <conditionalFormatting sqref="Y210">
    <cfRule type="cellIs" dxfId="12466" priority="18289" operator="between">
      <formula>0.76</formula>
      <formula>0.95</formula>
    </cfRule>
    <cfRule type="cellIs" dxfId="12465" priority="18290" operator="between">
      <formula>0.51</formula>
      <formula>0.75</formula>
    </cfRule>
    <cfRule type="cellIs" dxfId="12464" priority="18291" operator="greaterThan">
      <formula>1</formula>
    </cfRule>
    <cfRule type="cellIs" dxfId="12463" priority="18292" operator="between">
      <formula>0.95</formula>
      <formula>1</formula>
    </cfRule>
    <cfRule type="cellIs" dxfId="12462" priority="18293" stopIfTrue="1" operator="between">
      <formula>0</formula>
      <formula>0.5</formula>
    </cfRule>
  </conditionalFormatting>
  <conditionalFormatting sqref="AF210">
    <cfRule type="cellIs" dxfId="12461" priority="18284" operator="between">
      <formula>0.76</formula>
      <formula>0.95</formula>
    </cfRule>
    <cfRule type="cellIs" dxfId="12460" priority="18285" operator="between">
      <formula>0.51</formula>
      <formula>0.75</formula>
    </cfRule>
    <cfRule type="cellIs" dxfId="12459" priority="18286" operator="greaterThan">
      <formula>1</formula>
    </cfRule>
    <cfRule type="cellIs" dxfId="12458" priority="18287" operator="between">
      <formula>0.95</formula>
      <formula>1</formula>
    </cfRule>
    <cfRule type="cellIs" dxfId="12457" priority="18288" stopIfTrue="1" operator="between">
      <formula>0</formula>
      <formula>0.5</formula>
    </cfRule>
  </conditionalFormatting>
  <conditionalFormatting sqref="AH210">
    <cfRule type="cellIs" dxfId="12456" priority="18279" operator="between">
      <formula>0.76</formula>
      <formula>0.95</formula>
    </cfRule>
    <cfRule type="cellIs" dxfId="12455" priority="18280" operator="between">
      <formula>0.51</formula>
      <formula>0.75</formula>
    </cfRule>
    <cfRule type="cellIs" dxfId="12454" priority="18281" operator="greaterThan">
      <formula>1</formula>
    </cfRule>
    <cfRule type="cellIs" dxfId="12453" priority="18282" operator="between">
      <formula>0.95</formula>
      <formula>1</formula>
    </cfRule>
    <cfRule type="cellIs" dxfId="12452" priority="18283" stopIfTrue="1" operator="between">
      <formula>0</formula>
      <formula>0.5</formula>
    </cfRule>
  </conditionalFormatting>
  <conditionalFormatting sqref="T210">
    <cfRule type="cellIs" dxfId="12451" priority="18264" operator="between">
      <formula>0.3751</formula>
      <formula>0.475</formula>
    </cfRule>
    <cfRule type="cellIs" dxfId="12450" priority="18265" operator="between">
      <formula>0.2551</formula>
      <formula>0.375</formula>
    </cfRule>
    <cfRule type="cellIs" dxfId="12449" priority="18266" operator="greaterThan">
      <formula>0.505</formula>
    </cfRule>
    <cfRule type="cellIs" dxfId="12448" priority="18267" operator="between">
      <formula>0.48</formula>
      <formula>0.5</formula>
    </cfRule>
    <cfRule type="cellIs" dxfId="12447" priority="18268" stopIfTrue="1" operator="between">
      <formula>0</formula>
      <formula>0.255</formula>
    </cfRule>
  </conditionalFormatting>
  <conditionalFormatting sqref="U210:V210">
    <cfRule type="cellIs" dxfId="12446" priority="18259" operator="between">
      <formula>0.376</formula>
      <formula>0.475</formula>
    </cfRule>
    <cfRule type="cellIs" dxfId="12445" priority="18260" operator="between">
      <formula>0.2551</formula>
      <formula>0.3751</formula>
    </cfRule>
    <cfRule type="cellIs" dxfId="12444" priority="18261" operator="greaterThan">
      <formula>0.505</formula>
    </cfRule>
    <cfRule type="cellIs" dxfId="12443" priority="18262" operator="between">
      <formula>0.48</formula>
      <formula>0.5</formula>
    </cfRule>
    <cfRule type="cellIs" dxfId="12442" priority="18263" stopIfTrue="1" operator="between">
      <formula>0</formula>
      <formula>0.255</formula>
    </cfRule>
  </conditionalFormatting>
  <conditionalFormatting sqref="Z210">
    <cfRule type="cellIs" dxfId="12441" priority="18254" operator="between">
      <formula>0.76</formula>
      <formula>0.95</formula>
    </cfRule>
    <cfRule type="cellIs" dxfId="12440" priority="18255" operator="between">
      <formula>0.51</formula>
      <formula>0.75</formula>
    </cfRule>
    <cfRule type="cellIs" dxfId="12439" priority="18256" operator="greaterThan">
      <formula>1</formula>
    </cfRule>
    <cfRule type="cellIs" dxfId="12438" priority="18257" operator="between">
      <formula>0.95</formula>
      <formula>1</formula>
    </cfRule>
    <cfRule type="cellIs" dxfId="12437" priority="18258" stopIfTrue="1" operator="between">
      <formula>0</formula>
      <formula>0.5</formula>
    </cfRule>
  </conditionalFormatting>
  <conditionalFormatting sqref="AG210">
    <cfRule type="cellIs" dxfId="12436" priority="18249" operator="between">
      <formula>0.76</formula>
      <formula>0.95</formula>
    </cfRule>
    <cfRule type="cellIs" dxfId="12435" priority="18250" operator="between">
      <formula>0.51</formula>
      <formula>0.75</formula>
    </cfRule>
    <cfRule type="cellIs" dxfId="12434" priority="18251" operator="greaterThan">
      <formula>1</formula>
    </cfRule>
    <cfRule type="cellIs" dxfId="12433" priority="18252" operator="between">
      <formula>0.95</formula>
      <formula>1</formula>
    </cfRule>
    <cfRule type="cellIs" dxfId="12432" priority="18253" stopIfTrue="1" operator="between">
      <formula>0</formula>
      <formula>0.5</formula>
    </cfRule>
  </conditionalFormatting>
  <conditionalFormatting sqref="AI210">
    <cfRule type="cellIs" dxfId="12431" priority="18244" operator="between">
      <formula>0.76</formula>
      <formula>0.95</formula>
    </cfRule>
    <cfRule type="cellIs" dxfId="12430" priority="18245" operator="between">
      <formula>0.51</formula>
      <formula>0.75</formula>
    </cfRule>
    <cfRule type="cellIs" dxfId="12429" priority="18246" operator="greaterThan">
      <formula>1</formula>
    </cfRule>
    <cfRule type="cellIs" dxfId="12428" priority="18247" operator="between">
      <formula>0.95</formula>
      <formula>1</formula>
    </cfRule>
    <cfRule type="cellIs" dxfId="12427" priority="18248" stopIfTrue="1" operator="between">
      <formula>0</formula>
      <formula>0.5</formula>
    </cfRule>
  </conditionalFormatting>
  <conditionalFormatting sqref="AA210">
    <cfRule type="cellIs" dxfId="12426" priority="18239" operator="between">
      <formula>0.56251</formula>
      <formula>0.7125</formula>
    </cfRule>
    <cfRule type="cellIs" dxfId="12425" priority="18240" operator="between">
      <formula>0.3751</formula>
      <formula>0.5625</formula>
    </cfRule>
    <cfRule type="cellIs" dxfId="12424" priority="18241" operator="greaterThan">
      <formula>0.751</formula>
    </cfRule>
    <cfRule type="cellIs" dxfId="12423" priority="18242" operator="between">
      <formula>0.71251</formula>
      <formula>0.75</formula>
    </cfRule>
    <cfRule type="cellIs" dxfId="12422" priority="18243" stopIfTrue="1" operator="between">
      <formula>0</formula>
      <formula>0.375</formula>
    </cfRule>
  </conditionalFormatting>
  <conditionalFormatting sqref="AC210">
    <cfRule type="cellIs" dxfId="12421" priority="18234" operator="between">
      <formula>0.56251</formula>
      <formula>0.7125</formula>
    </cfRule>
    <cfRule type="cellIs" dxfId="12420" priority="18235" operator="between">
      <formula>0.3751</formula>
      <formula>0.5625</formula>
    </cfRule>
    <cfRule type="cellIs" dxfId="12419" priority="18236" operator="greaterThan">
      <formula>0.751</formula>
    </cfRule>
    <cfRule type="cellIs" dxfId="12418" priority="18237" operator="between">
      <formula>0.71251</formula>
      <formula>0.75</formula>
    </cfRule>
    <cfRule type="cellIs" dxfId="12417" priority="18238" stopIfTrue="1" operator="between">
      <formula>0</formula>
      <formula>0.375</formula>
    </cfRule>
  </conditionalFormatting>
  <conditionalFormatting sqref="AB210">
    <cfRule type="cellIs" dxfId="12416" priority="18229" operator="between">
      <formula>0.56251</formula>
      <formula>0.7125</formula>
    </cfRule>
    <cfRule type="cellIs" dxfId="12415" priority="18230" operator="between">
      <formula>0.3751</formula>
      <formula>0.5625</formula>
    </cfRule>
    <cfRule type="cellIs" dxfId="12414" priority="18231" operator="greaterThan">
      <formula>0.751</formula>
    </cfRule>
    <cfRule type="cellIs" dxfId="12413" priority="18232" operator="between">
      <formula>0.71251</formula>
      <formula>0.75</formula>
    </cfRule>
    <cfRule type="cellIs" dxfId="12412" priority="18233" stopIfTrue="1" operator="between">
      <formula>0</formula>
      <formula>0.375</formula>
    </cfRule>
  </conditionalFormatting>
  <conditionalFormatting sqref="AG138 AI138 S138 Z138">
    <cfRule type="cellIs" dxfId="12411" priority="18212" operator="between">
      <formula>0.76</formula>
      <formula>0.95</formula>
    </cfRule>
    <cfRule type="cellIs" dxfId="12410" priority="18213" operator="between">
      <formula>0.51</formula>
      <formula>0.75</formula>
    </cfRule>
    <cfRule type="cellIs" dxfId="12409" priority="18214" operator="greaterThan">
      <formula>1</formula>
    </cfRule>
    <cfRule type="cellIs" dxfId="12408" priority="18215" operator="between">
      <formula>0.95</formula>
      <formula>1</formula>
    </cfRule>
    <cfRule type="cellIs" dxfId="12407" priority="18216" stopIfTrue="1" operator="between">
      <formula>0</formula>
      <formula>0.5</formula>
    </cfRule>
  </conditionalFormatting>
  <conditionalFormatting sqref="R138">
    <cfRule type="cellIs" dxfId="12406" priority="18202" operator="between">
      <formula>0.76</formula>
      <formula>0.95</formula>
    </cfRule>
    <cfRule type="cellIs" dxfId="12405" priority="18203" operator="between">
      <formula>0.51</formula>
      <formula>0.75</formula>
    </cfRule>
    <cfRule type="cellIs" dxfId="12404" priority="18204" operator="greaterThan">
      <formula>1</formula>
    </cfRule>
    <cfRule type="cellIs" dxfId="12403" priority="18205" operator="between">
      <formula>0.95</formula>
      <formula>1</formula>
    </cfRule>
    <cfRule type="cellIs" dxfId="12402" priority="18206" stopIfTrue="1" operator="between">
      <formula>0</formula>
      <formula>0.5</formula>
    </cfRule>
  </conditionalFormatting>
  <conditionalFormatting sqref="Y138">
    <cfRule type="cellIs" dxfId="12401" priority="18197" operator="between">
      <formula>0.76</formula>
      <formula>0.95</formula>
    </cfRule>
    <cfRule type="cellIs" dxfId="12400" priority="18198" operator="between">
      <formula>0.51</formula>
      <formula>0.75</formula>
    </cfRule>
    <cfRule type="cellIs" dxfId="12399" priority="18199" operator="greaterThan">
      <formula>1</formula>
    </cfRule>
    <cfRule type="cellIs" dxfId="12398" priority="18200" operator="between">
      <formula>0.95</formula>
      <formula>1</formula>
    </cfRule>
    <cfRule type="cellIs" dxfId="12397" priority="18201" stopIfTrue="1" operator="between">
      <formula>0</formula>
      <formula>0.5</formula>
    </cfRule>
  </conditionalFormatting>
  <conditionalFormatting sqref="AF138">
    <cfRule type="cellIs" dxfId="12396" priority="18192" operator="between">
      <formula>0.76</formula>
      <formula>0.95</formula>
    </cfRule>
    <cfRule type="cellIs" dxfId="12395" priority="18193" operator="between">
      <formula>0.51</formula>
      <formula>0.75</formula>
    </cfRule>
    <cfRule type="cellIs" dxfId="12394" priority="18194" operator="greaterThan">
      <formula>1</formula>
    </cfRule>
    <cfRule type="cellIs" dxfId="12393" priority="18195" operator="between">
      <formula>0.95</formula>
      <formula>1</formula>
    </cfRule>
    <cfRule type="cellIs" dxfId="12392" priority="18196" stopIfTrue="1" operator="between">
      <formula>0</formula>
      <formula>0.5</formula>
    </cfRule>
  </conditionalFormatting>
  <conditionalFormatting sqref="AH138">
    <cfRule type="cellIs" dxfId="12391" priority="18187" operator="between">
      <formula>0.76</formula>
      <formula>0.95</formula>
    </cfRule>
    <cfRule type="cellIs" dxfId="12390" priority="18188" operator="between">
      <formula>0.51</formula>
      <formula>0.75</formula>
    </cfRule>
    <cfRule type="cellIs" dxfId="12389" priority="18189" operator="greaterThan">
      <formula>1</formula>
    </cfRule>
    <cfRule type="cellIs" dxfId="12388" priority="18190" operator="between">
      <formula>0.95</formula>
      <formula>1</formula>
    </cfRule>
    <cfRule type="cellIs" dxfId="12387" priority="18191" stopIfTrue="1" operator="between">
      <formula>0</formula>
      <formula>0.5</formula>
    </cfRule>
  </conditionalFormatting>
  <conditionalFormatting sqref="T138">
    <cfRule type="cellIs" dxfId="12386" priority="18172" operator="between">
      <formula>0.3751</formula>
      <formula>0.475</formula>
    </cfRule>
    <cfRule type="cellIs" dxfId="12385" priority="18173" operator="between">
      <formula>0.2551</formula>
      <formula>0.375</formula>
    </cfRule>
    <cfRule type="cellIs" dxfId="12384" priority="18174" operator="greaterThan">
      <formula>0.505</formula>
    </cfRule>
    <cfRule type="cellIs" dxfId="12383" priority="18175" operator="between">
      <formula>0.48</formula>
      <formula>0.5</formula>
    </cfRule>
    <cfRule type="cellIs" dxfId="12382" priority="18176" stopIfTrue="1" operator="between">
      <formula>0</formula>
      <formula>0.255</formula>
    </cfRule>
  </conditionalFormatting>
  <conditionalFormatting sqref="U138:V138">
    <cfRule type="cellIs" dxfId="12381" priority="18167" operator="between">
      <formula>0.376</formula>
      <formula>0.475</formula>
    </cfRule>
    <cfRule type="cellIs" dxfId="12380" priority="18168" operator="between">
      <formula>0.2551</formula>
      <formula>0.3751</formula>
    </cfRule>
    <cfRule type="cellIs" dxfId="12379" priority="18169" operator="greaterThan">
      <formula>0.505</formula>
    </cfRule>
    <cfRule type="cellIs" dxfId="12378" priority="18170" operator="between">
      <formula>0.48</formula>
      <formula>0.5</formula>
    </cfRule>
    <cfRule type="cellIs" dxfId="12377" priority="18171" stopIfTrue="1" operator="between">
      <formula>0</formula>
      <formula>0.255</formula>
    </cfRule>
  </conditionalFormatting>
  <conditionalFormatting sqref="AA138">
    <cfRule type="cellIs" dxfId="12376" priority="18162" operator="between">
      <formula>0.56251</formula>
      <formula>0.7125</formula>
    </cfRule>
    <cfRule type="cellIs" dxfId="12375" priority="18163" operator="between">
      <formula>0.3751</formula>
      <formula>0.5625</formula>
    </cfRule>
    <cfRule type="cellIs" dxfId="12374" priority="18164" operator="greaterThan">
      <formula>0.751</formula>
    </cfRule>
    <cfRule type="cellIs" dxfId="12373" priority="18165" operator="between">
      <formula>0.71251</formula>
      <formula>0.75</formula>
    </cfRule>
    <cfRule type="cellIs" dxfId="12372" priority="18166" stopIfTrue="1" operator="between">
      <formula>0</formula>
      <formula>0.375</formula>
    </cfRule>
  </conditionalFormatting>
  <conditionalFormatting sqref="AC138">
    <cfRule type="cellIs" dxfId="12371" priority="18157" operator="between">
      <formula>0.56251</formula>
      <formula>0.7125</formula>
    </cfRule>
    <cfRule type="cellIs" dxfId="12370" priority="18158" operator="between">
      <formula>0.3751</formula>
      <formula>0.5625</formula>
    </cfRule>
    <cfRule type="cellIs" dxfId="12369" priority="18159" operator="greaterThan">
      <formula>0.751</formula>
    </cfRule>
    <cfRule type="cellIs" dxfId="12368" priority="18160" operator="between">
      <formula>0.71251</formula>
      <formula>0.75</formula>
    </cfRule>
    <cfRule type="cellIs" dxfId="12367" priority="18161" stopIfTrue="1" operator="between">
      <formula>0</formula>
      <formula>0.375</formula>
    </cfRule>
  </conditionalFormatting>
  <conditionalFormatting sqref="AB138">
    <cfRule type="cellIs" dxfId="12366" priority="18152" operator="between">
      <formula>0.56251</formula>
      <formula>0.7125</formula>
    </cfRule>
    <cfRule type="cellIs" dxfId="12365" priority="18153" operator="between">
      <formula>0.3751</formula>
      <formula>0.5625</formula>
    </cfRule>
    <cfRule type="cellIs" dxfId="12364" priority="18154" operator="greaterThan">
      <formula>0.751</formula>
    </cfRule>
    <cfRule type="cellIs" dxfId="12363" priority="18155" operator="between">
      <formula>0.71251</formula>
      <formula>0.75</formula>
    </cfRule>
    <cfRule type="cellIs" dxfId="12362" priority="18156" stopIfTrue="1" operator="between">
      <formula>0</formula>
      <formula>0.375</formula>
    </cfRule>
  </conditionalFormatting>
  <conditionalFormatting sqref="S139:S142 Z139:Z142 AG139:AG142 AI139:AI142">
    <cfRule type="cellIs" dxfId="12361" priority="18135" operator="between">
      <formula>0.76</formula>
      <formula>0.95</formula>
    </cfRule>
    <cfRule type="cellIs" dxfId="12360" priority="18136" operator="between">
      <formula>0.51</formula>
      <formula>0.75</formula>
    </cfRule>
    <cfRule type="cellIs" dxfId="12359" priority="18137" operator="greaterThan">
      <formula>1</formula>
    </cfRule>
    <cfRule type="cellIs" dxfId="12358" priority="18138" operator="between">
      <formula>0.95</formula>
      <formula>1</formula>
    </cfRule>
    <cfRule type="cellIs" dxfId="12357" priority="18139" stopIfTrue="1" operator="between">
      <formula>0</formula>
      <formula>0.5</formula>
    </cfRule>
  </conditionalFormatting>
  <conditionalFormatting sqref="R139:R142">
    <cfRule type="cellIs" dxfId="12356" priority="18125" operator="between">
      <formula>0.76</formula>
      <formula>0.95</formula>
    </cfRule>
    <cfRule type="cellIs" dxfId="12355" priority="18126" operator="between">
      <formula>0.51</formula>
      <formula>0.75</formula>
    </cfRule>
    <cfRule type="cellIs" dxfId="12354" priority="18127" operator="greaterThan">
      <formula>1</formula>
    </cfRule>
    <cfRule type="cellIs" dxfId="12353" priority="18128" operator="between">
      <formula>0.95</formula>
      <formula>1</formula>
    </cfRule>
    <cfRule type="cellIs" dxfId="12352" priority="18129" stopIfTrue="1" operator="between">
      <formula>0</formula>
      <formula>0.5</formula>
    </cfRule>
  </conditionalFormatting>
  <conditionalFormatting sqref="Y139:Y142">
    <cfRule type="cellIs" dxfId="12351" priority="18120" operator="between">
      <formula>0.76</formula>
      <formula>0.95</formula>
    </cfRule>
    <cfRule type="cellIs" dxfId="12350" priority="18121" operator="between">
      <formula>0.51</formula>
      <formula>0.75</formula>
    </cfRule>
    <cfRule type="cellIs" dxfId="12349" priority="18122" operator="greaterThan">
      <formula>1</formula>
    </cfRule>
    <cfRule type="cellIs" dxfId="12348" priority="18123" operator="between">
      <formula>0.95</formula>
      <formula>1</formula>
    </cfRule>
    <cfRule type="cellIs" dxfId="12347" priority="18124" stopIfTrue="1" operator="between">
      <formula>0</formula>
      <formula>0.5</formula>
    </cfRule>
  </conditionalFormatting>
  <conditionalFormatting sqref="AF139:AF142">
    <cfRule type="cellIs" dxfId="12346" priority="18115" operator="between">
      <formula>0.76</formula>
      <formula>0.95</formula>
    </cfRule>
    <cfRule type="cellIs" dxfId="12345" priority="18116" operator="between">
      <formula>0.51</formula>
      <formula>0.75</formula>
    </cfRule>
    <cfRule type="cellIs" dxfId="12344" priority="18117" operator="greaterThan">
      <formula>1</formula>
    </cfRule>
    <cfRule type="cellIs" dxfId="12343" priority="18118" operator="between">
      <formula>0.95</formula>
      <formula>1</formula>
    </cfRule>
    <cfRule type="cellIs" dxfId="12342" priority="18119" stopIfTrue="1" operator="between">
      <formula>0</formula>
      <formula>0.5</formula>
    </cfRule>
  </conditionalFormatting>
  <conditionalFormatting sqref="AH139:AH142">
    <cfRule type="cellIs" dxfId="12341" priority="18110" operator="between">
      <formula>0.76</formula>
      <formula>0.95</formula>
    </cfRule>
    <cfRule type="cellIs" dxfId="12340" priority="18111" operator="between">
      <formula>0.51</formula>
      <formula>0.75</formula>
    </cfRule>
    <cfRule type="cellIs" dxfId="12339" priority="18112" operator="greaterThan">
      <formula>1</formula>
    </cfRule>
    <cfRule type="cellIs" dxfId="12338" priority="18113" operator="between">
      <formula>0.95</formula>
      <formula>1</formula>
    </cfRule>
    <cfRule type="cellIs" dxfId="12337" priority="18114" stopIfTrue="1" operator="between">
      <formula>0</formula>
      <formula>0.5</formula>
    </cfRule>
  </conditionalFormatting>
  <conditionalFormatting sqref="T139:T142">
    <cfRule type="cellIs" dxfId="12336" priority="18095" operator="between">
      <formula>0.3751</formula>
      <formula>0.475</formula>
    </cfRule>
    <cfRule type="cellIs" dxfId="12335" priority="18096" operator="between">
      <formula>0.2551</formula>
      <formula>0.375</formula>
    </cfRule>
    <cfRule type="cellIs" dxfId="12334" priority="18097" operator="greaterThan">
      <formula>0.505</formula>
    </cfRule>
    <cfRule type="cellIs" dxfId="12333" priority="18098" operator="between">
      <formula>0.48</formula>
      <formula>0.5</formula>
    </cfRule>
    <cfRule type="cellIs" dxfId="12332" priority="18099" stopIfTrue="1" operator="between">
      <formula>0</formula>
      <formula>0.255</formula>
    </cfRule>
  </conditionalFormatting>
  <conditionalFormatting sqref="U139:V142">
    <cfRule type="cellIs" dxfId="12331" priority="18090" operator="between">
      <formula>0.376</formula>
      <formula>0.475</formula>
    </cfRule>
    <cfRule type="cellIs" dxfId="12330" priority="18091" operator="between">
      <formula>0.2551</formula>
      <formula>0.3751</formula>
    </cfRule>
    <cfRule type="cellIs" dxfId="12329" priority="18092" operator="greaterThan">
      <formula>0.505</formula>
    </cfRule>
    <cfRule type="cellIs" dxfId="12328" priority="18093" operator="between">
      <formula>0.48</formula>
      <formula>0.5</formula>
    </cfRule>
    <cfRule type="cellIs" dxfId="12327" priority="18094" stopIfTrue="1" operator="between">
      <formula>0</formula>
      <formula>0.255</formula>
    </cfRule>
  </conditionalFormatting>
  <conditionalFormatting sqref="AA139:AA142">
    <cfRule type="cellIs" dxfId="12326" priority="18085" operator="between">
      <formula>0.56251</formula>
      <formula>0.7125</formula>
    </cfRule>
    <cfRule type="cellIs" dxfId="12325" priority="18086" operator="between">
      <formula>0.3751</formula>
      <formula>0.5625</formula>
    </cfRule>
    <cfRule type="cellIs" dxfId="12324" priority="18087" operator="greaterThan">
      <formula>0.751</formula>
    </cfRule>
    <cfRule type="cellIs" dxfId="12323" priority="18088" operator="between">
      <formula>0.71251</formula>
      <formula>0.75</formula>
    </cfRule>
    <cfRule type="cellIs" dxfId="12322" priority="18089" stopIfTrue="1" operator="between">
      <formula>0</formula>
      <formula>0.375</formula>
    </cfRule>
  </conditionalFormatting>
  <conditionalFormatting sqref="AC139:AC142">
    <cfRule type="cellIs" dxfId="12321" priority="18080" operator="between">
      <formula>0.56251</formula>
      <formula>0.7125</formula>
    </cfRule>
    <cfRule type="cellIs" dxfId="12320" priority="18081" operator="between">
      <formula>0.3751</formula>
      <formula>0.5625</formula>
    </cfRule>
    <cfRule type="cellIs" dxfId="12319" priority="18082" operator="greaterThan">
      <formula>0.751</formula>
    </cfRule>
    <cfRule type="cellIs" dxfId="12318" priority="18083" operator="between">
      <formula>0.71251</formula>
      <formula>0.75</formula>
    </cfRule>
    <cfRule type="cellIs" dxfId="12317" priority="18084" stopIfTrue="1" operator="between">
      <formula>0</formula>
      <formula>0.375</formula>
    </cfRule>
  </conditionalFormatting>
  <conditionalFormatting sqref="AB139:AB142">
    <cfRule type="cellIs" dxfId="12316" priority="18075" operator="between">
      <formula>0.56251</formula>
      <formula>0.7125</formula>
    </cfRule>
    <cfRule type="cellIs" dxfId="12315" priority="18076" operator="between">
      <formula>0.3751</formula>
      <formula>0.5625</formula>
    </cfRule>
    <cfRule type="cellIs" dxfId="12314" priority="18077" operator="greaterThan">
      <formula>0.751</formula>
    </cfRule>
    <cfRule type="cellIs" dxfId="12313" priority="18078" operator="between">
      <formula>0.71251</formula>
      <formula>0.75</formula>
    </cfRule>
    <cfRule type="cellIs" dxfId="12312" priority="18079" stopIfTrue="1" operator="between">
      <formula>0</formula>
      <formula>0.375</formula>
    </cfRule>
  </conditionalFormatting>
  <conditionalFormatting sqref="AG18 AI18 Z18">
    <cfRule type="cellIs" dxfId="12311" priority="18058" operator="between">
      <formula>0.76</formula>
      <formula>0.95</formula>
    </cfRule>
    <cfRule type="cellIs" dxfId="12310" priority="18059" operator="between">
      <formula>0.51</formula>
      <formula>0.75</formula>
    </cfRule>
    <cfRule type="cellIs" dxfId="12309" priority="18060" operator="greaterThan">
      <formula>1</formula>
    </cfRule>
    <cfRule type="cellIs" dxfId="12308" priority="18061" operator="between">
      <formula>0.95</formula>
      <formula>1</formula>
    </cfRule>
    <cfRule type="cellIs" dxfId="12307" priority="18062" stopIfTrue="1" operator="between">
      <formula>0</formula>
      <formula>0.5</formula>
    </cfRule>
  </conditionalFormatting>
  <conditionalFormatting sqref="R18:S18">
    <cfRule type="cellIs" dxfId="12306" priority="18053" operator="between">
      <formula>0.76</formula>
      <formula>0.95</formula>
    </cfRule>
    <cfRule type="cellIs" dxfId="12305" priority="18054" operator="between">
      <formula>0.51</formula>
      <formula>0.75</formula>
    </cfRule>
    <cfRule type="cellIs" dxfId="12304" priority="18055" operator="greaterThan">
      <formula>1</formula>
    </cfRule>
    <cfRule type="cellIs" dxfId="12303" priority="18056" operator="between">
      <formula>0.95</formula>
      <formula>1</formula>
    </cfRule>
    <cfRule type="cellIs" dxfId="12302" priority="18057" stopIfTrue="1" operator="between">
      <formula>0</formula>
      <formula>0.5</formula>
    </cfRule>
  </conditionalFormatting>
  <conditionalFormatting sqref="Y18">
    <cfRule type="cellIs" dxfId="12301" priority="18048" operator="between">
      <formula>0.76</formula>
      <formula>0.95</formula>
    </cfRule>
    <cfRule type="cellIs" dxfId="12300" priority="18049" operator="between">
      <formula>0.51</formula>
      <formula>0.75</formula>
    </cfRule>
    <cfRule type="cellIs" dxfId="12299" priority="18050" operator="greaterThan">
      <formula>1</formula>
    </cfRule>
    <cfRule type="cellIs" dxfId="12298" priority="18051" operator="between">
      <formula>0.95</formula>
      <formula>1</formula>
    </cfRule>
    <cfRule type="cellIs" dxfId="12297" priority="18052" stopIfTrue="1" operator="between">
      <formula>0</formula>
      <formula>0.5</formula>
    </cfRule>
  </conditionalFormatting>
  <conditionalFormatting sqref="AF18">
    <cfRule type="cellIs" dxfId="12296" priority="18043" operator="between">
      <formula>0.76</formula>
      <formula>0.95</formula>
    </cfRule>
    <cfRule type="cellIs" dxfId="12295" priority="18044" operator="between">
      <formula>0.51</formula>
      <formula>0.75</formula>
    </cfRule>
    <cfRule type="cellIs" dxfId="12294" priority="18045" operator="greaterThan">
      <formula>1</formula>
    </cfRule>
    <cfRule type="cellIs" dxfId="12293" priority="18046" operator="between">
      <formula>0.95</formula>
      <formula>1</formula>
    </cfRule>
    <cfRule type="cellIs" dxfId="12292" priority="18047" stopIfTrue="1" operator="between">
      <formula>0</formula>
      <formula>0.5</formula>
    </cfRule>
  </conditionalFormatting>
  <conditionalFormatting sqref="T18">
    <cfRule type="cellIs" dxfId="12291" priority="18038" operator="between">
      <formula>0.3751</formula>
      <formula>0.475</formula>
    </cfRule>
    <cfRule type="cellIs" dxfId="12290" priority="18039" operator="between">
      <formula>0.2551</formula>
      <formula>0.375</formula>
    </cfRule>
    <cfRule type="cellIs" dxfId="12289" priority="18040" operator="greaterThan">
      <formula>0.505</formula>
    </cfRule>
    <cfRule type="cellIs" dxfId="12288" priority="18041" operator="between">
      <formula>0.48</formula>
      <formula>0.5</formula>
    </cfRule>
    <cfRule type="cellIs" dxfId="12287" priority="18042" stopIfTrue="1" operator="between">
      <formula>0</formula>
      <formula>0.255</formula>
    </cfRule>
  </conditionalFormatting>
  <conditionalFormatting sqref="AA18:AC18">
    <cfRule type="cellIs" dxfId="12286" priority="18033" operator="between">
      <formula>0.56251</formula>
      <formula>0.7125</formula>
    </cfRule>
    <cfRule type="cellIs" dxfId="12285" priority="18034" operator="between">
      <formula>0.3751</formula>
      <formula>0.5625</formula>
    </cfRule>
    <cfRule type="cellIs" dxfId="12284" priority="18035" operator="greaterThan">
      <formula>0.751</formula>
    </cfRule>
    <cfRule type="cellIs" dxfId="12283" priority="18036" operator="between">
      <formula>0.71251</formula>
      <formula>0.75</formula>
    </cfRule>
    <cfRule type="cellIs" dxfId="12282" priority="18037" stopIfTrue="1" operator="between">
      <formula>0</formula>
      <formula>0.375</formula>
    </cfRule>
  </conditionalFormatting>
  <conditionalFormatting sqref="AH18">
    <cfRule type="cellIs" dxfId="12281" priority="18028" operator="between">
      <formula>0.76</formula>
      <formula>0.95</formula>
    </cfRule>
    <cfRule type="cellIs" dxfId="12280" priority="18029" operator="between">
      <formula>0.51</formula>
      <formula>0.75</formula>
    </cfRule>
    <cfRule type="cellIs" dxfId="12279" priority="18030" operator="greaterThan">
      <formula>1</formula>
    </cfRule>
    <cfRule type="cellIs" dxfId="12278" priority="18031" operator="between">
      <formula>0.95</formula>
      <formula>1</formula>
    </cfRule>
    <cfRule type="cellIs" dxfId="12277" priority="18032" stopIfTrue="1" operator="between">
      <formula>0</formula>
      <formula>0.5</formula>
    </cfRule>
  </conditionalFormatting>
  <conditionalFormatting sqref="U18:V18">
    <cfRule type="cellIs" dxfId="12276" priority="18018" operator="between">
      <formula>0.376</formula>
      <formula>0.475</formula>
    </cfRule>
    <cfRule type="cellIs" dxfId="12275" priority="18019" operator="between">
      <formula>0.2551</formula>
      <formula>0.3751</formula>
    </cfRule>
    <cfRule type="cellIs" dxfId="12274" priority="18020" operator="greaterThan">
      <formula>0.505</formula>
    </cfRule>
    <cfRule type="cellIs" dxfId="12273" priority="18021" operator="between">
      <formula>0.48</formula>
      <formula>0.5</formula>
    </cfRule>
    <cfRule type="cellIs" dxfId="12272" priority="18022" stopIfTrue="1" operator="between">
      <formula>0</formula>
      <formula>0.255</formula>
    </cfRule>
  </conditionalFormatting>
  <conditionalFormatting sqref="AG22 AI22 Z22">
    <cfRule type="cellIs" dxfId="12271" priority="17986" operator="between">
      <formula>0.76</formula>
      <formula>0.95</formula>
    </cfRule>
    <cfRule type="cellIs" dxfId="12270" priority="17987" operator="between">
      <formula>0.51</formula>
      <formula>0.75</formula>
    </cfRule>
    <cfRule type="cellIs" dxfId="12269" priority="17988" operator="greaterThan">
      <formula>1</formula>
    </cfRule>
    <cfRule type="cellIs" dxfId="12268" priority="17989" operator="between">
      <formula>0.95</formula>
      <formula>1</formula>
    </cfRule>
    <cfRule type="cellIs" dxfId="12267" priority="17990" stopIfTrue="1" operator="between">
      <formula>0</formula>
      <formula>0.5</formula>
    </cfRule>
  </conditionalFormatting>
  <conditionalFormatting sqref="R22:S22">
    <cfRule type="cellIs" dxfId="12266" priority="17981" operator="between">
      <formula>0.76</formula>
      <formula>0.95</formula>
    </cfRule>
    <cfRule type="cellIs" dxfId="12265" priority="17982" operator="between">
      <formula>0.51</formula>
      <formula>0.75</formula>
    </cfRule>
    <cfRule type="cellIs" dxfId="12264" priority="17983" operator="greaterThan">
      <formula>1</formula>
    </cfRule>
    <cfRule type="cellIs" dxfId="12263" priority="17984" operator="between">
      <formula>0.95</formula>
      <formula>1</formula>
    </cfRule>
    <cfRule type="cellIs" dxfId="12262" priority="17985" stopIfTrue="1" operator="between">
      <formula>0</formula>
      <formula>0.5</formula>
    </cfRule>
  </conditionalFormatting>
  <conditionalFormatting sqref="Y22">
    <cfRule type="cellIs" dxfId="12261" priority="17976" operator="between">
      <formula>0.76</formula>
      <formula>0.95</formula>
    </cfRule>
    <cfRule type="cellIs" dxfId="12260" priority="17977" operator="between">
      <formula>0.51</formula>
      <formula>0.75</formula>
    </cfRule>
    <cfRule type="cellIs" dxfId="12259" priority="17978" operator="greaterThan">
      <formula>1</formula>
    </cfRule>
    <cfRule type="cellIs" dxfId="12258" priority="17979" operator="between">
      <formula>0.95</formula>
      <formula>1</formula>
    </cfRule>
    <cfRule type="cellIs" dxfId="12257" priority="17980" stopIfTrue="1" operator="between">
      <formula>0</formula>
      <formula>0.5</formula>
    </cfRule>
  </conditionalFormatting>
  <conditionalFormatting sqref="AF22">
    <cfRule type="cellIs" dxfId="12256" priority="17971" operator="between">
      <formula>0.76</formula>
      <formula>0.95</formula>
    </cfRule>
    <cfRule type="cellIs" dxfId="12255" priority="17972" operator="between">
      <formula>0.51</formula>
      <formula>0.75</formula>
    </cfRule>
    <cfRule type="cellIs" dxfId="12254" priority="17973" operator="greaterThan">
      <formula>1</formula>
    </cfRule>
    <cfRule type="cellIs" dxfId="12253" priority="17974" operator="between">
      <formula>0.95</formula>
      <formula>1</formula>
    </cfRule>
    <cfRule type="cellIs" dxfId="12252" priority="17975" stopIfTrue="1" operator="between">
      <formula>0</formula>
      <formula>0.5</formula>
    </cfRule>
  </conditionalFormatting>
  <conditionalFormatting sqref="T22">
    <cfRule type="cellIs" dxfId="12251" priority="17966" operator="between">
      <formula>0.3751</formula>
      <formula>0.475</formula>
    </cfRule>
    <cfRule type="cellIs" dxfId="12250" priority="17967" operator="between">
      <formula>0.2551</formula>
      <formula>0.375</formula>
    </cfRule>
    <cfRule type="cellIs" dxfId="12249" priority="17968" operator="greaterThan">
      <formula>0.505</formula>
    </cfRule>
    <cfRule type="cellIs" dxfId="12248" priority="17969" operator="between">
      <formula>0.48</formula>
      <formula>0.5</formula>
    </cfRule>
    <cfRule type="cellIs" dxfId="12247" priority="17970" stopIfTrue="1" operator="between">
      <formula>0</formula>
      <formula>0.255</formula>
    </cfRule>
  </conditionalFormatting>
  <conditionalFormatting sqref="AA22:AC22">
    <cfRule type="cellIs" dxfId="12246" priority="17961" operator="between">
      <formula>0.56251</formula>
      <formula>0.7125</formula>
    </cfRule>
    <cfRule type="cellIs" dxfId="12245" priority="17962" operator="between">
      <formula>0.3751</formula>
      <formula>0.5625</formula>
    </cfRule>
    <cfRule type="cellIs" dxfId="12244" priority="17963" operator="greaterThan">
      <formula>0.751</formula>
    </cfRule>
    <cfRule type="cellIs" dxfId="12243" priority="17964" operator="between">
      <formula>0.71251</formula>
      <formula>0.75</formula>
    </cfRule>
    <cfRule type="cellIs" dxfId="12242" priority="17965" stopIfTrue="1" operator="between">
      <formula>0</formula>
      <formula>0.375</formula>
    </cfRule>
  </conditionalFormatting>
  <conditionalFormatting sqref="AH22">
    <cfRule type="cellIs" dxfId="12241" priority="17956" operator="between">
      <formula>0.76</formula>
      <formula>0.95</formula>
    </cfRule>
    <cfRule type="cellIs" dxfId="12240" priority="17957" operator="between">
      <formula>0.51</formula>
      <formula>0.75</formula>
    </cfRule>
    <cfRule type="cellIs" dxfId="12239" priority="17958" operator="greaterThan">
      <formula>1</formula>
    </cfRule>
    <cfRule type="cellIs" dxfId="12238" priority="17959" operator="between">
      <formula>0.95</formula>
      <formula>1</formula>
    </cfRule>
    <cfRule type="cellIs" dxfId="12237" priority="17960" stopIfTrue="1" operator="between">
      <formula>0</formula>
      <formula>0.5</formula>
    </cfRule>
  </conditionalFormatting>
  <conditionalFormatting sqref="U22:V22">
    <cfRule type="cellIs" dxfId="12236" priority="17946" operator="between">
      <formula>0.376</formula>
      <formula>0.475</formula>
    </cfRule>
    <cfRule type="cellIs" dxfId="12235" priority="17947" operator="between">
      <formula>0.2551</formula>
      <formula>0.3751</formula>
    </cfRule>
    <cfRule type="cellIs" dxfId="12234" priority="17948" operator="greaterThan">
      <formula>0.505</formula>
    </cfRule>
    <cfRule type="cellIs" dxfId="12233" priority="17949" operator="between">
      <formula>0.48</formula>
      <formula>0.5</formula>
    </cfRule>
    <cfRule type="cellIs" dxfId="12232" priority="17950" stopIfTrue="1" operator="between">
      <formula>0</formula>
      <formula>0.255</formula>
    </cfRule>
  </conditionalFormatting>
  <conditionalFormatting sqref="AG143:AG144 AI143:AI144 S143:S144 Z143:Z144 S146 Z146 AG146 AI146">
    <cfRule type="cellIs" dxfId="12231" priority="17914" operator="between">
      <formula>0.76</formula>
      <formula>0.95</formula>
    </cfRule>
    <cfRule type="cellIs" dxfId="12230" priority="17915" operator="between">
      <formula>0.51</formula>
      <formula>0.75</formula>
    </cfRule>
    <cfRule type="cellIs" dxfId="12229" priority="17916" operator="greaterThan">
      <formula>1</formula>
    </cfRule>
    <cfRule type="cellIs" dxfId="12228" priority="17917" operator="between">
      <formula>0.95</formula>
      <formula>1</formula>
    </cfRule>
    <cfRule type="cellIs" dxfId="12227" priority="17918" stopIfTrue="1" operator="between">
      <formula>0</formula>
      <formula>0.5</formula>
    </cfRule>
  </conditionalFormatting>
  <conditionalFormatting sqref="R143:R144 R146">
    <cfRule type="cellIs" dxfId="12226" priority="17904" operator="between">
      <formula>0.76</formula>
      <formula>0.95</formula>
    </cfRule>
    <cfRule type="cellIs" dxfId="12225" priority="17905" operator="between">
      <formula>0.51</formula>
      <formula>0.75</formula>
    </cfRule>
    <cfRule type="cellIs" dxfId="12224" priority="17906" operator="greaterThan">
      <formula>1</formula>
    </cfRule>
    <cfRule type="cellIs" dxfId="12223" priority="17907" operator="between">
      <formula>0.95</formula>
      <formula>1</formula>
    </cfRule>
    <cfRule type="cellIs" dxfId="12222" priority="17908" stopIfTrue="1" operator="between">
      <formula>0</formula>
      <formula>0.5</formula>
    </cfRule>
  </conditionalFormatting>
  <conditionalFormatting sqref="Y143:Y144 Y146">
    <cfRule type="cellIs" dxfId="12221" priority="17899" operator="between">
      <formula>0.76</formula>
      <formula>0.95</formula>
    </cfRule>
    <cfRule type="cellIs" dxfId="12220" priority="17900" operator="between">
      <formula>0.51</formula>
      <formula>0.75</formula>
    </cfRule>
    <cfRule type="cellIs" dxfId="12219" priority="17901" operator="greaterThan">
      <formula>1</formula>
    </cfRule>
    <cfRule type="cellIs" dxfId="12218" priority="17902" operator="between">
      <formula>0.95</formula>
      <formula>1</formula>
    </cfRule>
    <cfRule type="cellIs" dxfId="12217" priority="17903" stopIfTrue="1" operator="between">
      <formula>0</formula>
      <formula>0.5</formula>
    </cfRule>
  </conditionalFormatting>
  <conditionalFormatting sqref="AF143:AF144 AF146">
    <cfRule type="cellIs" dxfId="12216" priority="17894" operator="between">
      <formula>0.76</formula>
      <formula>0.95</formula>
    </cfRule>
    <cfRule type="cellIs" dxfId="12215" priority="17895" operator="between">
      <formula>0.51</formula>
      <formula>0.75</formula>
    </cfRule>
    <cfRule type="cellIs" dxfId="12214" priority="17896" operator="greaterThan">
      <formula>1</formula>
    </cfRule>
    <cfRule type="cellIs" dxfId="12213" priority="17897" operator="between">
      <formula>0.95</formula>
      <formula>1</formula>
    </cfRule>
    <cfRule type="cellIs" dxfId="12212" priority="17898" stopIfTrue="1" operator="between">
      <formula>0</formula>
      <formula>0.5</formula>
    </cfRule>
  </conditionalFormatting>
  <conditionalFormatting sqref="AH143:AH144 AH146">
    <cfRule type="cellIs" dxfId="12211" priority="17889" operator="between">
      <formula>0.76</formula>
      <formula>0.95</formula>
    </cfRule>
    <cfRule type="cellIs" dxfId="12210" priority="17890" operator="between">
      <formula>0.51</formula>
      <formula>0.75</formula>
    </cfRule>
    <cfRule type="cellIs" dxfId="12209" priority="17891" operator="greaterThan">
      <formula>1</formula>
    </cfRule>
    <cfRule type="cellIs" dxfId="12208" priority="17892" operator="between">
      <formula>0.95</formula>
      <formula>1</formula>
    </cfRule>
    <cfRule type="cellIs" dxfId="12207" priority="17893" stopIfTrue="1" operator="between">
      <formula>0</formula>
      <formula>0.5</formula>
    </cfRule>
  </conditionalFormatting>
  <conditionalFormatting sqref="T143:T144 T146">
    <cfRule type="cellIs" dxfId="12206" priority="17874" operator="between">
      <formula>0.3751</formula>
      <formula>0.475</formula>
    </cfRule>
    <cfRule type="cellIs" dxfId="12205" priority="17875" operator="between">
      <formula>0.2551</formula>
      <formula>0.375</formula>
    </cfRule>
    <cfRule type="cellIs" dxfId="12204" priority="17876" operator="greaterThan">
      <formula>0.505</formula>
    </cfRule>
    <cfRule type="cellIs" dxfId="12203" priority="17877" operator="between">
      <formula>0.48</formula>
      <formula>0.5</formula>
    </cfRule>
    <cfRule type="cellIs" dxfId="12202" priority="17878" stopIfTrue="1" operator="between">
      <formula>0</formula>
      <formula>0.255</formula>
    </cfRule>
  </conditionalFormatting>
  <conditionalFormatting sqref="U143:V144 U146:V146">
    <cfRule type="cellIs" dxfId="12201" priority="17869" operator="between">
      <formula>0.376</formula>
      <formula>0.475</formula>
    </cfRule>
    <cfRule type="cellIs" dxfId="12200" priority="17870" operator="between">
      <formula>0.2551</formula>
      <formula>0.3751</formula>
    </cfRule>
    <cfRule type="cellIs" dxfId="12199" priority="17871" operator="greaterThan">
      <formula>0.505</formula>
    </cfRule>
    <cfRule type="cellIs" dxfId="12198" priority="17872" operator="between">
      <formula>0.48</formula>
      <formula>0.5</formula>
    </cfRule>
    <cfRule type="cellIs" dxfId="12197" priority="17873" stopIfTrue="1" operator="between">
      <formula>0</formula>
      <formula>0.255</formula>
    </cfRule>
  </conditionalFormatting>
  <conditionalFormatting sqref="AA144 AA146">
    <cfRule type="cellIs" dxfId="12196" priority="17864" operator="between">
      <formula>0.56251</formula>
      <formula>0.7125</formula>
    </cfRule>
    <cfRule type="cellIs" dxfId="12195" priority="17865" operator="between">
      <formula>0.3751</formula>
      <formula>0.5625</formula>
    </cfRule>
    <cfRule type="cellIs" dxfId="12194" priority="17866" operator="greaterThan">
      <formula>0.751</formula>
    </cfRule>
    <cfRule type="cellIs" dxfId="12193" priority="17867" operator="between">
      <formula>0.71251</formula>
      <formula>0.75</formula>
    </cfRule>
    <cfRule type="cellIs" dxfId="12192" priority="17868" stopIfTrue="1" operator="between">
      <formula>0</formula>
      <formula>0.375</formula>
    </cfRule>
  </conditionalFormatting>
  <conditionalFormatting sqref="AC144 AC146">
    <cfRule type="cellIs" dxfId="12191" priority="17859" operator="between">
      <formula>0.56251</formula>
      <formula>0.7125</formula>
    </cfRule>
    <cfRule type="cellIs" dxfId="12190" priority="17860" operator="between">
      <formula>0.3751</formula>
      <formula>0.5625</formula>
    </cfRule>
    <cfRule type="cellIs" dxfId="12189" priority="17861" operator="greaterThan">
      <formula>0.751</formula>
    </cfRule>
    <cfRule type="cellIs" dxfId="12188" priority="17862" operator="between">
      <formula>0.71251</formula>
      <formula>0.75</formula>
    </cfRule>
    <cfRule type="cellIs" dxfId="12187" priority="17863" stopIfTrue="1" operator="between">
      <formula>0</formula>
      <formula>0.375</formula>
    </cfRule>
  </conditionalFormatting>
  <conditionalFormatting sqref="AB144 AB146">
    <cfRule type="cellIs" dxfId="12186" priority="17854" operator="between">
      <formula>0.56251</formula>
      <formula>0.7125</formula>
    </cfRule>
    <cfRule type="cellIs" dxfId="12185" priority="17855" operator="between">
      <formula>0.3751</formula>
      <formula>0.5625</formula>
    </cfRule>
    <cfRule type="cellIs" dxfId="12184" priority="17856" operator="greaterThan">
      <formula>0.751</formula>
    </cfRule>
    <cfRule type="cellIs" dxfId="12183" priority="17857" operator="between">
      <formula>0.71251</formula>
      <formula>0.75</formula>
    </cfRule>
    <cfRule type="cellIs" dxfId="12182" priority="17858" stopIfTrue="1" operator="between">
      <formula>0</formula>
      <formula>0.375</formula>
    </cfRule>
  </conditionalFormatting>
  <conditionalFormatting sqref="S211">
    <cfRule type="cellIs" dxfId="12181" priority="17827" operator="between">
      <formula>0.76</formula>
      <formula>0.95</formula>
    </cfRule>
    <cfRule type="cellIs" dxfId="12180" priority="17828" operator="between">
      <formula>0.51</formula>
      <formula>0.75</formula>
    </cfRule>
    <cfRule type="cellIs" dxfId="12179" priority="17829" operator="greaterThan">
      <formula>1</formula>
    </cfRule>
    <cfRule type="cellIs" dxfId="12178" priority="17830" operator="between">
      <formula>0.95</formula>
      <formula>1</formula>
    </cfRule>
    <cfRule type="cellIs" dxfId="12177" priority="17831" stopIfTrue="1" operator="between">
      <formula>0</formula>
      <formula>0.5</formula>
    </cfRule>
  </conditionalFormatting>
  <conditionalFormatting sqref="R211">
    <cfRule type="cellIs" dxfId="12176" priority="17822" operator="between">
      <formula>0.76</formula>
      <formula>0.95</formula>
    </cfRule>
    <cfRule type="cellIs" dxfId="12175" priority="17823" operator="between">
      <formula>0.51</formula>
      <formula>0.75</formula>
    </cfRule>
    <cfRule type="cellIs" dxfId="12174" priority="17824" operator="greaterThan">
      <formula>1</formula>
    </cfRule>
    <cfRule type="cellIs" dxfId="12173" priority="17825" operator="between">
      <formula>0.95</formula>
      <formula>1</formula>
    </cfRule>
    <cfRule type="cellIs" dxfId="12172" priority="17826" stopIfTrue="1" operator="between">
      <formula>0</formula>
      <formula>0.5</formula>
    </cfRule>
  </conditionalFormatting>
  <conditionalFormatting sqref="Y211">
    <cfRule type="cellIs" dxfId="12171" priority="17817" operator="between">
      <formula>0.76</formula>
      <formula>0.95</formula>
    </cfRule>
    <cfRule type="cellIs" dxfId="12170" priority="17818" operator="between">
      <formula>0.51</formula>
      <formula>0.75</formula>
    </cfRule>
    <cfRule type="cellIs" dxfId="12169" priority="17819" operator="greaterThan">
      <formula>1</formula>
    </cfRule>
    <cfRule type="cellIs" dxfId="12168" priority="17820" operator="between">
      <formula>0.95</formula>
      <formula>1</formula>
    </cfRule>
    <cfRule type="cellIs" dxfId="12167" priority="17821" stopIfTrue="1" operator="between">
      <formula>0</formula>
      <formula>0.5</formula>
    </cfRule>
  </conditionalFormatting>
  <conditionalFormatting sqref="AF211">
    <cfRule type="cellIs" dxfId="12166" priority="17812" operator="between">
      <formula>0.76</formula>
      <formula>0.95</formula>
    </cfRule>
    <cfRule type="cellIs" dxfId="12165" priority="17813" operator="between">
      <formula>0.51</formula>
      <formula>0.75</formula>
    </cfRule>
    <cfRule type="cellIs" dxfId="12164" priority="17814" operator="greaterThan">
      <formula>1</formula>
    </cfRule>
    <cfRule type="cellIs" dxfId="12163" priority="17815" operator="between">
      <formula>0.95</formula>
      <formula>1</formula>
    </cfRule>
    <cfRule type="cellIs" dxfId="12162" priority="17816" stopIfTrue="1" operator="between">
      <formula>0</formula>
      <formula>0.5</formula>
    </cfRule>
  </conditionalFormatting>
  <conditionalFormatting sqref="AH211">
    <cfRule type="cellIs" dxfId="12161" priority="17807" operator="between">
      <formula>0.76</formula>
      <formula>0.95</formula>
    </cfRule>
    <cfRule type="cellIs" dxfId="12160" priority="17808" operator="between">
      <formula>0.51</formula>
      <formula>0.75</formula>
    </cfRule>
    <cfRule type="cellIs" dxfId="12159" priority="17809" operator="greaterThan">
      <formula>1</formula>
    </cfRule>
    <cfRule type="cellIs" dxfId="12158" priority="17810" operator="between">
      <formula>0.95</formula>
      <formula>1</formula>
    </cfRule>
    <cfRule type="cellIs" dxfId="12157" priority="17811" stopIfTrue="1" operator="between">
      <formula>0</formula>
      <formula>0.5</formula>
    </cfRule>
  </conditionalFormatting>
  <conditionalFormatting sqref="T211">
    <cfRule type="cellIs" dxfId="12156" priority="17792" operator="between">
      <formula>0.3751</formula>
      <formula>0.475</formula>
    </cfRule>
    <cfRule type="cellIs" dxfId="12155" priority="17793" operator="between">
      <formula>0.2551</formula>
      <formula>0.375</formula>
    </cfRule>
    <cfRule type="cellIs" dxfId="12154" priority="17794" operator="greaterThan">
      <formula>0.505</formula>
    </cfRule>
    <cfRule type="cellIs" dxfId="12153" priority="17795" operator="between">
      <formula>0.48</formula>
      <formula>0.5</formula>
    </cfRule>
    <cfRule type="cellIs" dxfId="12152" priority="17796" stopIfTrue="1" operator="between">
      <formula>0</formula>
      <formula>0.255</formula>
    </cfRule>
  </conditionalFormatting>
  <conditionalFormatting sqref="U211:V211">
    <cfRule type="cellIs" dxfId="12151" priority="17787" operator="between">
      <formula>0.376</formula>
      <formula>0.475</formula>
    </cfRule>
    <cfRule type="cellIs" dxfId="12150" priority="17788" operator="between">
      <formula>0.2551</formula>
      <formula>0.3751</formula>
    </cfRule>
    <cfRule type="cellIs" dxfId="12149" priority="17789" operator="greaterThan">
      <formula>0.505</formula>
    </cfRule>
    <cfRule type="cellIs" dxfId="12148" priority="17790" operator="between">
      <formula>0.48</formula>
      <formula>0.5</formula>
    </cfRule>
    <cfRule type="cellIs" dxfId="12147" priority="17791" stopIfTrue="1" operator="between">
      <formula>0</formula>
      <formula>0.255</formula>
    </cfRule>
  </conditionalFormatting>
  <conditionalFormatting sqref="Z211">
    <cfRule type="cellIs" dxfId="12146" priority="17782" operator="between">
      <formula>0.76</formula>
      <formula>0.95</formula>
    </cfRule>
    <cfRule type="cellIs" dxfId="12145" priority="17783" operator="between">
      <formula>0.51</formula>
      <formula>0.75</formula>
    </cfRule>
    <cfRule type="cellIs" dxfId="12144" priority="17784" operator="greaterThan">
      <formula>1</formula>
    </cfRule>
    <cfRule type="cellIs" dxfId="12143" priority="17785" operator="between">
      <formula>0.95</formula>
      <formula>1</formula>
    </cfRule>
    <cfRule type="cellIs" dxfId="12142" priority="17786" stopIfTrue="1" operator="between">
      <formula>0</formula>
      <formula>0.5</formula>
    </cfRule>
  </conditionalFormatting>
  <conditionalFormatting sqref="AG211">
    <cfRule type="cellIs" dxfId="12141" priority="17777" operator="between">
      <formula>0.76</formula>
      <formula>0.95</formula>
    </cfRule>
    <cfRule type="cellIs" dxfId="12140" priority="17778" operator="between">
      <formula>0.51</formula>
      <formula>0.75</formula>
    </cfRule>
    <cfRule type="cellIs" dxfId="12139" priority="17779" operator="greaterThan">
      <formula>1</formula>
    </cfRule>
    <cfRule type="cellIs" dxfId="12138" priority="17780" operator="between">
      <formula>0.95</formula>
      <formula>1</formula>
    </cfRule>
    <cfRule type="cellIs" dxfId="12137" priority="17781" stopIfTrue="1" operator="between">
      <formula>0</formula>
      <formula>0.5</formula>
    </cfRule>
  </conditionalFormatting>
  <conditionalFormatting sqref="AI211">
    <cfRule type="cellIs" dxfId="12136" priority="17772" operator="between">
      <formula>0.76</formula>
      <formula>0.95</formula>
    </cfRule>
    <cfRule type="cellIs" dxfId="12135" priority="17773" operator="between">
      <formula>0.51</formula>
      <formula>0.75</formula>
    </cfRule>
    <cfRule type="cellIs" dxfId="12134" priority="17774" operator="greaterThan">
      <formula>1</formula>
    </cfRule>
    <cfRule type="cellIs" dxfId="12133" priority="17775" operator="between">
      <formula>0.95</formula>
      <formula>1</formula>
    </cfRule>
    <cfRule type="cellIs" dxfId="12132" priority="17776" stopIfTrue="1" operator="between">
      <formula>0</formula>
      <formula>0.5</formula>
    </cfRule>
  </conditionalFormatting>
  <conditionalFormatting sqref="AA211">
    <cfRule type="cellIs" dxfId="12131" priority="17767" operator="between">
      <formula>0.56251</formula>
      <formula>0.7125</formula>
    </cfRule>
    <cfRule type="cellIs" dxfId="12130" priority="17768" operator="between">
      <formula>0.3751</formula>
      <formula>0.5625</formula>
    </cfRule>
    <cfRule type="cellIs" dxfId="12129" priority="17769" operator="greaterThan">
      <formula>0.751</formula>
    </cfRule>
    <cfRule type="cellIs" dxfId="12128" priority="17770" operator="between">
      <formula>0.71251</formula>
      <formula>0.75</formula>
    </cfRule>
    <cfRule type="cellIs" dxfId="12127" priority="17771" stopIfTrue="1" operator="between">
      <formula>0</formula>
      <formula>0.375</formula>
    </cfRule>
  </conditionalFormatting>
  <conditionalFormatting sqref="AC211">
    <cfRule type="cellIs" dxfId="12126" priority="17762" operator="between">
      <formula>0.56251</formula>
      <formula>0.7125</formula>
    </cfRule>
    <cfRule type="cellIs" dxfId="12125" priority="17763" operator="between">
      <formula>0.3751</formula>
      <formula>0.5625</formula>
    </cfRule>
    <cfRule type="cellIs" dxfId="12124" priority="17764" operator="greaterThan">
      <formula>0.751</formula>
    </cfRule>
    <cfRule type="cellIs" dxfId="12123" priority="17765" operator="between">
      <formula>0.71251</formula>
      <formula>0.75</formula>
    </cfRule>
    <cfRule type="cellIs" dxfId="12122" priority="17766" stopIfTrue="1" operator="between">
      <formula>0</formula>
      <formula>0.375</formula>
    </cfRule>
  </conditionalFormatting>
  <conditionalFormatting sqref="AB211">
    <cfRule type="cellIs" dxfId="12121" priority="17757" operator="between">
      <formula>0.56251</formula>
      <formula>0.7125</formula>
    </cfRule>
    <cfRule type="cellIs" dxfId="12120" priority="17758" operator="between">
      <formula>0.3751</formula>
      <formula>0.5625</formula>
    </cfRule>
    <cfRule type="cellIs" dxfId="12119" priority="17759" operator="greaterThan">
      <formula>0.751</formula>
    </cfRule>
    <cfRule type="cellIs" dxfId="12118" priority="17760" operator="between">
      <formula>0.71251</formula>
      <formula>0.75</formula>
    </cfRule>
    <cfRule type="cellIs" dxfId="12117" priority="17761" stopIfTrue="1" operator="between">
      <formula>0</formula>
      <formula>0.375</formula>
    </cfRule>
  </conditionalFormatting>
  <conditionalFormatting sqref="AG23 AI23 Z23">
    <cfRule type="cellIs" dxfId="12116" priority="17740" operator="between">
      <formula>0.76</formula>
      <formula>0.95</formula>
    </cfRule>
    <cfRule type="cellIs" dxfId="12115" priority="17741" operator="between">
      <formula>0.51</formula>
      <formula>0.75</formula>
    </cfRule>
    <cfRule type="cellIs" dxfId="12114" priority="17742" operator="greaterThan">
      <formula>1</formula>
    </cfRule>
    <cfRule type="cellIs" dxfId="12113" priority="17743" operator="between">
      <formula>0.95</formula>
      <formula>1</formula>
    </cfRule>
    <cfRule type="cellIs" dxfId="12112" priority="17744" stopIfTrue="1" operator="between">
      <formula>0</formula>
      <formula>0.5</formula>
    </cfRule>
  </conditionalFormatting>
  <conditionalFormatting sqref="R23:S23">
    <cfRule type="cellIs" dxfId="12111" priority="17735" operator="between">
      <formula>0.76</formula>
      <formula>0.95</formula>
    </cfRule>
    <cfRule type="cellIs" dxfId="12110" priority="17736" operator="between">
      <formula>0.51</formula>
      <formula>0.75</formula>
    </cfRule>
    <cfRule type="cellIs" dxfId="12109" priority="17737" operator="greaterThan">
      <formula>1</formula>
    </cfRule>
    <cfRule type="cellIs" dxfId="12108" priority="17738" operator="between">
      <formula>0.95</formula>
      <formula>1</formula>
    </cfRule>
    <cfRule type="cellIs" dxfId="12107" priority="17739" stopIfTrue="1" operator="between">
      <formula>0</formula>
      <formula>0.5</formula>
    </cfRule>
  </conditionalFormatting>
  <conditionalFormatting sqref="Y23">
    <cfRule type="cellIs" dxfId="12106" priority="17730" operator="between">
      <formula>0.76</formula>
      <formula>0.95</formula>
    </cfRule>
    <cfRule type="cellIs" dxfId="12105" priority="17731" operator="between">
      <formula>0.51</formula>
      <formula>0.75</formula>
    </cfRule>
    <cfRule type="cellIs" dxfId="12104" priority="17732" operator="greaterThan">
      <formula>1</formula>
    </cfRule>
    <cfRule type="cellIs" dxfId="12103" priority="17733" operator="between">
      <formula>0.95</formula>
      <formula>1</formula>
    </cfRule>
    <cfRule type="cellIs" dxfId="12102" priority="17734" stopIfTrue="1" operator="between">
      <formula>0</formula>
      <formula>0.5</formula>
    </cfRule>
  </conditionalFormatting>
  <conditionalFormatting sqref="AF23">
    <cfRule type="cellIs" dxfId="12101" priority="17725" operator="between">
      <formula>0.76</formula>
      <formula>0.95</formula>
    </cfRule>
    <cfRule type="cellIs" dxfId="12100" priority="17726" operator="between">
      <formula>0.51</formula>
      <formula>0.75</formula>
    </cfRule>
    <cfRule type="cellIs" dxfId="12099" priority="17727" operator="greaterThan">
      <formula>1</formula>
    </cfRule>
    <cfRule type="cellIs" dxfId="12098" priority="17728" operator="between">
      <formula>0.95</formula>
      <formula>1</formula>
    </cfRule>
    <cfRule type="cellIs" dxfId="12097" priority="17729" stopIfTrue="1" operator="between">
      <formula>0</formula>
      <formula>0.5</formula>
    </cfRule>
  </conditionalFormatting>
  <conditionalFormatting sqref="T23">
    <cfRule type="cellIs" dxfId="12096" priority="17720" operator="between">
      <formula>0.3751</formula>
      <formula>0.475</formula>
    </cfRule>
    <cfRule type="cellIs" dxfId="12095" priority="17721" operator="between">
      <formula>0.2551</formula>
      <formula>0.375</formula>
    </cfRule>
    <cfRule type="cellIs" dxfId="12094" priority="17722" operator="greaterThan">
      <formula>0.505</formula>
    </cfRule>
    <cfRule type="cellIs" dxfId="12093" priority="17723" operator="between">
      <formula>0.48</formula>
      <formula>0.5</formula>
    </cfRule>
    <cfRule type="cellIs" dxfId="12092" priority="17724" stopIfTrue="1" operator="between">
      <formula>0</formula>
      <formula>0.255</formula>
    </cfRule>
  </conditionalFormatting>
  <conditionalFormatting sqref="AA23:AC23">
    <cfRule type="cellIs" dxfId="12091" priority="17715" operator="between">
      <formula>0.56251</formula>
      <formula>0.7125</formula>
    </cfRule>
    <cfRule type="cellIs" dxfId="12090" priority="17716" operator="between">
      <formula>0.3751</formula>
      <formula>0.5625</formula>
    </cfRule>
    <cfRule type="cellIs" dxfId="12089" priority="17717" operator="greaterThan">
      <formula>0.751</formula>
    </cfRule>
    <cfRule type="cellIs" dxfId="12088" priority="17718" operator="between">
      <formula>0.71251</formula>
      <formula>0.75</formula>
    </cfRule>
    <cfRule type="cellIs" dxfId="12087" priority="17719" stopIfTrue="1" operator="between">
      <formula>0</formula>
      <formula>0.375</formula>
    </cfRule>
  </conditionalFormatting>
  <conditionalFormatting sqref="AH23">
    <cfRule type="cellIs" dxfId="12086" priority="17710" operator="between">
      <formula>0.76</formula>
      <formula>0.95</formula>
    </cfRule>
    <cfRule type="cellIs" dxfId="12085" priority="17711" operator="between">
      <formula>0.51</formula>
      <formula>0.75</formula>
    </cfRule>
    <cfRule type="cellIs" dxfId="12084" priority="17712" operator="greaterThan">
      <formula>1</formula>
    </cfRule>
    <cfRule type="cellIs" dxfId="12083" priority="17713" operator="between">
      <formula>0.95</formula>
      <formula>1</formula>
    </cfRule>
    <cfRule type="cellIs" dxfId="12082" priority="17714" stopIfTrue="1" operator="between">
      <formula>0</formula>
      <formula>0.5</formula>
    </cfRule>
  </conditionalFormatting>
  <conditionalFormatting sqref="U23:V23">
    <cfRule type="cellIs" dxfId="12081" priority="17700" operator="between">
      <formula>0.376</formula>
      <formula>0.475</formula>
    </cfRule>
    <cfRule type="cellIs" dxfId="12080" priority="17701" operator="between">
      <formula>0.2551</formula>
      <formula>0.3751</formula>
    </cfRule>
    <cfRule type="cellIs" dxfId="12079" priority="17702" operator="greaterThan">
      <formula>0.505</formula>
    </cfRule>
    <cfRule type="cellIs" dxfId="12078" priority="17703" operator="between">
      <formula>0.48</formula>
      <formula>0.5</formula>
    </cfRule>
    <cfRule type="cellIs" dxfId="12077" priority="17704" stopIfTrue="1" operator="between">
      <formula>0</formula>
      <formula>0.255</formula>
    </cfRule>
  </conditionalFormatting>
  <conditionalFormatting sqref="AG24:AG27 AI24:AI27 Z24:Z27">
    <cfRule type="cellIs" dxfId="12076" priority="17596" operator="between">
      <formula>0.76</formula>
      <formula>0.95</formula>
    </cfRule>
    <cfRule type="cellIs" dxfId="12075" priority="17597" operator="between">
      <formula>0.51</formula>
      <formula>0.75</formula>
    </cfRule>
    <cfRule type="cellIs" dxfId="12074" priority="17598" operator="greaterThan">
      <formula>1</formula>
    </cfRule>
    <cfRule type="cellIs" dxfId="12073" priority="17599" operator="between">
      <formula>0.95</formula>
      <formula>1</formula>
    </cfRule>
    <cfRule type="cellIs" dxfId="12072" priority="17600" stopIfTrue="1" operator="between">
      <formula>0</formula>
      <formula>0.5</formula>
    </cfRule>
  </conditionalFormatting>
  <conditionalFormatting sqref="R24:S27">
    <cfRule type="cellIs" dxfId="12071" priority="17591" operator="between">
      <formula>0.76</formula>
      <formula>0.95</formula>
    </cfRule>
    <cfRule type="cellIs" dxfId="12070" priority="17592" operator="between">
      <formula>0.51</formula>
      <formula>0.75</formula>
    </cfRule>
    <cfRule type="cellIs" dxfId="12069" priority="17593" operator="greaterThan">
      <formula>1</formula>
    </cfRule>
    <cfRule type="cellIs" dxfId="12068" priority="17594" operator="between">
      <formula>0.95</formula>
      <formula>1</formula>
    </cfRule>
    <cfRule type="cellIs" dxfId="12067" priority="17595" stopIfTrue="1" operator="between">
      <formula>0</formula>
      <formula>0.5</formula>
    </cfRule>
  </conditionalFormatting>
  <conditionalFormatting sqref="Y24:Y27">
    <cfRule type="cellIs" dxfId="12066" priority="17586" operator="between">
      <formula>0.76</formula>
      <formula>0.95</formula>
    </cfRule>
    <cfRule type="cellIs" dxfId="12065" priority="17587" operator="between">
      <formula>0.51</formula>
      <formula>0.75</formula>
    </cfRule>
    <cfRule type="cellIs" dxfId="12064" priority="17588" operator="greaterThan">
      <formula>1</formula>
    </cfRule>
    <cfRule type="cellIs" dxfId="12063" priority="17589" operator="between">
      <formula>0.95</formula>
      <formula>1</formula>
    </cfRule>
    <cfRule type="cellIs" dxfId="12062" priority="17590" stopIfTrue="1" operator="between">
      <formula>0</formula>
      <formula>0.5</formula>
    </cfRule>
  </conditionalFormatting>
  <conditionalFormatting sqref="AF24:AF27">
    <cfRule type="cellIs" dxfId="12061" priority="17581" operator="between">
      <formula>0.76</formula>
      <formula>0.95</formula>
    </cfRule>
    <cfRule type="cellIs" dxfId="12060" priority="17582" operator="between">
      <formula>0.51</formula>
      <formula>0.75</formula>
    </cfRule>
    <cfRule type="cellIs" dxfId="12059" priority="17583" operator="greaterThan">
      <formula>1</formula>
    </cfRule>
    <cfRule type="cellIs" dxfId="12058" priority="17584" operator="between">
      <formula>0.95</formula>
      <formula>1</formula>
    </cfRule>
    <cfRule type="cellIs" dxfId="12057" priority="17585" stopIfTrue="1" operator="between">
      <formula>0</formula>
      <formula>0.5</formula>
    </cfRule>
  </conditionalFormatting>
  <conditionalFormatting sqref="T24:T27">
    <cfRule type="cellIs" dxfId="12056" priority="17576" operator="between">
      <formula>0.3751</formula>
      <formula>0.475</formula>
    </cfRule>
    <cfRule type="cellIs" dxfId="12055" priority="17577" operator="between">
      <formula>0.2551</formula>
      <formula>0.375</formula>
    </cfRule>
    <cfRule type="cellIs" dxfId="12054" priority="17578" operator="greaterThan">
      <formula>0.505</formula>
    </cfRule>
    <cfRule type="cellIs" dxfId="12053" priority="17579" operator="between">
      <formula>0.48</formula>
      <formula>0.5</formula>
    </cfRule>
    <cfRule type="cellIs" dxfId="12052" priority="17580" stopIfTrue="1" operator="between">
      <formula>0</formula>
      <formula>0.255</formula>
    </cfRule>
  </conditionalFormatting>
  <conditionalFormatting sqref="AA24:AC27">
    <cfRule type="cellIs" dxfId="12051" priority="17571" operator="between">
      <formula>0.56251</formula>
      <formula>0.7125</formula>
    </cfRule>
    <cfRule type="cellIs" dxfId="12050" priority="17572" operator="between">
      <formula>0.3751</formula>
      <formula>0.5625</formula>
    </cfRule>
    <cfRule type="cellIs" dxfId="12049" priority="17573" operator="greaterThan">
      <formula>0.751</formula>
    </cfRule>
    <cfRule type="cellIs" dxfId="12048" priority="17574" operator="between">
      <formula>0.71251</formula>
      <formula>0.75</formula>
    </cfRule>
    <cfRule type="cellIs" dxfId="12047" priority="17575" stopIfTrue="1" operator="between">
      <formula>0</formula>
      <formula>0.375</formula>
    </cfRule>
  </conditionalFormatting>
  <conditionalFormatting sqref="AH24:AH27">
    <cfRule type="cellIs" dxfId="12046" priority="17566" operator="between">
      <formula>0.76</formula>
      <formula>0.95</formula>
    </cfRule>
    <cfRule type="cellIs" dxfId="12045" priority="17567" operator="between">
      <formula>0.51</formula>
      <formula>0.75</formula>
    </cfRule>
    <cfRule type="cellIs" dxfId="12044" priority="17568" operator="greaterThan">
      <formula>1</formula>
    </cfRule>
    <cfRule type="cellIs" dxfId="12043" priority="17569" operator="between">
      <formula>0.95</formula>
      <formula>1</formula>
    </cfRule>
    <cfRule type="cellIs" dxfId="12042" priority="17570" stopIfTrue="1" operator="between">
      <formula>0</formula>
      <formula>0.5</formula>
    </cfRule>
  </conditionalFormatting>
  <conditionalFormatting sqref="U24:V27">
    <cfRule type="cellIs" dxfId="12041" priority="17556" operator="between">
      <formula>0.376</formula>
      <formula>0.475</formula>
    </cfRule>
    <cfRule type="cellIs" dxfId="12040" priority="17557" operator="between">
      <formula>0.2551</formula>
      <formula>0.3751</formula>
    </cfRule>
    <cfRule type="cellIs" dxfId="12039" priority="17558" operator="greaterThan">
      <formula>0.505</formula>
    </cfRule>
    <cfRule type="cellIs" dxfId="12038" priority="17559" operator="between">
      <formula>0.48</formula>
      <formula>0.5</formula>
    </cfRule>
    <cfRule type="cellIs" dxfId="12037" priority="17560" stopIfTrue="1" operator="between">
      <formula>0</formula>
      <formula>0.255</formula>
    </cfRule>
  </conditionalFormatting>
  <conditionalFormatting sqref="AG147 AI147 S147 Z147">
    <cfRule type="cellIs" dxfId="12036" priority="17524" operator="between">
      <formula>0.76</formula>
      <formula>0.95</formula>
    </cfRule>
    <cfRule type="cellIs" dxfId="12035" priority="17525" operator="between">
      <formula>0.51</formula>
      <formula>0.75</formula>
    </cfRule>
    <cfRule type="cellIs" dxfId="12034" priority="17526" operator="greaterThan">
      <formula>1</formula>
    </cfRule>
    <cfRule type="cellIs" dxfId="12033" priority="17527" operator="between">
      <formula>0.95</formula>
      <formula>1</formula>
    </cfRule>
    <cfRule type="cellIs" dxfId="12032" priority="17528" stopIfTrue="1" operator="between">
      <formula>0</formula>
      <formula>0.5</formula>
    </cfRule>
  </conditionalFormatting>
  <conditionalFormatting sqref="R147">
    <cfRule type="cellIs" dxfId="12031" priority="17514" operator="between">
      <formula>0.76</formula>
      <formula>0.95</formula>
    </cfRule>
    <cfRule type="cellIs" dxfId="12030" priority="17515" operator="between">
      <formula>0.51</formula>
      <formula>0.75</formula>
    </cfRule>
    <cfRule type="cellIs" dxfId="12029" priority="17516" operator="greaterThan">
      <formula>1</formula>
    </cfRule>
    <cfRule type="cellIs" dxfId="12028" priority="17517" operator="between">
      <formula>0.95</formula>
      <formula>1</formula>
    </cfRule>
    <cfRule type="cellIs" dxfId="12027" priority="17518" stopIfTrue="1" operator="between">
      <formula>0</formula>
      <formula>0.5</formula>
    </cfRule>
  </conditionalFormatting>
  <conditionalFormatting sqref="Y147">
    <cfRule type="cellIs" dxfId="12026" priority="17509" operator="between">
      <formula>0.76</formula>
      <formula>0.95</formula>
    </cfRule>
    <cfRule type="cellIs" dxfId="12025" priority="17510" operator="between">
      <formula>0.51</formula>
      <formula>0.75</formula>
    </cfRule>
    <cfRule type="cellIs" dxfId="12024" priority="17511" operator="greaterThan">
      <formula>1</formula>
    </cfRule>
    <cfRule type="cellIs" dxfId="12023" priority="17512" operator="between">
      <formula>0.95</formula>
      <formula>1</formula>
    </cfRule>
    <cfRule type="cellIs" dxfId="12022" priority="17513" stopIfTrue="1" operator="between">
      <formula>0</formula>
      <formula>0.5</formula>
    </cfRule>
  </conditionalFormatting>
  <conditionalFormatting sqref="AF147">
    <cfRule type="cellIs" dxfId="12021" priority="17504" operator="between">
      <formula>0.76</formula>
      <formula>0.95</formula>
    </cfRule>
    <cfRule type="cellIs" dxfId="12020" priority="17505" operator="between">
      <formula>0.51</formula>
      <formula>0.75</formula>
    </cfRule>
    <cfRule type="cellIs" dxfId="12019" priority="17506" operator="greaterThan">
      <formula>1</formula>
    </cfRule>
    <cfRule type="cellIs" dxfId="12018" priority="17507" operator="between">
      <formula>0.95</formula>
      <formula>1</formula>
    </cfRule>
    <cfRule type="cellIs" dxfId="12017" priority="17508" stopIfTrue="1" operator="between">
      <formula>0</formula>
      <formula>0.5</formula>
    </cfRule>
  </conditionalFormatting>
  <conditionalFormatting sqref="AH147">
    <cfRule type="cellIs" dxfId="12016" priority="17499" operator="between">
      <formula>0.76</formula>
      <formula>0.95</formula>
    </cfRule>
    <cfRule type="cellIs" dxfId="12015" priority="17500" operator="between">
      <formula>0.51</formula>
      <formula>0.75</formula>
    </cfRule>
    <cfRule type="cellIs" dxfId="12014" priority="17501" operator="greaterThan">
      <formula>1</formula>
    </cfRule>
    <cfRule type="cellIs" dxfId="12013" priority="17502" operator="between">
      <formula>0.95</formula>
      <formula>1</formula>
    </cfRule>
    <cfRule type="cellIs" dxfId="12012" priority="17503" stopIfTrue="1" operator="between">
      <formula>0</formula>
      <formula>0.5</formula>
    </cfRule>
  </conditionalFormatting>
  <conditionalFormatting sqref="T147">
    <cfRule type="cellIs" dxfId="12011" priority="17484" operator="between">
      <formula>0.3751</formula>
      <formula>0.475</formula>
    </cfRule>
    <cfRule type="cellIs" dxfId="12010" priority="17485" operator="between">
      <formula>0.2551</formula>
      <formula>0.375</formula>
    </cfRule>
    <cfRule type="cellIs" dxfId="12009" priority="17486" operator="greaterThan">
      <formula>0.505</formula>
    </cfRule>
    <cfRule type="cellIs" dxfId="12008" priority="17487" operator="between">
      <formula>0.48</formula>
      <formula>0.5</formula>
    </cfRule>
    <cfRule type="cellIs" dxfId="12007" priority="17488" stopIfTrue="1" operator="between">
      <formula>0</formula>
      <formula>0.255</formula>
    </cfRule>
  </conditionalFormatting>
  <conditionalFormatting sqref="U147:V147">
    <cfRule type="cellIs" dxfId="12006" priority="17479" operator="between">
      <formula>0.376</formula>
      <formula>0.475</formula>
    </cfRule>
    <cfRule type="cellIs" dxfId="12005" priority="17480" operator="between">
      <formula>0.2551</formula>
      <formula>0.3751</formula>
    </cfRule>
    <cfRule type="cellIs" dxfId="12004" priority="17481" operator="greaterThan">
      <formula>0.505</formula>
    </cfRule>
    <cfRule type="cellIs" dxfId="12003" priority="17482" operator="between">
      <formula>0.48</formula>
      <formula>0.5</formula>
    </cfRule>
    <cfRule type="cellIs" dxfId="12002" priority="17483" stopIfTrue="1" operator="between">
      <formula>0</formula>
      <formula>0.255</formula>
    </cfRule>
  </conditionalFormatting>
  <conditionalFormatting sqref="AA147">
    <cfRule type="cellIs" dxfId="12001" priority="17474" operator="between">
      <formula>0.56251</formula>
      <formula>0.7125</formula>
    </cfRule>
    <cfRule type="cellIs" dxfId="12000" priority="17475" operator="between">
      <formula>0.3751</formula>
      <formula>0.5625</formula>
    </cfRule>
    <cfRule type="cellIs" dxfId="11999" priority="17476" operator="greaterThan">
      <formula>0.751</formula>
    </cfRule>
    <cfRule type="cellIs" dxfId="11998" priority="17477" operator="between">
      <formula>0.71251</formula>
      <formula>0.75</formula>
    </cfRule>
    <cfRule type="cellIs" dxfId="11997" priority="17478" stopIfTrue="1" operator="between">
      <formula>0</formula>
      <formula>0.375</formula>
    </cfRule>
  </conditionalFormatting>
  <conditionalFormatting sqref="AC147">
    <cfRule type="cellIs" dxfId="11996" priority="17469" operator="between">
      <formula>0.56251</formula>
      <formula>0.7125</formula>
    </cfRule>
    <cfRule type="cellIs" dxfId="11995" priority="17470" operator="between">
      <formula>0.3751</formula>
      <formula>0.5625</formula>
    </cfRule>
    <cfRule type="cellIs" dxfId="11994" priority="17471" operator="greaterThan">
      <formula>0.751</formula>
    </cfRule>
    <cfRule type="cellIs" dxfId="11993" priority="17472" operator="between">
      <formula>0.71251</formula>
      <formula>0.75</formula>
    </cfRule>
    <cfRule type="cellIs" dxfId="11992" priority="17473" stopIfTrue="1" operator="between">
      <formula>0</formula>
      <formula>0.375</formula>
    </cfRule>
  </conditionalFormatting>
  <conditionalFormatting sqref="AB147">
    <cfRule type="cellIs" dxfId="11991" priority="17464" operator="between">
      <formula>0.56251</formula>
      <formula>0.7125</formula>
    </cfRule>
    <cfRule type="cellIs" dxfId="11990" priority="17465" operator="between">
      <formula>0.3751</formula>
      <formula>0.5625</formula>
    </cfRule>
    <cfRule type="cellIs" dxfId="11989" priority="17466" operator="greaterThan">
      <formula>0.751</formula>
    </cfRule>
    <cfRule type="cellIs" dxfId="11988" priority="17467" operator="between">
      <formula>0.71251</formula>
      <formula>0.75</formula>
    </cfRule>
    <cfRule type="cellIs" dxfId="11987" priority="17468" stopIfTrue="1" operator="between">
      <formula>0</formula>
      <formula>0.375</formula>
    </cfRule>
  </conditionalFormatting>
  <conditionalFormatting sqref="AG148 AI148 S148 Z148">
    <cfRule type="cellIs" dxfId="11986" priority="17447" operator="between">
      <formula>0.76</formula>
      <formula>0.95</formula>
    </cfRule>
    <cfRule type="cellIs" dxfId="11985" priority="17448" operator="between">
      <formula>0.51</formula>
      <formula>0.75</formula>
    </cfRule>
    <cfRule type="cellIs" dxfId="11984" priority="17449" operator="greaterThan">
      <formula>1</formula>
    </cfRule>
    <cfRule type="cellIs" dxfId="11983" priority="17450" operator="between">
      <formula>0.95</formula>
      <formula>1</formula>
    </cfRule>
    <cfRule type="cellIs" dxfId="11982" priority="17451" stopIfTrue="1" operator="between">
      <formula>0</formula>
      <formula>0.5</formula>
    </cfRule>
  </conditionalFormatting>
  <conditionalFormatting sqref="R148">
    <cfRule type="cellIs" dxfId="11981" priority="17437" operator="between">
      <formula>0.76</formula>
      <formula>0.95</formula>
    </cfRule>
    <cfRule type="cellIs" dxfId="11980" priority="17438" operator="between">
      <formula>0.51</formula>
      <formula>0.75</formula>
    </cfRule>
    <cfRule type="cellIs" dxfId="11979" priority="17439" operator="greaterThan">
      <formula>1</formula>
    </cfRule>
    <cfRule type="cellIs" dxfId="11978" priority="17440" operator="between">
      <formula>0.95</formula>
      <formula>1</formula>
    </cfRule>
    <cfRule type="cellIs" dxfId="11977" priority="17441" stopIfTrue="1" operator="between">
      <formula>0</formula>
      <formula>0.5</formula>
    </cfRule>
  </conditionalFormatting>
  <conditionalFormatting sqref="Y148">
    <cfRule type="cellIs" dxfId="11976" priority="17432" operator="between">
      <formula>0.76</formula>
      <formula>0.95</formula>
    </cfRule>
    <cfRule type="cellIs" dxfId="11975" priority="17433" operator="between">
      <formula>0.51</formula>
      <formula>0.75</formula>
    </cfRule>
    <cfRule type="cellIs" dxfId="11974" priority="17434" operator="greaterThan">
      <formula>1</formula>
    </cfRule>
    <cfRule type="cellIs" dxfId="11973" priority="17435" operator="between">
      <formula>0.95</formula>
      <formula>1</formula>
    </cfRule>
    <cfRule type="cellIs" dxfId="11972" priority="17436" stopIfTrue="1" operator="between">
      <formula>0</formula>
      <formula>0.5</formula>
    </cfRule>
  </conditionalFormatting>
  <conditionalFormatting sqref="AF148">
    <cfRule type="cellIs" dxfId="11971" priority="17427" operator="between">
      <formula>0.76</formula>
      <formula>0.95</formula>
    </cfRule>
    <cfRule type="cellIs" dxfId="11970" priority="17428" operator="between">
      <formula>0.51</formula>
      <formula>0.75</formula>
    </cfRule>
    <cfRule type="cellIs" dxfId="11969" priority="17429" operator="greaterThan">
      <formula>1</formula>
    </cfRule>
    <cfRule type="cellIs" dxfId="11968" priority="17430" operator="between">
      <formula>0.95</formula>
      <formula>1</formula>
    </cfRule>
    <cfRule type="cellIs" dxfId="11967" priority="17431" stopIfTrue="1" operator="between">
      <formula>0</formula>
      <formula>0.5</formula>
    </cfRule>
  </conditionalFormatting>
  <conditionalFormatting sqref="AH148">
    <cfRule type="cellIs" dxfId="11966" priority="17422" operator="between">
      <formula>0.76</formula>
      <formula>0.95</formula>
    </cfRule>
    <cfRule type="cellIs" dxfId="11965" priority="17423" operator="between">
      <formula>0.51</formula>
      <formula>0.75</formula>
    </cfRule>
    <cfRule type="cellIs" dxfId="11964" priority="17424" operator="greaterThan">
      <formula>1</formula>
    </cfRule>
    <cfRule type="cellIs" dxfId="11963" priority="17425" operator="between">
      <formula>0.95</formula>
      <formula>1</formula>
    </cfRule>
    <cfRule type="cellIs" dxfId="11962" priority="17426" stopIfTrue="1" operator="between">
      <formula>0</formula>
      <formula>0.5</formula>
    </cfRule>
  </conditionalFormatting>
  <conditionalFormatting sqref="T148">
    <cfRule type="cellIs" dxfId="11961" priority="17407" operator="between">
      <formula>0.3751</formula>
      <formula>0.475</formula>
    </cfRule>
    <cfRule type="cellIs" dxfId="11960" priority="17408" operator="between">
      <formula>0.2551</formula>
      <formula>0.375</formula>
    </cfRule>
    <cfRule type="cellIs" dxfId="11959" priority="17409" operator="greaterThan">
      <formula>0.505</formula>
    </cfRule>
    <cfRule type="cellIs" dxfId="11958" priority="17410" operator="between">
      <formula>0.48</formula>
      <formula>0.5</formula>
    </cfRule>
    <cfRule type="cellIs" dxfId="11957" priority="17411" stopIfTrue="1" operator="between">
      <formula>0</formula>
      <formula>0.255</formula>
    </cfRule>
  </conditionalFormatting>
  <conditionalFormatting sqref="U148:V148">
    <cfRule type="cellIs" dxfId="11956" priority="17402" operator="between">
      <formula>0.376</formula>
      <formula>0.475</formula>
    </cfRule>
    <cfRule type="cellIs" dxfId="11955" priority="17403" operator="between">
      <formula>0.2551</formula>
      <formula>0.3751</formula>
    </cfRule>
    <cfRule type="cellIs" dxfId="11954" priority="17404" operator="greaterThan">
      <formula>0.505</formula>
    </cfRule>
    <cfRule type="cellIs" dxfId="11953" priority="17405" operator="between">
      <formula>0.48</formula>
      <formula>0.5</formula>
    </cfRule>
    <cfRule type="cellIs" dxfId="11952" priority="17406" stopIfTrue="1" operator="between">
      <formula>0</formula>
      <formula>0.255</formula>
    </cfRule>
  </conditionalFormatting>
  <conditionalFormatting sqref="AA148">
    <cfRule type="cellIs" dxfId="11951" priority="17397" operator="between">
      <formula>0.56251</formula>
      <formula>0.7125</formula>
    </cfRule>
    <cfRule type="cellIs" dxfId="11950" priority="17398" operator="between">
      <formula>0.3751</formula>
      <formula>0.5625</formula>
    </cfRule>
    <cfRule type="cellIs" dxfId="11949" priority="17399" operator="greaterThan">
      <formula>0.751</formula>
    </cfRule>
    <cfRule type="cellIs" dxfId="11948" priority="17400" operator="between">
      <formula>0.71251</formula>
      <formula>0.75</formula>
    </cfRule>
    <cfRule type="cellIs" dxfId="11947" priority="17401" stopIfTrue="1" operator="between">
      <formula>0</formula>
      <formula>0.375</formula>
    </cfRule>
  </conditionalFormatting>
  <conditionalFormatting sqref="AC148">
    <cfRule type="cellIs" dxfId="11946" priority="17392" operator="between">
      <formula>0.56251</formula>
      <formula>0.7125</formula>
    </cfRule>
    <cfRule type="cellIs" dxfId="11945" priority="17393" operator="between">
      <formula>0.3751</formula>
      <formula>0.5625</formula>
    </cfRule>
    <cfRule type="cellIs" dxfId="11944" priority="17394" operator="greaterThan">
      <formula>0.751</formula>
    </cfRule>
    <cfRule type="cellIs" dxfId="11943" priority="17395" operator="between">
      <formula>0.71251</formula>
      <formula>0.75</formula>
    </cfRule>
    <cfRule type="cellIs" dxfId="11942" priority="17396" stopIfTrue="1" operator="between">
      <formula>0</formula>
      <formula>0.375</formula>
    </cfRule>
  </conditionalFormatting>
  <conditionalFormatting sqref="AB148">
    <cfRule type="cellIs" dxfId="11941" priority="17387" operator="between">
      <formula>0.56251</formula>
      <formula>0.7125</formula>
    </cfRule>
    <cfRule type="cellIs" dxfId="11940" priority="17388" operator="between">
      <formula>0.3751</formula>
      <formula>0.5625</formula>
    </cfRule>
    <cfRule type="cellIs" dxfId="11939" priority="17389" operator="greaterThan">
      <formula>0.751</formula>
    </cfRule>
    <cfRule type="cellIs" dxfId="11938" priority="17390" operator="between">
      <formula>0.71251</formula>
      <formula>0.75</formula>
    </cfRule>
    <cfRule type="cellIs" dxfId="11937" priority="17391" stopIfTrue="1" operator="between">
      <formula>0</formula>
      <formula>0.375</formula>
    </cfRule>
  </conditionalFormatting>
  <conditionalFormatting sqref="AG149 AI149 S149 Z149">
    <cfRule type="cellIs" dxfId="11936" priority="17370" operator="between">
      <formula>0.76</formula>
      <formula>0.95</formula>
    </cfRule>
    <cfRule type="cellIs" dxfId="11935" priority="17371" operator="between">
      <formula>0.51</formula>
      <formula>0.75</formula>
    </cfRule>
    <cfRule type="cellIs" dxfId="11934" priority="17372" operator="greaterThan">
      <formula>1</formula>
    </cfRule>
    <cfRule type="cellIs" dxfId="11933" priority="17373" operator="between">
      <formula>0.95</formula>
      <formula>1</formula>
    </cfRule>
    <cfRule type="cellIs" dxfId="11932" priority="17374" stopIfTrue="1" operator="between">
      <formula>0</formula>
      <formula>0.5</formula>
    </cfRule>
  </conditionalFormatting>
  <conditionalFormatting sqref="R149">
    <cfRule type="cellIs" dxfId="11931" priority="17360" operator="between">
      <formula>0.76</formula>
      <formula>0.95</formula>
    </cfRule>
    <cfRule type="cellIs" dxfId="11930" priority="17361" operator="between">
      <formula>0.51</formula>
      <formula>0.75</formula>
    </cfRule>
    <cfRule type="cellIs" dxfId="11929" priority="17362" operator="greaterThan">
      <formula>1</formula>
    </cfRule>
    <cfRule type="cellIs" dxfId="11928" priority="17363" operator="between">
      <formula>0.95</formula>
      <formula>1</formula>
    </cfRule>
    <cfRule type="cellIs" dxfId="11927" priority="17364" stopIfTrue="1" operator="between">
      <formula>0</formula>
      <formula>0.5</formula>
    </cfRule>
  </conditionalFormatting>
  <conditionalFormatting sqref="Y149">
    <cfRule type="cellIs" dxfId="11926" priority="17355" operator="between">
      <formula>0.76</formula>
      <formula>0.95</formula>
    </cfRule>
    <cfRule type="cellIs" dxfId="11925" priority="17356" operator="between">
      <formula>0.51</formula>
      <formula>0.75</formula>
    </cfRule>
    <cfRule type="cellIs" dxfId="11924" priority="17357" operator="greaterThan">
      <formula>1</formula>
    </cfRule>
    <cfRule type="cellIs" dxfId="11923" priority="17358" operator="between">
      <formula>0.95</formula>
      <formula>1</formula>
    </cfRule>
    <cfRule type="cellIs" dxfId="11922" priority="17359" stopIfTrue="1" operator="between">
      <formula>0</formula>
      <formula>0.5</formula>
    </cfRule>
  </conditionalFormatting>
  <conditionalFormatting sqref="AF149">
    <cfRule type="cellIs" dxfId="11921" priority="17350" operator="between">
      <formula>0.76</formula>
      <formula>0.95</formula>
    </cfRule>
    <cfRule type="cellIs" dxfId="11920" priority="17351" operator="between">
      <formula>0.51</formula>
      <formula>0.75</formula>
    </cfRule>
    <cfRule type="cellIs" dxfId="11919" priority="17352" operator="greaterThan">
      <formula>1</formula>
    </cfRule>
    <cfRule type="cellIs" dxfId="11918" priority="17353" operator="between">
      <formula>0.95</formula>
      <formula>1</formula>
    </cfRule>
    <cfRule type="cellIs" dxfId="11917" priority="17354" stopIfTrue="1" operator="between">
      <formula>0</formula>
      <formula>0.5</formula>
    </cfRule>
  </conditionalFormatting>
  <conditionalFormatting sqref="AH149">
    <cfRule type="cellIs" dxfId="11916" priority="17345" operator="between">
      <formula>0.76</formula>
      <formula>0.95</formula>
    </cfRule>
    <cfRule type="cellIs" dxfId="11915" priority="17346" operator="between">
      <formula>0.51</formula>
      <formula>0.75</formula>
    </cfRule>
    <cfRule type="cellIs" dxfId="11914" priority="17347" operator="greaterThan">
      <formula>1</formula>
    </cfRule>
    <cfRule type="cellIs" dxfId="11913" priority="17348" operator="between">
      <formula>0.95</formula>
      <formula>1</formula>
    </cfRule>
    <cfRule type="cellIs" dxfId="11912" priority="17349" stopIfTrue="1" operator="between">
      <formula>0</formula>
      <formula>0.5</formula>
    </cfRule>
  </conditionalFormatting>
  <conditionalFormatting sqref="T149">
    <cfRule type="cellIs" dxfId="11911" priority="17330" operator="between">
      <formula>0.3751</formula>
      <formula>0.475</formula>
    </cfRule>
    <cfRule type="cellIs" dxfId="11910" priority="17331" operator="between">
      <formula>0.2551</formula>
      <formula>0.375</formula>
    </cfRule>
    <cfRule type="cellIs" dxfId="11909" priority="17332" operator="greaterThan">
      <formula>0.505</formula>
    </cfRule>
    <cfRule type="cellIs" dxfId="11908" priority="17333" operator="between">
      <formula>0.48</formula>
      <formula>0.5</formula>
    </cfRule>
    <cfRule type="cellIs" dxfId="11907" priority="17334" stopIfTrue="1" operator="between">
      <formula>0</formula>
      <formula>0.255</formula>
    </cfRule>
  </conditionalFormatting>
  <conditionalFormatting sqref="U149:V149">
    <cfRule type="cellIs" dxfId="11906" priority="17325" operator="between">
      <formula>0.376</formula>
      <formula>0.475</formula>
    </cfRule>
    <cfRule type="cellIs" dxfId="11905" priority="17326" operator="between">
      <formula>0.2551</formula>
      <formula>0.3751</formula>
    </cfRule>
    <cfRule type="cellIs" dxfId="11904" priority="17327" operator="greaterThan">
      <formula>0.505</formula>
    </cfRule>
    <cfRule type="cellIs" dxfId="11903" priority="17328" operator="between">
      <formula>0.48</formula>
      <formula>0.5</formula>
    </cfRule>
    <cfRule type="cellIs" dxfId="11902" priority="17329" stopIfTrue="1" operator="between">
      <formula>0</formula>
      <formula>0.255</formula>
    </cfRule>
  </conditionalFormatting>
  <conditionalFormatting sqref="AA149">
    <cfRule type="cellIs" dxfId="11901" priority="17320" operator="between">
      <formula>0.56251</formula>
      <formula>0.7125</formula>
    </cfRule>
    <cfRule type="cellIs" dxfId="11900" priority="17321" operator="between">
      <formula>0.3751</formula>
      <formula>0.5625</formula>
    </cfRule>
    <cfRule type="cellIs" dxfId="11899" priority="17322" operator="greaterThan">
      <formula>0.751</formula>
    </cfRule>
    <cfRule type="cellIs" dxfId="11898" priority="17323" operator="between">
      <formula>0.71251</formula>
      <formula>0.75</formula>
    </cfRule>
    <cfRule type="cellIs" dxfId="11897" priority="17324" stopIfTrue="1" operator="between">
      <formula>0</formula>
      <formula>0.375</formula>
    </cfRule>
  </conditionalFormatting>
  <conditionalFormatting sqref="AC149">
    <cfRule type="cellIs" dxfId="11896" priority="17315" operator="between">
      <formula>0.56251</formula>
      <formula>0.7125</formula>
    </cfRule>
    <cfRule type="cellIs" dxfId="11895" priority="17316" operator="between">
      <formula>0.3751</formula>
      <formula>0.5625</formula>
    </cfRule>
    <cfRule type="cellIs" dxfId="11894" priority="17317" operator="greaterThan">
      <formula>0.751</formula>
    </cfRule>
    <cfRule type="cellIs" dxfId="11893" priority="17318" operator="between">
      <formula>0.71251</formula>
      <formula>0.75</formula>
    </cfRule>
    <cfRule type="cellIs" dxfId="11892" priority="17319" stopIfTrue="1" operator="between">
      <formula>0</formula>
      <formula>0.375</formula>
    </cfRule>
  </conditionalFormatting>
  <conditionalFormatting sqref="AB149">
    <cfRule type="cellIs" dxfId="11891" priority="17310" operator="between">
      <formula>0.56251</formula>
      <formula>0.7125</formula>
    </cfRule>
    <cfRule type="cellIs" dxfId="11890" priority="17311" operator="between">
      <formula>0.3751</formula>
      <formula>0.5625</formula>
    </cfRule>
    <cfRule type="cellIs" dxfId="11889" priority="17312" operator="greaterThan">
      <formula>0.751</formula>
    </cfRule>
    <cfRule type="cellIs" dxfId="11888" priority="17313" operator="between">
      <formula>0.71251</formula>
      <formula>0.75</formula>
    </cfRule>
    <cfRule type="cellIs" dxfId="11887" priority="17314" stopIfTrue="1" operator="between">
      <formula>0</formula>
      <formula>0.375</formula>
    </cfRule>
  </conditionalFormatting>
  <conditionalFormatting sqref="AG150:AG152 AI150:AI152 S150:S152 Z150:Z152">
    <cfRule type="cellIs" dxfId="11886" priority="17293" operator="between">
      <formula>0.76</formula>
      <formula>0.95</formula>
    </cfRule>
    <cfRule type="cellIs" dxfId="11885" priority="17294" operator="between">
      <formula>0.51</formula>
      <formula>0.75</formula>
    </cfRule>
    <cfRule type="cellIs" dxfId="11884" priority="17295" operator="greaterThan">
      <formula>1</formula>
    </cfRule>
    <cfRule type="cellIs" dxfId="11883" priority="17296" operator="between">
      <formula>0.95</formula>
      <formula>1</formula>
    </cfRule>
    <cfRule type="cellIs" dxfId="11882" priority="17297" stopIfTrue="1" operator="between">
      <formula>0</formula>
      <formula>0.5</formula>
    </cfRule>
  </conditionalFormatting>
  <conditionalFormatting sqref="R150:R152">
    <cfRule type="cellIs" dxfId="11881" priority="17283" operator="between">
      <formula>0.76</formula>
      <formula>0.95</formula>
    </cfRule>
    <cfRule type="cellIs" dxfId="11880" priority="17284" operator="between">
      <formula>0.51</formula>
      <formula>0.75</formula>
    </cfRule>
    <cfRule type="cellIs" dxfId="11879" priority="17285" operator="greaterThan">
      <formula>1</formula>
    </cfRule>
    <cfRule type="cellIs" dxfId="11878" priority="17286" operator="between">
      <formula>0.95</formula>
      <formula>1</formula>
    </cfRule>
    <cfRule type="cellIs" dxfId="11877" priority="17287" stopIfTrue="1" operator="between">
      <formula>0</formula>
      <formula>0.5</formula>
    </cfRule>
  </conditionalFormatting>
  <conditionalFormatting sqref="Y150:Y152">
    <cfRule type="cellIs" dxfId="11876" priority="17278" operator="between">
      <formula>0.76</formula>
      <formula>0.95</formula>
    </cfRule>
    <cfRule type="cellIs" dxfId="11875" priority="17279" operator="between">
      <formula>0.51</formula>
      <formula>0.75</formula>
    </cfRule>
    <cfRule type="cellIs" dxfId="11874" priority="17280" operator="greaterThan">
      <formula>1</formula>
    </cfRule>
    <cfRule type="cellIs" dxfId="11873" priority="17281" operator="between">
      <formula>0.95</formula>
      <formula>1</formula>
    </cfRule>
    <cfRule type="cellIs" dxfId="11872" priority="17282" stopIfTrue="1" operator="between">
      <formula>0</formula>
      <formula>0.5</formula>
    </cfRule>
  </conditionalFormatting>
  <conditionalFormatting sqref="AF150:AF152">
    <cfRule type="cellIs" dxfId="11871" priority="17273" operator="between">
      <formula>0.76</formula>
      <formula>0.95</formula>
    </cfRule>
    <cfRule type="cellIs" dxfId="11870" priority="17274" operator="between">
      <formula>0.51</formula>
      <formula>0.75</formula>
    </cfRule>
    <cfRule type="cellIs" dxfId="11869" priority="17275" operator="greaterThan">
      <formula>1</formula>
    </cfRule>
    <cfRule type="cellIs" dxfId="11868" priority="17276" operator="between">
      <formula>0.95</formula>
      <formula>1</formula>
    </cfRule>
    <cfRule type="cellIs" dxfId="11867" priority="17277" stopIfTrue="1" operator="between">
      <formula>0</formula>
      <formula>0.5</formula>
    </cfRule>
  </conditionalFormatting>
  <conditionalFormatting sqref="AH150:AH152">
    <cfRule type="cellIs" dxfId="11866" priority="17268" operator="between">
      <formula>0.76</formula>
      <formula>0.95</formula>
    </cfRule>
    <cfRule type="cellIs" dxfId="11865" priority="17269" operator="between">
      <formula>0.51</formula>
      <formula>0.75</formula>
    </cfRule>
    <cfRule type="cellIs" dxfId="11864" priority="17270" operator="greaterThan">
      <formula>1</formula>
    </cfRule>
    <cfRule type="cellIs" dxfId="11863" priority="17271" operator="between">
      <formula>0.95</formula>
      <formula>1</formula>
    </cfRule>
    <cfRule type="cellIs" dxfId="11862" priority="17272" stopIfTrue="1" operator="between">
      <formula>0</formula>
      <formula>0.5</formula>
    </cfRule>
  </conditionalFormatting>
  <conditionalFormatting sqref="T150:T152">
    <cfRule type="cellIs" dxfId="11861" priority="17253" operator="between">
      <formula>0.3751</formula>
      <formula>0.475</formula>
    </cfRule>
    <cfRule type="cellIs" dxfId="11860" priority="17254" operator="between">
      <formula>0.2551</formula>
      <formula>0.375</formula>
    </cfRule>
    <cfRule type="cellIs" dxfId="11859" priority="17255" operator="greaterThan">
      <formula>0.505</formula>
    </cfRule>
    <cfRule type="cellIs" dxfId="11858" priority="17256" operator="between">
      <formula>0.48</formula>
      <formula>0.5</formula>
    </cfRule>
    <cfRule type="cellIs" dxfId="11857" priority="17257" stopIfTrue="1" operator="between">
      <formula>0</formula>
      <formula>0.255</formula>
    </cfRule>
  </conditionalFormatting>
  <conditionalFormatting sqref="U150:V152">
    <cfRule type="cellIs" dxfId="11856" priority="17248" operator="between">
      <formula>0.376</formula>
      <formula>0.475</formula>
    </cfRule>
    <cfRule type="cellIs" dxfId="11855" priority="17249" operator="between">
      <formula>0.2551</formula>
      <formula>0.3751</formula>
    </cfRule>
    <cfRule type="cellIs" dxfId="11854" priority="17250" operator="greaterThan">
      <formula>0.505</formula>
    </cfRule>
    <cfRule type="cellIs" dxfId="11853" priority="17251" operator="between">
      <formula>0.48</formula>
      <formula>0.5</formula>
    </cfRule>
    <cfRule type="cellIs" dxfId="11852" priority="17252" stopIfTrue="1" operator="between">
      <formula>0</formula>
      <formula>0.255</formula>
    </cfRule>
  </conditionalFormatting>
  <conditionalFormatting sqref="AA150:AA152">
    <cfRule type="cellIs" dxfId="11851" priority="17243" operator="between">
      <formula>0.56251</formula>
      <formula>0.7125</formula>
    </cfRule>
    <cfRule type="cellIs" dxfId="11850" priority="17244" operator="between">
      <formula>0.3751</formula>
      <formula>0.5625</formula>
    </cfRule>
    <cfRule type="cellIs" dxfId="11849" priority="17245" operator="greaterThan">
      <formula>0.751</formula>
    </cfRule>
    <cfRule type="cellIs" dxfId="11848" priority="17246" operator="between">
      <formula>0.71251</formula>
      <formula>0.75</formula>
    </cfRule>
    <cfRule type="cellIs" dxfId="11847" priority="17247" stopIfTrue="1" operator="between">
      <formula>0</formula>
      <formula>0.375</formula>
    </cfRule>
  </conditionalFormatting>
  <conditionalFormatting sqref="AC150:AC152">
    <cfRule type="cellIs" dxfId="11846" priority="17238" operator="between">
      <formula>0.56251</formula>
      <formula>0.7125</formula>
    </cfRule>
    <cfRule type="cellIs" dxfId="11845" priority="17239" operator="between">
      <formula>0.3751</formula>
      <formula>0.5625</formula>
    </cfRule>
    <cfRule type="cellIs" dxfId="11844" priority="17240" operator="greaterThan">
      <formula>0.751</formula>
    </cfRule>
    <cfRule type="cellIs" dxfId="11843" priority="17241" operator="between">
      <formula>0.71251</formula>
      <formula>0.75</formula>
    </cfRule>
    <cfRule type="cellIs" dxfId="11842" priority="17242" stopIfTrue="1" operator="between">
      <formula>0</formula>
      <formula>0.375</formula>
    </cfRule>
  </conditionalFormatting>
  <conditionalFormatting sqref="AB150:AB152">
    <cfRule type="cellIs" dxfId="11841" priority="17233" operator="between">
      <formula>0.56251</formula>
      <formula>0.7125</formula>
    </cfRule>
    <cfRule type="cellIs" dxfId="11840" priority="17234" operator="between">
      <formula>0.3751</formula>
      <formula>0.5625</formula>
    </cfRule>
    <cfRule type="cellIs" dxfId="11839" priority="17235" operator="greaterThan">
      <formula>0.751</formula>
    </cfRule>
    <cfRule type="cellIs" dxfId="11838" priority="17236" operator="between">
      <formula>0.71251</formula>
      <formula>0.75</formula>
    </cfRule>
    <cfRule type="cellIs" dxfId="11837" priority="17237" stopIfTrue="1" operator="between">
      <formula>0</formula>
      <formula>0.375</formula>
    </cfRule>
  </conditionalFormatting>
  <conditionalFormatting sqref="S212">
    <cfRule type="cellIs" dxfId="11836" priority="17206" operator="between">
      <formula>0.76</formula>
      <formula>0.95</formula>
    </cfRule>
    <cfRule type="cellIs" dxfId="11835" priority="17207" operator="between">
      <formula>0.51</formula>
      <formula>0.75</formula>
    </cfRule>
    <cfRule type="cellIs" dxfId="11834" priority="17208" operator="greaterThan">
      <formula>1</formula>
    </cfRule>
    <cfRule type="cellIs" dxfId="11833" priority="17209" operator="between">
      <formula>0.95</formula>
      <formula>1</formula>
    </cfRule>
    <cfRule type="cellIs" dxfId="11832" priority="17210" stopIfTrue="1" operator="between">
      <formula>0</formula>
      <formula>0.5</formula>
    </cfRule>
  </conditionalFormatting>
  <conditionalFormatting sqref="R212">
    <cfRule type="cellIs" dxfId="11831" priority="17201" operator="between">
      <formula>0.76</formula>
      <formula>0.95</formula>
    </cfRule>
    <cfRule type="cellIs" dxfId="11830" priority="17202" operator="between">
      <formula>0.51</formula>
      <formula>0.75</formula>
    </cfRule>
    <cfRule type="cellIs" dxfId="11829" priority="17203" operator="greaterThan">
      <formula>1</formula>
    </cfRule>
    <cfRule type="cellIs" dxfId="11828" priority="17204" operator="between">
      <formula>0.95</formula>
      <formula>1</formula>
    </cfRule>
    <cfRule type="cellIs" dxfId="11827" priority="17205" stopIfTrue="1" operator="between">
      <formula>0</formula>
      <formula>0.5</formula>
    </cfRule>
  </conditionalFormatting>
  <conditionalFormatting sqref="Y212">
    <cfRule type="cellIs" dxfId="11826" priority="17196" operator="between">
      <formula>0.76</formula>
      <formula>0.95</formula>
    </cfRule>
    <cfRule type="cellIs" dxfId="11825" priority="17197" operator="between">
      <formula>0.51</formula>
      <formula>0.75</formula>
    </cfRule>
    <cfRule type="cellIs" dxfId="11824" priority="17198" operator="greaterThan">
      <formula>1</formula>
    </cfRule>
    <cfRule type="cellIs" dxfId="11823" priority="17199" operator="between">
      <formula>0.95</formula>
      <formula>1</formula>
    </cfRule>
    <cfRule type="cellIs" dxfId="11822" priority="17200" stopIfTrue="1" operator="between">
      <formula>0</formula>
      <formula>0.5</formula>
    </cfRule>
  </conditionalFormatting>
  <conditionalFormatting sqref="AF212">
    <cfRule type="cellIs" dxfId="11821" priority="17191" operator="between">
      <formula>0.76</formula>
      <formula>0.95</formula>
    </cfRule>
    <cfRule type="cellIs" dxfId="11820" priority="17192" operator="between">
      <formula>0.51</formula>
      <formula>0.75</formula>
    </cfRule>
    <cfRule type="cellIs" dxfId="11819" priority="17193" operator="greaterThan">
      <formula>1</formula>
    </cfRule>
    <cfRule type="cellIs" dxfId="11818" priority="17194" operator="between">
      <formula>0.95</formula>
      <formula>1</formula>
    </cfRule>
    <cfRule type="cellIs" dxfId="11817" priority="17195" stopIfTrue="1" operator="between">
      <formula>0</formula>
      <formula>0.5</formula>
    </cfRule>
  </conditionalFormatting>
  <conditionalFormatting sqref="AH212">
    <cfRule type="cellIs" dxfId="11816" priority="17186" operator="between">
      <formula>0.76</formula>
      <formula>0.95</formula>
    </cfRule>
    <cfRule type="cellIs" dxfId="11815" priority="17187" operator="between">
      <formula>0.51</formula>
      <formula>0.75</formula>
    </cfRule>
    <cfRule type="cellIs" dxfId="11814" priority="17188" operator="greaterThan">
      <formula>1</formula>
    </cfRule>
    <cfRule type="cellIs" dxfId="11813" priority="17189" operator="between">
      <formula>0.95</formula>
      <formula>1</formula>
    </cfRule>
    <cfRule type="cellIs" dxfId="11812" priority="17190" stopIfTrue="1" operator="between">
      <formula>0</formula>
      <formula>0.5</formula>
    </cfRule>
  </conditionalFormatting>
  <conditionalFormatting sqref="T212">
    <cfRule type="cellIs" dxfId="11811" priority="17171" operator="between">
      <formula>0.3751</formula>
      <formula>0.475</formula>
    </cfRule>
    <cfRule type="cellIs" dxfId="11810" priority="17172" operator="between">
      <formula>0.2551</formula>
      <formula>0.375</formula>
    </cfRule>
    <cfRule type="cellIs" dxfId="11809" priority="17173" operator="greaterThan">
      <formula>0.505</formula>
    </cfRule>
    <cfRule type="cellIs" dxfId="11808" priority="17174" operator="between">
      <formula>0.48</formula>
      <formula>0.5</formula>
    </cfRule>
    <cfRule type="cellIs" dxfId="11807" priority="17175" stopIfTrue="1" operator="between">
      <formula>0</formula>
      <formula>0.255</formula>
    </cfRule>
  </conditionalFormatting>
  <conditionalFormatting sqref="U212:V212">
    <cfRule type="cellIs" dxfId="11806" priority="17166" operator="between">
      <formula>0.376</formula>
      <formula>0.475</formula>
    </cfRule>
    <cfRule type="cellIs" dxfId="11805" priority="17167" operator="between">
      <formula>0.2551</formula>
      <formula>0.3751</formula>
    </cfRule>
    <cfRule type="cellIs" dxfId="11804" priority="17168" operator="greaterThan">
      <formula>0.505</formula>
    </cfRule>
    <cfRule type="cellIs" dxfId="11803" priority="17169" operator="between">
      <formula>0.48</formula>
      <formula>0.5</formula>
    </cfRule>
    <cfRule type="cellIs" dxfId="11802" priority="17170" stopIfTrue="1" operator="between">
      <formula>0</formula>
      <formula>0.255</formula>
    </cfRule>
  </conditionalFormatting>
  <conditionalFormatting sqref="Z212">
    <cfRule type="cellIs" dxfId="11801" priority="17161" operator="between">
      <formula>0.76</formula>
      <formula>0.95</formula>
    </cfRule>
    <cfRule type="cellIs" dxfId="11800" priority="17162" operator="between">
      <formula>0.51</formula>
      <formula>0.75</formula>
    </cfRule>
    <cfRule type="cellIs" dxfId="11799" priority="17163" operator="greaterThan">
      <formula>1</formula>
    </cfRule>
    <cfRule type="cellIs" dxfId="11798" priority="17164" operator="between">
      <formula>0.95</formula>
      <formula>1</formula>
    </cfRule>
    <cfRule type="cellIs" dxfId="11797" priority="17165" stopIfTrue="1" operator="between">
      <formula>0</formula>
      <formula>0.5</formula>
    </cfRule>
  </conditionalFormatting>
  <conditionalFormatting sqref="AG212">
    <cfRule type="cellIs" dxfId="11796" priority="17156" operator="between">
      <formula>0.76</formula>
      <formula>0.95</formula>
    </cfRule>
    <cfRule type="cellIs" dxfId="11795" priority="17157" operator="between">
      <formula>0.51</formula>
      <formula>0.75</formula>
    </cfRule>
    <cfRule type="cellIs" dxfId="11794" priority="17158" operator="greaterThan">
      <formula>1</formula>
    </cfRule>
    <cfRule type="cellIs" dxfId="11793" priority="17159" operator="between">
      <formula>0.95</formula>
      <formula>1</formula>
    </cfRule>
    <cfRule type="cellIs" dxfId="11792" priority="17160" stopIfTrue="1" operator="between">
      <formula>0</formula>
      <formula>0.5</formula>
    </cfRule>
  </conditionalFormatting>
  <conditionalFormatting sqref="AI212">
    <cfRule type="cellIs" dxfId="11791" priority="17151" operator="between">
      <formula>0.76</formula>
      <formula>0.95</formula>
    </cfRule>
    <cfRule type="cellIs" dxfId="11790" priority="17152" operator="between">
      <formula>0.51</formula>
      <formula>0.75</formula>
    </cfRule>
    <cfRule type="cellIs" dxfId="11789" priority="17153" operator="greaterThan">
      <formula>1</formula>
    </cfRule>
    <cfRule type="cellIs" dxfId="11788" priority="17154" operator="between">
      <formula>0.95</formula>
      <formula>1</formula>
    </cfRule>
    <cfRule type="cellIs" dxfId="11787" priority="17155" stopIfTrue="1" operator="between">
      <formula>0</formula>
      <formula>0.5</formula>
    </cfRule>
  </conditionalFormatting>
  <conditionalFormatting sqref="AA212">
    <cfRule type="cellIs" dxfId="11786" priority="17146" operator="between">
      <formula>0.56251</formula>
      <formula>0.7125</formula>
    </cfRule>
    <cfRule type="cellIs" dxfId="11785" priority="17147" operator="between">
      <formula>0.3751</formula>
      <formula>0.5625</formula>
    </cfRule>
    <cfRule type="cellIs" dxfId="11784" priority="17148" operator="greaterThan">
      <formula>0.751</formula>
    </cfRule>
    <cfRule type="cellIs" dxfId="11783" priority="17149" operator="between">
      <formula>0.71251</formula>
      <formula>0.75</formula>
    </cfRule>
    <cfRule type="cellIs" dxfId="11782" priority="17150" stopIfTrue="1" operator="between">
      <formula>0</formula>
      <formula>0.375</formula>
    </cfRule>
  </conditionalFormatting>
  <conditionalFormatting sqref="AC212">
    <cfRule type="cellIs" dxfId="11781" priority="17141" operator="between">
      <formula>0.56251</formula>
      <formula>0.7125</formula>
    </cfRule>
    <cfRule type="cellIs" dxfId="11780" priority="17142" operator="between">
      <formula>0.3751</formula>
      <formula>0.5625</formula>
    </cfRule>
    <cfRule type="cellIs" dxfId="11779" priority="17143" operator="greaterThan">
      <formula>0.751</formula>
    </cfRule>
    <cfRule type="cellIs" dxfId="11778" priority="17144" operator="between">
      <formula>0.71251</formula>
      <formula>0.75</formula>
    </cfRule>
    <cfRule type="cellIs" dxfId="11777" priority="17145" stopIfTrue="1" operator="between">
      <formula>0</formula>
      <formula>0.375</formula>
    </cfRule>
  </conditionalFormatting>
  <conditionalFormatting sqref="AB212">
    <cfRule type="cellIs" dxfId="11776" priority="17136" operator="between">
      <formula>0.56251</formula>
      <formula>0.7125</formula>
    </cfRule>
    <cfRule type="cellIs" dxfId="11775" priority="17137" operator="between">
      <formula>0.3751</formula>
      <formula>0.5625</formula>
    </cfRule>
    <cfRule type="cellIs" dxfId="11774" priority="17138" operator="greaterThan">
      <formula>0.751</formula>
    </cfRule>
    <cfRule type="cellIs" dxfId="11773" priority="17139" operator="between">
      <formula>0.71251</formula>
      <formula>0.75</formula>
    </cfRule>
    <cfRule type="cellIs" dxfId="11772" priority="17140" stopIfTrue="1" operator="between">
      <formula>0</formula>
      <formula>0.375</formula>
    </cfRule>
  </conditionalFormatting>
  <conditionalFormatting sqref="S213">
    <cfRule type="cellIs" dxfId="11771" priority="17109" operator="between">
      <formula>0.76</formula>
      <formula>0.95</formula>
    </cfRule>
    <cfRule type="cellIs" dxfId="11770" priority="17110" operator="between">
      <formula>0.51</formula>
      <formula>0.75</formula>
    </cfRule>
    <cfRule type="cellIs" dxfId="11769" priority="17111" operator="greaterThan">
      <formula>1</formula>
    </cfRule>
    <cfRule type="cellIs" dxfId="11768" priority="17112" operator="between">
      <formula>0.95</formula>
      <formula>1</formula>
    </cfRule>
    <cfRule type="cellIs" dxfId="11767" priority="17113" stopIfTrue="1" operator="between">
      <formula>0</formula>
      <formula>0.5</formula>
    </cfRule>
  </conditionalFormatting>
  <conditionalFormatting sqref="R213">
    <cfRule type="cellIs" dxfId="11766" priority="17104" operator="between">
      <formula>0.76</formula>
      <formula>0.95</formula>
    </cfRule>
    <cfRule type="cellIs" dxfId="11765" priority="17105" operator="between">
      <formula>0.51</formula>
      <formula>0.75</formula>
    </cfRule>
    <cfRule type="cellIs" dxfId="11764" priority="17106" operator="greaterThan">
      <formula>1</formula>
    </cfRule>
    <cfRule type="cellIs" dxfId="11763" priority="17107" operator="between">
      <formula>0.95</formula>
      <formula>1</formula>
    </cfRule>
    <cfRule type="cellIs" dxfId="11762" priority="17108" stopIfTrue="1" operator="between">
      <formula>0</formula>
      <formula>0.5</formula>
    </cfRule>
  </conditionalFormatting>
  <conditionalFormatting sqref="Y213">
    <cfRule type="cellIs" dxfId="11761" priority="17099" operator="between">
      <formula>0.76</formula>
      <formula>0.95</formula>
    </cfRule>
    <cfRule type="cellIs" dxfId="11760" priority="17100" operator="between">
      <formula>0.51</formula>
      <formula>0.75</formula>
    </cfRule>
    <cfRule type="cellIs" dxfId="11759" priority="17101" operator="greaterThan">
      <formula>1</formula>
    </cfRule>
    <cfRule type="cellIs" dxfId="11758" priority="17102" operator="between">
      <formula>0.95</formula>
      <formula>1</formula>
    </cfRule>
    <cfRule type="cellIs" dxfId="11757" priority="17103" stopIfTrue="1" operator="between">
      <formula>0</formula>
      <formula>0.5</formula>
    </cfRule>
  </conditionalFormatting>
  <conditionalFormatting sqref="AF213">
    <cfRule type="cellIs" dxfId="11756" priority="17094" operator="between">
      <formula>0.76</formula>
      <formula>0.95</formula>
    </cfRule>
    <cfRule type="cellIs" dxfId="11755" priority="17095" operator="between">
      <formula>0.51</formula>
      <formula>0.75</formula>
    </cfRule>
    <cfRule type="cellIs" dxfId="11754" priority="17096" operator="greaterThan">
      <formula>1</formula>
    </cfRule>
    <cfRule type="cellIs" dxfId="11753" priority="17097" operator="between">
      <formula>0.95</formula>
      <formula>1</formula>
    </cfRule>
    <cfRule type="cellIs" dxfId="11752" priority="17098" stopIfTrue="1" operator="between">
      <formula>0</formula>
      <formula>0.5</formula>
    </cfRule>
  </conditionalFormatting>
  <conditionalFormatting sqref="AH213">
    <cfRule type="cellIs" dxfId="11751" priority="17089" operator="between">
      <formula>0.76</formula>
      <formula>0.95</formula>
    </cfRule>
    <cfRule type="cellIs" dxfId="11750" priority="17090" operator="between">
      <formula>0.51</formula>
      <formula>0.75</formula>
    </cfRule>
    <cfRule type="cellIs" dxfId="11749" priority="17091" operator="greaterThan">
      <formula>1</formula>
    </cfRule>
    <cfRule type="cellIs" dxfId="11748" priority="17092" operator="between">
      <formula>0.95</formula>
      <formula>1</formula>
    </cfRule>
    <cfRule type="cellIs" dxfId="11747" priority="17093" stopIfTrue="1" operator="between">
      <formula>0</formula>
      <formula>0.5</formula>
    </cfRule>
  </conditionalFormatting>
  <conditionalFormatting sqref="T213">
    <cfRule type="cellIs" dxfId="11746" priority="17074" operator="between">
      <formula>0.3751</formula>
      <formula>0.475</formula>
    </cfRule>
    <cfRule type="cellIs" dxfId="11745" priority="17075" operator="between">
      <formula>0.2551</formula>
      <formula>0.375</formula>
    </cfRule>
    <cfRule type="cellIs" dxfId="11744" priority="17076" operator="greaterThan">
      <formula>0.505</formula>
    </cfRule>
    <cfRule type="cellIs" dxfId="11743" priority="17077" operator="between">
      <formula>0.48</formula>
      <formula>0.5</formula>
    </cfRule>
    <cfRule type="cellIs" dxfId="11742" priority="17078" stopIfTrue="1" operator="between">
      <formula>0</formula>
      <formula>0.255</formula>
    </cfRule>
  </conditionalFormatting>
  <conditionalFormatting sqref="U213:V213">
    <cfRule type="cellIs" dxfId="11741" priority="17069" operator="between">
      <formula>0.376</formula>
      <formula>0.475</formula>
    </cfRule>
    <cfRule type="cellIs" dxfId="11740" priority="17070" operator="between">
      <formula>0.2551</formula>
      <formula>0.3751</formula>
    </cfRule>
    <cfRule type="cellIs" dxfId="11739" priority="17071" operator="greaterThan">
      <formula>0.505</formula>
    </cfRule>
    <cfRule type="cellIs" dxfId="11738" priority="17072" operator="between">
      <formula>0.48</formula>
      <formula>0.5</formula>
    </cfRule>
    <cfRule type="cellIs" dxfId="11737" priority="17073" stopIfTrue="1" operator="between">
      <formula>0</formula>
      <formula>0.255</formula>
    </cfRule>
  </conditionalFormatting>
  <conditionalFormatting sqref="Z213">
    <cfRule type="cellIs" dxfId="11736" priority="17064" operator="between">
      <formula>0.76</formula>
      <formula>0.95</formula>
    </cfRule>
    <cfRule type="cellIs" dxfId="11735" priority="17065" operator="between">
      <formula>0.51</formula>
      <formula>0.75</formula>
    </cfRule>
    <cfRule type="cellIs" dxfId="11734" priority="17066" operator="greaterThan">
      <formula>1</formula>
    </cfRule>
    <cfRule type="cellIs" dxfId="11733" priority="17067" operator="between">
      <formula>0.95</formula>
      <formula>1</formula>
    </cfRule>
    <cfRule type="cellIs" dxfId="11732" priority="17068" stopIfTrue="1" operator="between">
      <formula>0</formula>
      <formula>0.5</formula>
    </cfRule>
  </conditionalFormatting>
  <conditionalFormatting sqref="AG213">
    <cfRule type="cellIs" dxfId="11731" priority="17059" operator="between">
      <formula>0.76</formula>
      <formula>0.95</formula>
    </cfRule>
    <cfRule type="cellIs" dxfId="11730" priority="17060" operator="between">
      <formula>0.51</formula>
      <formula>0.75</formula>
    </cfRule>
    <cfRule type="cellIs" dxfId="11729" priority="17061" operator="greaterThan">
      <formula>1</formula>
    </cfRule>
    <cfRule type="cellIs" dxfId="11728" priority="17062" operator="between">
      <formula>0.95</formula>
      <formula>1</formula>
    </cfRule>
    <cfRule type="cellIs" dxfId="11727" priority="17063" stopIfTrue="1" operator="between">
      <formula>0</formula>
      <formula>0.5</formula>
    </cfRule>
  </conditionalFormatting>
  <conditionalFormatting sqref="AI213">
    <cfRule type="cellIs" dxfId="11726" priority="17054" operator="between">
      <formula>0.76</formula>
      <formula>0.95</formula>
    </cfRule>
    <cfRule type="cellIs" dxfId="11725" priority="17055" operator="between">
      <formula>0.51</formula>
      <formula>0.75</formula>
    </cfRule>
    <cfRule type="cellIs" dxfId="11724" priority="17056" operator="greaterThan">
      <formula>1</formula>
    </cfRule>
    <cfRule type="cellIs" dxfId="11723" priority="17057" operator="between">
      <formula>0.95</formula>
      <formula>1</formula>
    </cfRule>
    <cfRule type="cellIs" dxfId="11722" priority="17058" stopIfTrue="1" operator="between">
      <formula>0</formula>
      <formula>0.5</formula>
    </cfRule>
  </conditionalFormatting>
  <conditionalFormatting sqref="AA213">
    <cfRule type="cellIs" dxfId="11721" priority="17049" operator="between">
      <formula>0.56251</formula>
      <formula>0.7125</formula>
    </cfRule>
    <cfRule type="cellIs" dxfId="11720" priority="17050" operator="between">
      <formula>0.3751</formula>
      <formula>0.5625</formula>
    </cfRule>
    <cfRule type="cellIs" dxfId="11719" priority="17051" operator="greaterThan">
      <formula>0.751</formula>
    </cfRule>
    <cfRule type="cellIs" dxfId="11718" priority="17052" operator="between">
      <formula>0.71251</formula>
      <formula>0.75</formula>
    </cfRule>
    <cfRule type="cellIs" dxfId="11717" priority="17053" stopIfTrue="1" operator="between">
      <formula>0</formula>
      <formula>0.375</formula>
    </cfRule>
  </conditionalFormatting>
  <conditionalFormatting sqref="AC213">
    <cfRule type="cellIs" dxfId="11716" priority="17044" operator="between">
      <formula>0.56251</formula>
      <formula>0.7125</formula>
    </cfRule>
    <cfRule type="cellIs" dxfId="11715" priority="17045" operator="between">
      <formula>0.3751</formula>
      <formula>0.5625</formula>
    </cfRule>
    <cfRule type="cellIs" dxfId="11714" priority="17046" operator="greaterThan">
      <formula>0.751</formula>
    </cfRule>
    <cfRule type="cellIs" dxfId="11713" priority="17047" operator="between">
      <formula>0.71251</formula>
      <formula>0.75</formula>
    </cfRule>
    <cfRule type="cellIs" dxfId="11712" priority="17048" stopIfTrue="1" operator="between">
      <formula>0</formula>
      <formula>0.375</formula>
    </cfRule>
  </conditionalFormatting>
  <conditionalFormatting sqref="AB213">
    <cfRule type="cellIs" dxfId="11711" priority="17039" operator="between">
      <formula>0.56251</formula>
      <formula>0.7125</formula>
    </cfRule>
    <cfRule type="cellIs" dxfId="11710" priority="17040" operator="between">
      <formula>0.3751</formula>
      <formula>0.5625</formula>
    </cfRule>
    <cfRule type="cellIs" dxfId="11709" priority="17041" operator="greaterThan">
      <formula>0.751</formula>
    </cfRule>
    <cfRule type="cellIs" dxfId="11708" priority="17042" operator="between">
      <formula>0.71251</formula>
      <formula>0.75</formula>
    </cfRule>
    <cfRule type="cellIs" dxfId="11707" priority="17043" stopIfTrue="1" operator="between">
      <formula>0</formula>
      <formula>0.375</formula>
    </cfRule>
  </conditionalFormatting>
  <conditionalFormatting sqref="S214">
    <cfRule type="cellIs" dxfId="11706" priority="17012" operator="between">
      <formula>0.76</formula>
      <formula>0.95</formula>
    </cfRule>
    <cfRule type="cellIs" dxfId="11705" priority="17013" operator="between">
      <formula>0.51</formula>
      <formula>0.75</formula>
    </cfRule>
    <cfRule type="cellIs" dxfId="11704" priority="17014" operator="greaterThan">
      <formula>1</formula>
    </cfRule>
    <cfRule type="cellIs" dxfId="11703" priority="17015" operator="between">
      <formula>0.95</formula>
      <formula>1</formula>
    </cfRule>
    <cfRule type="cellIs" dxfId="11702" priority="17016" stopIfTrue="1" operator="between">
      <formula>0</formula>
      <formula>0.5</formula>
    </cfRule>
  </conditionalFormatting>
  <conditionalFormatting sqref="R214">
    <cfRule type="cellIs" dxfId="11701" priority="17007" operator="between">
      <formula>0.76</formula>
      <formula>0.95</formula>
    </cfRule>
    <cfRule type="cellIs" dxfId="11700" priority="17008" operator="between">
      <formula>0.51</formula>
      <formula>0.75</formula>
    </cfRule>
    <cfRule type="cellIs" dxfId="11699" priority="17009" operator="greaterThan">
      <formula>1</formula>
    </cfRule>
    <cfRule type="cellIs" dxfId="11698" priority="17010" operator="between">
      <formula>0.95</formula>
      <formula>1</formula>
    </cfRule>
    <cfRule type="cellIs" dxfId="11697" priority="17011" stopIfTrue="1" operator="between">
      <formula>0</formula>
      <formula>0.5</formula>
    </cfRule>
  </conditionalFormatting>
  <conditionalFormatting sqref="Y214">
    <cfRule type="cellIs" dxfId="11696" priority="17002" operator="between">
      <formula>0.76</formula>
      <formula>0.95</formula>
    </cfRule>
    <cfRule type="cellIs" dxfId="11695" priority="17003" operator="between">
      <formula>0.51</formula>
      <formula>0.75</formula>
    </cfRule>
    <cfRule type="cellIs" dxfId="11694" priority="17004" operator="greaterThan">
      <formula>1</formula>
    </cfRule>
    <cfRule type="cellIs" dxfId="11693" priority="17005" operator="between">
      <formula>0.95</formula>
      <formula>1</formula>
    </cfRule>
    <cfRule type="cellIs" dxfId="11692" priority="17006" stopIfTrue="1" operator="between">
      <formula>0</formula>
      <formula>0.5</formula>
    </cfRule>
  </conditionalFormatting>
  <conditionalFormatting sqref="AF214">
    <cfRule type="cellIs" dxfId="11691" priority="16997" operator="between">
      <formula>0.76</formula>
      <formula>0.95</formula>
    </cfRule>
    <cfRule type="cellIs" dxfId="11690" priority="16998" operator="between">
      <formula>0.51</formula>
      <formula>0.75</formula>
    </cfRule>
    <cfRule type="cellIs" dxfId="11689" priority="16999" operator="greaterThan">
      <formula>1</formula>
    </cfRule>
    <cfRule type="cellIs" dxfId="11688" priority="17000" operator="between">
      <formula>0.95</formula>
      <formula>1</formula>
    </cfRule>
    <cfRule type="cellIs" dxfId="11687" priority="17001" stopIfTrue="1" operator="between">
      <formula>0</formula>
      <formula>0.5</formula>
    </cfRule>
  </conditionalFormatting>
  <conditionalFormatting sqref="AH214">
    <cfRule type="cellIs" dxfId="11686" priority="16992" operator="between">
      <formula>0.76</formula>
      <formula>0.95</formula>
    </cfRule>
    <cfRule type="cellIs" dxfId="11685" priority="16993" operator="between">
      <formula>0.51</formula>
      <formula>0.75</formula>
    </cfRule>
    <cfRule type="cellIs" dxfId="11684" priority="16994" operator="greaterThan">
      <formula>1</formula>
    </cfRule>
    <cfRule type="cellIs" dxfId="11683" priority="16995" operator="between">
      <formula>0.95</formula>
      <formula>1</formula>
    </cfRule>
    <cfRule type="cellIs" dxfId="11682" priority="16996" stopIfTrue="1" operator="between">
      <formula>0</formula>
      <formula>0.5</formula>
    </cfRule>
  </conditionalFormatting>
  <conditionalFormatting sqref="T214">
    <cfRule type="cellIs" dxfId="11681" priority="16977" operator="between">
      <formula>0.3751</formula>
      <formula>0.475</formula>
    </cfRule>
    <cfRule type="cellIs" dxfId="11680" priority="16978" operator="between">
      <formula>0.2551</formula>
      <formula>0.375</formula>
    </cfRule>
    <cfRule type="cellIs" dxfId="11679" priority="16979" operator="greaterThan">
      <formula>0.505</formula>
    </cfRule>
    <cfRule type="cellIs" dxfId="11678" priority="16980" operator="between">
      <formula>0.48</formula>
      <formula>0.5</formula>
    </cfRule>
    <cfRule type="cellIs" dxfId="11677" priority="16981" stopIfTrue="1" operator="between">
      <formula>0</formula>
      <formula>0.255</formula>
    </cfRule>
  </conditionalFormatting>
  <conditionalFormatting sqref="U214:V214">
    <cfRule type="cellIs" dxfId="11676" priority="16972" operator="between">
      <formula>0.376</formula>
      <formula>0.475</formula>
    </cfRule>
    <cfRule type="cellIs" dxfId="11675" priority="16973" operator="between">
      <formula>0.2551</formula>
      <formula>0.3751</formula>
    </cfRule>
    <cfRule type="cellIs" dxfId="11674" priority="16974" operator="greaterThan">
      <formula>0.505</formula>
    </cfRule>
    <cfRule type="cellIs" dxfId="11673" priority="16975" operator="between">
      <formula>0.48</formula>
      <formula>0.5</formula>
    </cfRule>
    <cfRule type="cellIs" dxfId="11672" priority="16976" stopIfTrue="1" operator="between">
      <formula>0</formula>
      <formula>0.255</formula>
    </cfRule>
  </conditionalFormatting>
  <conditionalFormatting sqref="Z214">
    <cfRule type="cellIs" dxfId="11671" priority="16967" operator="between">
      <formula>0.76</formula>
      <formula>0.95</formula>
    </cfRule>
    <cfRule type="cellIs" dxfId="11670" priority="16968" operator="between">
      <formula>0.51</formula>
      <formula>0.75</formula>
    </cfRule>
    <cfRule type="cellIs" dxfId="11669" priority="16969" operator="greaterThan">
      <formula>1</formula>
    </cfRule>
    <cfRule type="cellIs" dxfId="11668" priority="16970" operator="between">
      <formula>0.95</formula>
      <formula>1</formula>
    </cfRule>
    <cfRule type="cellIs" dxfId="11667" priority="16971" stopIfTrue="1" operator="between">
      <formula>0</formula>
      <formula>0.5</formula>
    </cfRule>
  </conditionalFormatting>
  <conditionalFormatting sqref="AG214">
    <cfRule type="cellIs" dxfId="11666" priority="16962" operator="between">
      <formula>0.76</formula>
      <formula>0.95</formula>
    </cfRule>
    <cfRule type="cellIs" dxfId="11665" priority="16963" operator="between">
      <formula>0.51</formula>
      <formula>0.75</formula>
    </cfRule>
    <cfRule type="cellIs" dxfId="11664" priority="16964" operator="greaterThan">
      <formula>1</formula>
    </cfRule>
    <cfRule type="cellIs" dxfId="11663" priority="16965" operator="between">
      <formula>0.95</formula>
      <formula>1</formula>
    </cfRule>
    <cfRule type="cellIs" dxfId="11662" priority="16966" stopIfTrue="1" operator="between">
      <formula>0</formula>
      <formula>0.5</formula>
    </cfRule>
  </conditionalFormatting>
  <conditionalFormatting sqref="AI214">
    <cfRule type="cellIs" dxfId="11661" priority="16957" operator="between">
      <formula>0.76</formula>
      <formula>0.95</formula>
    </cfRule>
    <cfRule type="cellIs" dxfId="11660" priority="16958" operator="between">
      <formula>0.51</formula>
      <formula>0.75</formula>
    </cfRule>
    <cfRule type="cellIs" dxfId="11659" priority="16959" operator="greaterThan">
      <formula>1</formula>
    </cfRule>
    <cfRule type="cellIs" dxfId="11658" priority="16960" operator="between">
      <formula>0.95</formula>
      <formula>1</formula>
    </cfRule>
    <cfRule type="cellIs" dxfId="11657" priority="16961" stopIfTrue="1" operator="between">
      <formula>0</formula>
      <formula>0.5</formula>
    </cfRule>
  </conditionalFormatting>
  <conditionalFormatting sqref="AA214">
    <cfRule type="cellIs" dxfId="11656" priority="16952" operator="between">
      <formula>0.56251</formula>
      <formula>0.7125</formula>
    </cfRule>
    <cfRule type="cellIs" dxfId="11655" priority="16953" operator="between">
      <formula>0.3751</formula>
      <formula>0.5625</formula>
    </cfRule>
    <cfRule type="cellIs" dxfId="11654" priority="16954" operator="greaterThan">
      <formula>0.751</formula>
    </cfRule>
    <cfRule type="cellIs" dxfId="11653" priority="16955" operator="between">
      <formula>0.71251</formula>
      <formula>0.75</formula>
    </cfRule>
    <cfRule type="cellIs" dxfId="11652" priority="16956" stopIfTrue="1" operator="between">
      <formula>0</formula>
      <formula>0.375</formula>
    </cfRule>
  </conditionalFormatting>
  <conditionalFormatting sqref="AC214">
    <cfRule type="cellIs" dxfId="11651" priority="16947" operator="between">
      <formula>0.56251</formula>
      <formula>0.7125</formula>
    </cfRule>
    <cfRule type="cellIs" dxfId="11650" priority="16948" operator="between">
      <formula>0.3751</formula>
      <formula>0.5625</formula>
    </cfRule>
    <cfRule type="cellIs" dxfId="11649" priority="16949" operator="greaterThan">
      <formula>0.751</formula>
    </cfRule>
    <cfRule type="cellIs" dxfId="11648" priority="16950" operator="between">
      <formula>0.71251</formula>
      <formula>0.75</formula>
    </cfRule>
    <cfRule type="cellIs" dxfId="11647" priority="16951" stopIfTrue="1" operator="between">
      <formula>0</formula>
      <formula>0.375</formula>
    </cfRule>
  </conditionalFormatting>
  <conditionalFormatting sqref="AB214">
    <cfRule type="cellIs" dxfId="11646" priority="16942" operator="between">
      <formula>0.56251</formula>
      <formula>0.7125</formula>
    </cfRule>
    <cfRule type="cellIs" dxfId="11645" priority="16943" operator="between">
      <formula>0.3751</formula>
      <formula>0.5625</formula>
    </cfRule>
    <cfRule type="cellIs" dxfId="11644" priority="16944" operator="greaterThan">
      <formula>0.751</formula>
    </cfRule>
    <cfRule type="cellIs" dxfId="11643" priority="16945" operator="between">
      <formula>0.71251</formula>
      <formula>0.75</formula>
    </cfRule>
    <cfRule type="cellIs" dxfId="11642" priority="16946" stopIfTrue="1" operator="between">
      <formula>0</formula>
      <formula>0.375</formula>
    </cfRule>
  </conditionalFormatting>
  <conditionalFormatting sqref="AG157 AI157 S157 Z157">
    <cfRule type="cellIs" dxfId="11641" priority="16915" operator="between">
      <formula>0.76</formula>
      <formula>0.95</formula>
    </cfRule>
    <cfRule type="cellIs" dxfId="11640" priority="16916" operator="between">
      <formula>0.51</formula>
      <formula>0.75</formula>
    </cfRule>
    <cfRule type="cellIs" dxfId="11639" priority="16917" operator="greaterThan">
      <formula>1</formula>
    </cfRule>
    <cfRule type="cellIs" dxfId="11638" priority="16918" operator="between">
      <formula>0.95</formula>
      <formula>1</formula>
    </cfRule>
    <cfRule type="cellIs" dxfId="11637" priority="16919" stopIfTrue="1" operator="between">
      <formula>0</formula>
      <formula>0.5</formula>
    </cfRule>
  </conditionalFormatting>
  <conditionalFormatting sqref="R157">
    <cfRule type="cellIs" dxfId="11636" priority="16905" operator="between">
      <formula>0.76</formula>
      <formula>0.95</formula>
    </cfRule>
    <cfRule type="cellIs" dxfId="11635" priority="16906" operator="between">
      <formula>0.51</formula>
      <formula>0.75</formula>
    </cfRule>
    <cfRule type="cellIs" dxfId="11634" priority="16907" operator="greaterThan">
      <formula>1</formula>
    </cfRule>
    <cfRule type="cellIs" dxfId="11633" priority="16908" operator="between">
      <formula>0.95</formula>
      <formula>1</formula>
    </cfRule>
    <cfRule type="cellIs" dxfId="11632" priority="16909" stopIfTrue="1" operator="between">
      <formula>0</formula>
      <formula>0.5</formula>
    </cfRule>
  </conditionalFormatting>
  <conditionalFormatting sqref="Y157">
    <cfRule type="cellIs" dxfId="11631" priority="16900" operator="between">
      <formula>0.76</formula>
      <formula>0.95</formula>
    </cfRule>
    <cfRule type="cellIs" dxfId="11630" priority="16901" operator="between">
      <formula>0.51</formula>
      <formula>0.75</formula>
    </cfRule>
    <cfRule type="cellIs" dxfId="11629" priority="16902" operator="greaterThan">
      <formula>1</formula>
    </cfRule>
    <cfRule type="cellIs" dxfId="11628" priority="16903" operator="between">
      <formula>0.95</formula>
      <formula>1</formula>
    </cfRule>
    <cfRule type="cellIs" dxfId="11627" priority="16904" stopIfTrue="1" operator="between">
      <formula>0</formula>
      <formula>0.5</formula>
    </cfRule>
  </conditionalFormatting>
  <conditionalFormatting sqref="AF157">
    <cfRule type="cellIs" dxfId="11626" priority="16895" operator="between">
      <formula>0.76</formula>
      <formula>0.95</formula>
    </cfRule>
    <cfRule type="cellIs" dxfId="11625" priority="16896" operator="between">
      <formula>0.51</formula>
      <formula>0.75</formula>
    </cfRule>
    <cfRule type="cellIs" dxfId="11624" priority="16897" operator="greaterThan">
      <formula>1</formula>
    </cfRule>
    <cfRule type="cellIs" dxfId="11623" priority="16898" operator="between">
      <formula>0.95</formula>
      <formula>1</formula>
    </cfRule>
    <cfRule type="cellIs" dxfId="11622" priority="16899" stopIfTrue="1" operator="between">
      <formula>0</formula>
      <formula>0.5</formula>
    </cfRule>
  </conditionalFormatting>
  <conditionalFormatting sqref="AH157">
    <cfRule type="cellIs" dxfId="11621" priority="16890" operator="between">
      <formula>0.76</formula>
      <formula>0.95</formula>
    </cfRule>
    <cfRule type="cellIs" dxfId="11620" priority="16891" operator="between">
      <formula>0.51</formula>
      <formula>0.75</formula>
    </cfRule>
    <cfRule type="cellIs" dxfId="11619" priority="16892" operator="greaterThan">
      <formula>1</formula>
    </cfRule>
    <cfRule type="cellIs" dxfId="11618" priority="16893" operator="between">
      <formula>0.95</formula>
      <formula>1</formula>
    </cfRule>
    <cfRule type="cellIs" dxfId="11617" priority="16894" stopIfTrue="1" operator="between">
      <formula>0</formula>
      <formula>0.5</formula>
    </cfRule>
  </conditionalFormatting>
  <conditionalFormatting sqref="T157">
    <cfRule type="cellIs" dxfId="11616" priority="16875" operator="between">
      <formula>0.3751</formula>
      <formula>0.475</formula>
    </cfRule>
    <cfRule type="cellIs" dxfId="11615" priority="16876" operator="between">
      <formula>0.2551</formula>
      <formula>0.375</formula>
    </cfRule>
    <cfRule type="cellIs" dxfId="11614" priority="16877" operator="greaterThan">
      <formula>0.505</formula>
    </cfRule>
    <cfRule type="cellIs" dxfId="11613" priority="16878" operator="between">
      <formula>0.48</formula>
      <formula>0.5</formula>
    </cfRule>
    <cfRule type="cellIs" dxfId="11612" priority="16879" stopIfTrue="1" operator="between">
      <formula>0</formula>
      <formula>0.255</formula>
    </cfRule>
  </conditionalFormatting>
  <conditionalFormatting sqref="U157:V157">
    <cfRule type="cellIs" dxfId="11611" priority="16870" operator="between">
      <formula>0.376</formula>
      <formula>0.475</formula>
    </cfRule>
    <cfRule type="cellIs" dxfId="11610" priority="16871" operator="between">
      <formula>0.2551</formula>
      <formula>0.3751</formula>
    </cfRule>
    <cfRule type="cellIs" dxfId="11609" priority="16872" operator="greaterThan">
      <formula>0.505</formula>
    </cfRule>
    <cfRule type="cellIs" dxfId="11608" priority="16873" operator="between">
      <formula>0.48</formula>
      <formula>0.5</formula>
    </cfRule>
    <cfRule type="cellIs" dxfId="11607" priority="16874" stopIfTrue="1" operator="between">
      <formula>0</formula>
      <formula>0.255</formula>
    </cfRule>
  </conditionalFormatting>
  <conditionalFormatting sqref="AA157">
    <cfRule type="cellIs" dxfId="11606" priority="16865" operator="between">
      <formula>0.56251</formula>
      <formula>0.7125</formula>
    </cfRule>
    <cfRule type="cellIs" dxfId="11605" priority="16866" operator="between">
      <formula>0.3751</formula>
      <formula>0.5625</formula>
    </cfRule>
    <cfRule type="cellIs" dxfId="11604" priority="16867" operator="greaterThan">
      <formula>0.751</formula>
    </cfRule>
    <cfRule type="cellIs" dxfId="11603" priority="16868" operator="between">
      <formula>0.71251</formula>
      <formula>0.75</formula>
    </cfRule>
    <cfRule type="cellIs" dxfId="11602" priority="16869" stopIfTrue="1" operator="between">
      <formula>0</formula>
      <formula>0.375</formula>
    </cfRule>
  </conditionalFormatting>
  <conditionalFormatting sqref="AC157">
    <cfRule type="cellIs" dxfId="11601" priority="16860" operator="between">
      <formula>0.56251</formula>
      <formula>0.7125</formula>
    </cfRule>
    <cfRule type="cellIs" dxfId="11600" priority="16861" operator="between">
      <formula>0.3751</formula>
      <formula>0.5625</formula>
    </cfRule>
    <cfRule type="cellIs" dxfId="11599" priority="16862" operator="greaterThan">
      <formula>0.751</formula>
    </cfRule>
    <cfRule type="cellIs" dxfId="11598" priority="16863" operator="between">
      <formula>0.71251</formula>
      <formula>0.75</formula>
    </cfRule>
    <cfRule type="cellIs" dxfId="11597" priority="16864" stopIfTrue="1" operator="between">
      <formula>0</formula>
      <formula>0.375</formula>
    </cfRule>
  </conditionalFormatting>
  <conditionalFormatting sqref="AB157">
    <cfRule type="cellIs" dxfId="11596" priority="16855" operator="between">
      <formula>0.56251</formula>
      <formula>0.7125</formula>
    </cfRule>
    <cfRule type="cellIs" dxfId="11595" priority="16856" operator="between">
      <formula>0.3751</formula>
      <formula>0.5625</formula>
    </cfRule>
    <cfRule type="cellIs" dxfId="11594" priority="16857" operator="greaterThan">
      <formula>0.751</formula>
    </cfRule>
    <cfRule type="cellIs" dxfId="11593" priority="16858" operator="between">
      <formula>0.71251</formula>
      <formula>0.75</formula>
    </cfRule>
    <cfRule type="cellIs" dxfId="11592" priority="16859" stopIfTrue="1" operator="between">
      <formula>0</formula>
      <formula>0.375</formula>
    </cfRule>
  </conditionalFormatting>
  <conditionalFormatting sqref="AG310 AI310 S310 Z310">
    <cfRule type="cellIs" dxfId="11591" priority="16833" operator="between">
      <formula>0.76</formula>
      <formula>0.95</formula>
    </cfRule>
    <cfRule type="cellIs" dxfId="11590" priority="16834" operator="between">
      <formula>0.51</formula>
      <formula>0.75</formula>
    </cfRule>
    <cfRule type="cellIs" dxfId="11589" priority="16835" operator="greaterThan">
      <formula>1</formula>
    </cfRule>
    <cfRule type="cellIs" dxfId="11588" priority="16836" operator="between">
      <formula>0.95</formula>
      <formula>1</formula>
    </cfRule>
    <cfRule type="cellIs" dxfId="11587" priority="16837" stopIfTrue="1" operator="between">
      <formula>0</formula>
      <formula>0.5</formula>
    </cfRule>
  </conditionalFormatting>
  <conditionalFormatting sqref="R310">
    <cfRule type="cellIs" dxfId="11586" priority="16823" operator="between">
      <formula>0.76</formula>
      <formula>0.95</formula>
    </cfRule>
    <cfRule type="cellIs" dxfId="11585" priority="16824" operator="between">
      <formula>0.51</formula>
      <formula>0.75</formula>
    </cfRule>
    <cfRule type="cellIs" dxfId="11584" priority="16825" operator="greaterThan">
      <formula>1</formula>
    </cfRule>
    <cfRule type="cellIs" dxfId="11583" priority="16826" operator="between">
      <formula>0.95</formula>
      <formula>1</formula>
    </cfRule>
    <cfRule type="cellIs" dxfId="11582" priority="16827" stopIfTrue="1" operator="between">
      <formula>0</formula>
      <formula>0.5</formula>
    </cfRule>
  </conditionalFormatting>
  <conditionalFormatting sqref="Y310">
    <cfRule type="cellIs" dxfId="11581" priority="16818" operator="between">
      <formula>0.76</formula>
      <formula>0.95</formula>
    </cfRule>
    <cfRule type="cellIs" dxfId="11580" priority="16819" operator="between">
      <formula>0.51</formula>
      <formula>0.75</formula>
    </cfRule>
    <cfRule type="cellIs" dxfId="11579" priority="16820" operator="greaterThan">
      <formula>1</formula>
    </cfRule>
    <cfRule type="cellIs" dxfId="11578" priority="16821" operator="between">
      <formula>0.95</formula>
      <formula>1</formula>
    </cfRule>
    <cfRule type="cellIs" dxfId="11577" priority="16822" stopIfTrue="1" operator="between">
      <formula>0</formula>
      <formula>0.5</formula>
    </cfRule>
  </conditionalFormatting>
  <conditionalFormatting sqref="AF310">
    <cfRule type="cellIs" dxfId="11576" priority="16813" operator="between">
      <formula>0.76</formula>
      <formula>0.95</formula>
    </cfRule>
    <cfRule type="cellIs" dxfId="11575" priority="16814" operator="between">
      <formula>0.51</formula>
      <formula>0.75</formula>
    </cfRule>
    <cfRule type="cellIs" dxfId="11574" priority="16815" operator="greaterThan">
      <formula>1</formula>
    </cfRule>
    <cfRule type="cellIs" dxfId="11573" priority="16816" operator="between">
      <formula>0.95</formula>
      <formula>1</formula>
    </cfRule>
    <cfRule type="cellIs" dxfId="11572" priority="16817" stopIfTrue="1" operator="between">
      <formula>0</formula>
      <formula>0.5</formula>
    </cfRule>
  </conditionalFormatting>
  <conditionalFormatting sqref="AH310">
    <cfRule type="cellIs" dxfId="11571" priority="16808" operator="between">
      <formula>0.76</formula>
      <formula>0.95</formula>
    </cfRule>
    <cfRule type="cellIs" dxfId="11570" priority="16809" operator="between">
      <formula>0.51</formula>
      <formula>0.75</formula>
    </cfRule>
    <cfRule type="cellIs" dxfId="11569" priority="16810" operator="greaterThan">
      <formula>1</formula>
    </cfRule>
    <cfRule type="cellIs" dxfId="11568" priority="16811" operator="between">
      <formula>0.95</formula>
      <formula>1</formula>
    </cfRule>
    <cfRule type="cellIs" dxfId="11567" priority="16812" stopIfTrue="1" operator="between">
      <formula>0</formula>
      <formula>0.5</formula>
    </cfRule>
  </conditionalFormatting>
  <conditionalFormatting sqref="T310">
    <cfRule type="cellIs" dxfId="11566" priority="16793" operator="between">
      <formula>0.3751</formula>
      <formula>0.475</formula>
    </cfRule>
    <cfRule type="cellIs" dxfId="11565" priority="16794" operator="between">
      <formula>0.2551</formula>
      <formula>0.375</formula>
    </cfRule>
    <cfRule type="cellIs" dxfId="11564" priority="16795" operator="greaterThan">
      <formula>0.505</formula>
    </cfRule>
    <cfRule type="cellIs" dxfId="11563" priority="16796" operator="between">
      <formula>0.48</formula>
      <formula>0.5</formula>
    </cfRule>
    <cfRule type="cellIs" dxfId="11562" priority="16797" stopIfTrue="1" operator="between">
      <formula>0</formula>
      <formula>0.255</formula>
    </cfRule>
  </conditionalFormatting>
  <conditionalFormatting sqref="U310:V310">
    <cfRule type="cellIs" dxfId="11561" priority="16788" operator="between">
      <formula>0.376</formula>
      <formula>0.475</formula>
    </cfRule>
    <cfRule type="cellIs" dxfId="11560" priority="16789" operator="between">
      <formula>0.2551</formula>
      <formula>0.3751</formula>
    </cfRule>
    <cfRule type="cellIs" dxfId="11559" priority="16790" operator="greaterThan">
      <formula>0.505</formula>
    </cfRule>
    <cfRule type="cellIs" dxfId="11558" priority="16791" operator="between">
      <formula>0.48</formula>
      <formula>0.5</formula>
    </cfRule>
    <cfRule type="cellIs" dxfId="11557" priority="16792" stopIfTrue="1" operator="between">
      <formula>0</formula>
      <formula>0.255</formula>
    </cfRule>
  </conditionalFormatting>
  <conditionalFormatting sqref="AA310">
    <cfRule type="cellIs" dxfId="11556" priority="16783" operator="between">
      <formula>0.56251</formula>
      <formula>0.7125</formula>
    </cfRule>
    <cfRule type="cellIs" dxfId="11555" priority="16784" operator="between">
      <formula>0.3751</formula>
      <formula>0.5625</formula>
    </cfRule>
    <cfRule type="cellIs" dxfId="11554" priority="16785" operator="greaterThan">
      <formula>0.751</formula>
    </cfRule>
    <cfRule type="cellIs" dxfId="11553" priority="16786" operator="between">
      <formula>0.71251</formula>
      <formula>0.75</formula>
    </cfRule>
    <cfRule type="cellIs" dxfId="11552" priority="16787" stopIfTrue="1" operator="between">
      <formula>0</formula>
      <formula>0.375</formula>
    </cfRule>
  </conditionalFormatting>
  <conditionalFormatting sqref="AC310">
    <cfRule type="cellIs" dxfId="11551" priority="16778" operator="between">
      <formula>0.56251</formula>
      <formula>0.7125</formula>
    </cfRule>
    <cfRule type="cellIs" dxfId="11550" priority="16779" operator="between">
      <formula>0.3751</formula>
      <formula>0.5625</formula>
    </cfRule>
    <cfRule type="cellIs" dxfId="11549" priority="16780" operator="greaterThan">
      <formula>0.751</formula>
    </cfRule>
    <cfRule type="cellIs" dxfId="11548" priority="16781" operator="between">
      <formula>0.71251</formula>
      <formula>0.75</formula>
    </cfRule>
    <cfRule type="cellIs" dxfId="11547" priority="16782" stopIfTrue="1" operator="between">
      <formula>0</formula>
      <formula>0.375</formula>
    </cfRule>
  </conditionalFormatting>
  <conditionalFormatting sqref="AB310">
    <cfRule type="cellIs" dxfId="11546" priority="16773" operator="between">
      <formula>0.56251</formula>
      <formula>0.7125</formula>
    </cfRule>
    <cfRule type="cellIs" dxfId="11545" priority="16774" operator="between">
      <formula>0.3751</formula>
      <formula>0.5625</formula>
    </cfRule>
    <cfRule type="cellIs" dxfId="11544" priority="16775" operator="greaterThan">
      <formula>0.751</formula>
    </cfRule>
    <cfRule type="cellIs" dxfId="11543" priority="16776" operator="between">
      <formula>0.71251</formula>
      <formula>0.75</formula>
    </cfRule>
    <cfRule type="cellIs" dxfId="11542" priority="16777" stopIfTrue="1" operator="between">
      <formula>0</formula>
      <formula>0.375</formula>
    </cfRule>
  </conditionalFormatting>
  <conditionalFormatting sqref="R215">
    <cfRule type="cellIs" dxfId="11541" priority="16741" operator="between">
      <formula>0.76</formula>
      <formula>0.95</formula>
    </cfRule>
    <cfRule type="cellIs" dxfId="11540" priority="16742" operator="between">
      <formula>0.51</formula>
      <formula>0.75</formula>
    </cfRule>
    <cfRule type="cellIs" dxfId="11539" priority="16743" operator="greaterThan">
      <formula>1</formula>
    </cfRule>
    <cfRule type="cellIs" dxfId="11538" priority="16744" operator="between">
      <formula>0.95</formula>
      <formula>1</formula>
    </cfRule>
    <cfRule type="cellIs" dxfId="11537" priority="16745" stopIfTrue="1" operator="between">
      <formula>0</formula>
      <formula>0.5</formula>
    </cfRule>
  </conditionalFormatting>
  <conditionalFormatting sqref="Y215">
    <cfRule type="cellIs" dxfId="11536" priority="16736" operator="between">
      <formula>0.76</formula>
      <formula>0.95</formula>
    </cfRule>
    <cfRule type="cellIs" dxfId="11535" priority="16737" operator="between">
      <formula>0.51</formula>
      <formula>0.75</formula>
    </cfRule>
    <cfRule type="cellIs" dxfId="11534" priority="16738" operator="greaterThan">
      <formula>1</formula>
    </cfRule>
    <cfRule type="cellIs" dxfId="11533" priority="16739" operator="between">
      <formula>0.95</formula>
      <formula>1</formula>
    </cfRule>
    <cfRule type="cellIs" dxfId="11532" priority="16740" stopIfTrue="1" operator="between">
      <formula>0</formula>
      <formula>0.5</formula>
    </cfRule>
  </conditionalFormatting>
  <conditionalFormatting sqref="AF215">
    <cfRule type="cellIs" dxfId="11531" priority="16731" operator="between">
      <formula>0.76</formula>
      <formula>0.95</formula>
    </cfRule>
    <cfRule type="cellIs" dxfId="11530" priority="16732" operator="between">
      <formula>0.51</formula>
      <formula>0.75</formula>
    </cfRule>
    <cfRule type="cellIs" dxfId="11529" priority="16733" operator="greaterThan">
      <formula>1</formula>
    </cfRule>
    <cfRule type="cellIs" dxfId="11528" priority="16734" operator="between">
      <formula>0.95</formula>
      <formula>1</formula>
    </cfRule>
    <cfRule type="cellIs" dxfId="11527" priority="16735" stopIfTrue="1" operator="between">
      <formula>0</formula>
      <formula>0.5</formula>
    </cfRule>
  </conditionalFormatting>
  <conditionalFormatting sqref="AH215">
    <cfRule type="cellIs" dxfId="11526" priority="16726" operator="between">
      <formula>0.76</formula>
      <formula>0.95</formula>
    </cfRule>
    <cfRule type="cellIs" dxfId="11525" priority="16727" operator="between">
      <formula>0.51</formula>
      <formula>0.75</formula>
    </cfRule>
    <cfRule type="cellIs" dxfId="11524" priority="16728" operator="greaterThan">
      <formula>1</formula>
    </cfRule>
    <cfRule type="cellIs" dxfId="11523" priority="16729" operator="between">
      <formula>0.95</formula>
      <formula>1</formula>
    </cfRule>
    <cfRule type="cellIs" dxfId="11522" priority="16730" stopIfTrue="1" operator="between">
      <formula>0</formula>
      <formula>0.5</formula>
    </cfRule>
  </conditionalFormatting>
  <conditionalFormatting sqref="T215">
    <cfRule type="cellIs" dxfId="11521" priority="16711" operator="between">
      <formula>0.3751</formula>
      <formula>0.475</formula>
    </cfRule>
    <cfRule type="cellIs" dxfId="11520" priority="16712" operator="between">
      <formula>0.2551</formula>
      <formula>0.375</formula>
    </cfRule>
    <cfRule type="cellIs" dxfId="11519" priority="16713" operator="greaterThan">
      <formula>0.505</formula>
    </cfRule>
    <cfRule type="cellIs" dxfId="11518" priority="16714" operator="between">
      <formula>0.48</formula>
      <formula>0.5</formula>
    </cfRule>
    <cfRule type="cellIs" dxfId="11517" priority="16715" stopIfTrue="1" operator="between">
      <formula>0</formula>
      <formula>0.255</formula>
    </cfRule>
  </conditionalFormatting>
  <conditionalFormatting sqref="U215">
    <cfRule type="cellIs" dxfId="11516" priority="16706" operator="between">
      <formula>0.376</formula>
      <formula>0.475</formula>
    </cfRule>
    <cfRule type="cellIs" dxfId="11515" priority="16707" operator="between">
      <formula>0.2551</formula>
      <formula>0.3751</formula>
    </cfRule>
    <cfRule type="cellIs" dxfId="11514" priority="16708" operator="greaterThan">
      <formula>0.505</formula>
    </cfRule>
    <cfRule type="cellIs" dxfId="11513" priority="16709" operator="between">
      <formula>0.48</formula>
      <formula>0.5</formula>
    </cfRule>
    <cfRule type="cellIs" dxfId="11512" priority="16710" stopIfTrue="1" operator="between">
      <formula>0</formula>
      <formula>0.255</formula>
    </cfRule>
  </conditionalFormatting>
  <conditionalFormatting sqref="Z215">
    <cfRule type="cellIs" dxfId="11511" priority="16701" operator="between">
      <formula>0.76</formula>
      <formula>0.95</formula>
    </cfRule>
    <cfRule type="cellIs" dxfId="11510" priority="16702" operator="between">
      <formula>0.51</formula>
      <formula>0.75</formula>
    </cfRule>
    <cfRule type="cellIs" dxfId="11509" priority="16703" operator="greaterThan">
      <formula>1</formula>
    </cfRule>
    <cfRule type="cellIs" dxfId="11508" priority="16704" operator="between">
      <formula>0.95</formula>
      <formula>1</formula>
    </cfRule>
    <cfRule type="cellIs" dxfId="11507" priority="16705" stopIfTrue="1" operator="between">
      <formula>0</formula>
      <formula>0.5</formula>
    </cfRule>
  </conditionalFormatting>
  <conditionalFormatting sqref="AG215">
    <cfRule type="cellIs" dxfId="11506" priority="16696" operator="between">
      <formula>0.76</formula>
      <formula>0.95</formula>
    </cfRule>
    <cfRule type="cellIs" dxfId="11505" priority="16697" operator="between">
      <formula>0.51</formula>
      <formula>0.75</formula>
    </cfRule>
    <cfRule type="cellIs" dxfId="11504" priority="16698" operator="greaterThan">
      <formula>1</formula>
    </cfRule>
    <cfRule type="cellIs" dxfId="11503" priority="16699" operator="between">
      <formula>0.95</formula>
      <formula>1</formula>
    </cfRule>
    <cfRule type="cellIs" dxfId="11502" priority="16700" stopIfTrue="1" operator="between">
      <formula>0</formula>
      <formula>0.5</formula>
    </cfRule>
  </conditionalFormatting>
  <conditionalFormatting sqref="AI215">
    <cfRule type="cellIs" dxfId="11501" priority="16691" operator="between">
      <formula>0.76</formula>
      <formula>0.95</formula>
    </cfRule>
    <cfRule type="cellIs" dxfId="11500" priority="16692" operator="between">
      <formula>0.51</formula>
      <formula>0.75</formula>
    </cfRule>
    <cfRule type="cellIs" dxfId="11499" priority="16693" operator="greaterThan">
      <formula>1</formula>
    </cfRule>
    <cfRule type="cellIs" dxfId="11498" priority="16694" operator="between">
      <formula>0.95</formula>
      <formula>1</formula>
    </cfRule>
    <cfRule type="cellIs" dxfId="11497" priority="16695" stopIfTrue="1" operator="between">
      <formula>0</formula>
      <formula>0.5</formula>
    </cfRule>
  </conditionalFormatting>
  <conditionalFormatting sqref="AA215">
    <cfRule type="cellIs" dxfId="11496" priority="16686" operator="between">
      <formula>0.56251</formula>
      <formula>0.7125</formula>
    </cfRule>
    <cfRule type="cellIs" dxfId="11495" priority="16687" operator="between">
      <formula>0.3751</formula>
      <formula>0.5625</formula>
    </cfRule>
    <cfRule type="cellIs" dxfId="11494" priority="16688" operator="greaterThan">
      <formula>0.751</formula>
    </cfRule>
    <cfRule type="cellIs" dxfId="11493" priority="16689" operator="between">
      <formula>0.71251</formula>
      <formula>0.75</formula>
    </cfRule>
    <cfRule type="cellIs" dxfId="11492" priority="16690" stopIfTrue="1" operator="between">
      <formula>0</formula>
      <formula>0.375</formula>
    </cfRule>
  </conditionalFormatting>
  <conditionalFormatting sqref="AC215">
    <cfRule type="cellIs" dxfId="11491" priority="16681" operator="between">
      <formula>0.56251</formula>
      <formula>0.7125</formula>
    </cfRule>
    <cfRule type="cellIs" dxfId="11490" priority="16682" operator="between">
      <formula>0.3751</formula>
      <formula>0.5625</formula>
    </cfRule>
    <cfRule type="cellIs" dxfId="11489" priority="16683" operator="greaterThan">
      <formula>0.751</formula>
    </cfRule>
    <cfRule type="cellIs" dxfId="11488" priority="16684" operator="between">
      <formula>0.71251</formula>
      <formula>0.75</formula>
    </cfRule>
    <cfRule type="cellIs" dxfId="11487" priority="16685" stopIfTrue="1" operator="between">
      <formula>0</formula>
      <formula>0.375</formula>
    </cfRule>
  </conditionalFormatting>
  <conditionalFormatting sqref="AB215">
    <cfRule type="cellIs" dxfId="11486" priority="16676" operator="between">
      <formula>0.56251</formula>
      <formula>0.7125</formula>
    </cfRule>
    <cfRule type="cellIs" dxfId="11485" priority="16677" operator="between">
      <formula>0.3751</formula>
      <formula>0.5625</formula>
    </cfRule>
    <cfRule type="cellIs" dxfId="11484" priority="16678" operator="greaterThan">
      <formula>0.751</formula>
    </cfRule>
    <cfRule type="cellIs" dxfId="11483" priority="16679" operator="between">
      <formula>0.71251</formula>
      <formula>0.75</formula>
    </cfRule>
    <cfRule type="cellIs" dxfId="11482" priority="16680" stopIfTrue="1" operator="between">
      <formula>0</formula>
      <formula>0.375</formula>
    </cfRule>
  </conditionalFormatting>
  <conditionalFormatting sqref="S215">
    <cfRule type="cellIs" dxfId="11481" priority="16654" operator="between">
      <formula>0.76</formula>
      <formula>0.95</formula>
    </cfRule>
    <cfRule type="cellIs" dxfId="11480" priority="16655" operator="between">
      <formula>0.51</formula>
      <formula>0.75</formula>
    </cfRule>
    <cfRule type="cellIs" dxfId="11479" priority="16656" operator="greaterThan">
      <formula>1</formula>
    </cfRule>
    <cfRule type="cellIs" dxfId="11478" priority="16657" operator="between">
      <formula>0.95</formula>
      <formula>1</formula>
    </cfRule>
    <cfRule type="cellIs" dxfId="11477" priority="16658" stopIfTrue="1" operator="between">
      <formula>0</formula>
      <formula>0.5</formula>
    </cfRule>
  </conditionalFormatting>
  <conditionalFormatting sqref="V215">
    <cfRule type="cellIs" dxfId="11476" priority="16649" operator="between">
      <formula>0.376</formula>
      <formula>0.475</formula>
    </cfRule>
    <cfRule type="cellIs" dxfId="11475" priority="16650" operator="between">
      <formula>0.2551</formula>
      <formula>0.3751</formula>
    </cfRule>
    <cfRule type="cellIs" dxfId="11474" priority="16651" operator="greaterThan">
      <formula>0.505</formula>
    </cfRule>
    <cfRule type="cellIs" dxfId="11473" priority="16652" operator="between">
      <formula>0.48</formula>
      <formula>0.5</formula>
    </cfRule>
    <cfRule type="cellIs" dxfId="11472" priority="16653" stopIfTrue="1" operator="between">
      <formula>0</formula>
      <formula>0.255</formula>
    </cfRule>
  </conditionalFormatting>
  <conditionalFormatting sqref="R216:R217">
    <cfRule type="cellIs" dxfId="11471" priority="16639" operator="between">
      <formula>0.76</formula>
      <formula>0.95</formula>
    </cfRule>
    <cfRule type="cellIs" dxfId="11470" priority="16640" operator="between">
      <formula>0.51</formula>
      <formula>0.75</formula>
    </cfRule>
    <cfRule type="cellIs" dxfId="11469" priority="16641" operator="greaterThan">
      <formula>1</formula>
    </cfRule>
    <cfRule type="cellIs" dxfId="11468" priority="16642" operator="between">
      <formula>0.95</formula>
      <formula>1</formula>
    </cfRule>
    <cfRule type="cellIs" dxfId="11467" priority="16643" stopIfTrue="1" operator="between">
      <formula>0</formula>
      <formula>0.5</formula>
    </cfRule>
  </conditionalFormatting>
  <conditionalFormatting sqref="Y216:Y217">
    <cfRule type="cellIs" dxfId="11466" priority="16634" operator="between">
      <formula>0.76</formula>
      <formula>0.95</formula>
    </cfRule>
    <cfRule type="cellIs" dxfId="11465" priority="16635" operator="between">
      <formula>0.51</formula>
      <formula>0.75</formula>
    </cfRule>
    <cfRule type="cellIs" dxfId="11464" priority="16636" operator="greaterThan">
      <formula>1</formula>
    </cfRule>
    <cfRule type="cellIs" dxfId="11463" priority="16637" operator="between">
      <formula>0.95</formula>
      <formula>1</formula>
    </cfRule>
    <cfRule type="cellIs" dxfId="11462" priority="16638" stopIfTrue="1" operator="between">
      <formula>0</formula>
      <formula>0.5</formula>
    </cfRule>
  </conditionalFormatting>
  <conditionalFormatting sqref="AF216:AF217">
    <cfRule type="cellIs" dxfId="11461" priority="16629" operator="between">
      <formula>0.76</formula>
      <formula>0.95</formula>
    </cfRule>
    <cfRule type="cellIs" dxfId="11460" priority="16630" operator="between">
      <formula>0.51</formula>
      <formula>0.75</formula>
    </cfRule>
    <cfRule type="cellIs" dxfId="11459" priority="16631" operator="greaterThan">
      <formula>1</formula>
    </cfRule>
    <cfRule type="cellIs" dxfId="11458" priority="16632" operator="between">
      <formula>0.95</formula>
      <formula>1</formula>
    </cfRule>
    <cfRule type="cellIs" dxfId="11457" priority="16633" stopIfTrue="1" operator="between">
      <formula>0</formula>
      <formula>0.5</formula>
    </cfRule>
  </conditionalFormatting>
  <conditionalFormatting sqref="AH216:AH217">
    <cfRule type="cellIs" dxfId="11456" priority="16624" operator="between">
      <formula>0.76</formula>
      <formula>0.95</formula>
    </cfRule>
    <cfRule type="cellIs" dxfId="11455" priority="16625" operator="between">
      <formula>0.51</formula>
      <formula>0.75</formula>
    </cfRule>
    <cfRule type="cellIs" dxfId="11454" priority="16626" operator="greaterThan">
      <formula>1</formula>
    </cfRule>
    <cfRule type="cellIs" dxfId="11453" priority="16627" operator="between">
      <formula>0.95</formula>
      <formula>1</formula>
    </cfRule>
    <cfRule type="cellIs" dxfId="11452" priority="16628" stopIfTrue="1" operator="between">
      <formula>0</formula>
      <formula>0.5</formula>
    </cfRule>
  </conditionalFormatting>
  <conditionalFormatting sqref="T216:T217">
    <cfRule type="cellIs" dxfId="11451" priority="16609" operator="between">
      <formula>0.3751</formula>
      <formula>0.475</formula>
    </cfRule>
    <cfRule type="cellIs" dxfId="11450" priority="16610" operator="between">
      <formula>0.2551</formula>
      <formula>0.375</formula>
    </cfRule>
    <cfRule type="cellIs" dxfId="11449" priority="16611" operator="greaterThan">
      <formula>0.505</formula>
    </cfRule>
    <cfRule type="cellIs" dxfId="11448" priority="16612" operator="between">
      <formula>0.48</formula>
      <formula>0.5</formula>
    </cfRule>
    <cfRule type="cellIs" dxfId="11447" priority="16613" stopIfTrue="1" operator="between">
      <formula>0</formula>
      <formula>0.255</formula>
    </cfRule>
  </conditionalFormatting>
  <conditionalFormatting sqref="U216:U217">
    <cfRule type="cellIs" dxfId="11446" priority="16604" operator="between">
      <formula>0.376</formula>
      <formula>0.475</formula>
    </cfRule>
    <cfRule type="cellIs" dxfId="11445" priority="16605" operator="between">
      <formula>0.2551</formula>
      <formula>0.3751</formula>
    </cfRule>
    <cfRule type="cellIs" dxfId="11444" priority="16606" operator="greaterThan">
      <formula>0.505</formula>
    </cfRule>
    <cfRule type="cellIs" dxfId="11443" priority="16607" operator="between">
      <formula>0.48</formula>
      <formula>0.5</formula>
    </cfRule>
    <cfRule type="cellIs" dxfId="11442" priority="16608" stopIfTrue="1" operator="between">
      <formula>0</formula>
      <formula>0.255</formula>
    </cfRule>
  </conditionalFormatting>
  <conditionalFormatting sqref="Z216:Z217">
    <cfRule type="cellIs" dxfId="11441" priority="16599" operator="between">
      <formula>0.76</formula>
      <formula>0.95</formula>
    </cfRule>
    <cfRule type="cellIs" dxfId="11440" priority="16600" operator="between">
      <formula>0.51</formula>
      <formula>0.75</formula>
    </cfRule>
    <cfRule type="cellIs" dxfId="11439" priority="16601" operator="greaterThan">
      <formula>1</formula>
    </cfRule>
    <cfRule type="cellIs" dxfId="11438" priority="16602" operator="between">
      <formula>0.95</formula>
      <formula>1</formula>
    </cfRule>
    <cfRule type="cellIs" dxfId="11437" priority="16603" stopIfTrue="1" operator="between">
      <formula>0</formula>
      <formula>0.5</formula>
    </cfRule>
  </conditionalFormatting>
  <conditionalFormatting sqref="AG216:AG217">
    <cfRule type="cellIs" dxfId="11436" priority="16594" operator="between">
      <formula>0.76</formula>
      <formula>0.95</formula>
    </cfRule>
    <cfRule type="cellIs" dxfId="11435" priority="16595" operator="between">
      <formula>0.51</formula>
      <formula>0.75</formula>
    </cfRule>
    <cfRule type="cellIs" dxfId="11434" priority="16596" operator="greaterThan">
      <formula>1</formula>
    </cfRule>
    <cfRule type="cellIs" dxfId="11433" priority="16597" operator="between">
      <formula>0.95</formula>
      <formula>1</formula>
    </cfRule>
    <cfRule type="cellIs" dxfId="11432" priority="16598" stopIfTrue="1" operator="between">
      <formula>0</formula>
      <formula>0.5</formula>
    </cfRule>
  </conditionalFormatting>
  <conditionalFormatting sqref="AI216:AI217">
    <cfRule type="cellIs" dxfId="11431" priority="16589" operator="between">
      <formula>0.76</formula>
      <formula>0.95</formula>
    </cfRule>
    <cfRule type="cellIs" dxfId="11430" priority="16590" operator="between">
      <formula>0.51</formula>
      <formula>0.75</formula>
    </cfRule>
    <cfRule type="cellIs" dxfId="11429" priority="16591" operator="greaterThan">
      <formula>1</formula>
    </cfRule>
    <cfRule type="cellIs" dxfId="11428" priority="16592" operator="between">
      <formula>0.95</formula>
      <formula>1</formula>
    </cfRule>
    <cfRule type="cellIs" dxfId="11427" priority="16593" stopIfTrue="1" operator="between">
      <formula>0</formula>
      <formula>0.5</formula>
    </cfRule>
  </conditionalFormatting>
  <conditionalFormatting sqref="AA216:AA217">
    <cfRule type="cellIs" dxfId="11426" priority="16584" operator="between">
      <formula>0.56251</formula>
      <formula>0.7125</formula>
    </cfRule>
    <cfRule type="cellIs" dxfId="11425" priority="16585" operator="between">
      <formula>0.3751</formula>
      <formula>0.5625</formula>
    </cfRule>
    <cfRule type="cellIs" dxfId="11424" priority="16586" operator="greaterThan">
      <formula>0.751</formula>
    </cfRule>
    <cfRule type="cellIs" dxfId="11423" priority="16587" operator="between">
      <formula>0.71251</formula>
      <formula>0.75</formula>
    </cfRule>
    <cfRule type="cellIs" dxfId="11422" priority="16588" stopIfTrue="1" operator="between">
      <formula>0</formula>
      <formula>0.375</formula>
    </cfRule>
  </conditionalFormatting>
  <conditionalFormatting sqref="AC216:AC217">
    <cfRule type="cellIs" dxfId="11421" priority="16579" operator="between">
      <formula>0.56251</formula>
      <formula>0.7125</formula>
    </cfRule>
    <cfRule type="cellIs" dxfId="11420" priority="16580" operator="between">
      <formula>0.3751</formula>
      <formula>0.5625</formula>
    </cfRule>
    <cfRule type="cellIs" dxfId="11419" priority="16581" operator="greaterThan">
      <formula>0.751</formula>
    </cfRule>
    <cfRule type="cellIs" dxfId="11418" priority="16582" operator="between">
      <formula>0.71251</formula>
      <formula>0.75</formula>
    </cfRule>
    <cfRule type="cellIs" dxfId="11417" priority="16583" stopIfTrue="1" operator="between">
      <formula>0</formula>
      <formula>0.375</formula>
    </cfRule>
  </conditionalFormatting>
  <conditionalFormatting sqref="AB216:AB217">
    <cfRule type="cellIs" dxfId="11416" priority="16574" operator="between">
      <formula>0.56251</formula>
      <formula>0.7125</formula>
    </cfRule>
    <cfRule type="cellIs" dxfId="11415" priority="16575" operator="between">
      <formula>0.3751</formula>
      <formula>0.5625</formula>
    </cfRule>
    <cfRule type="cellIs" dxfId="11414" priority="16576" operator="greaterThan">
      <formula>0.751</formula>
    </cfRule>
    <cfRule type="cellIs" dxfId="11413" priority="16577" operator="between">
      <formula>0.71251</formula>
      <formula>0.75</formula>
    </cfRule>
    <cfRule type="cellIs" dxfId="11412" priority="16578" stopIfTrue="1" operator="between">
      <formula>0</formula>
      <formula>0.375</formula>
    </cfRule>
  </conditionalFormatting>
  <conditionalFormatting sqref="S216:S217">
    <cfRule type="cellIs" dxfId="11411" priority="16552" operator="between">
      <formula>0.76</formula>
      <formula>0.95</formula>
    </cfRule>
    <cfRule type="cellIs" dxfId="11410" priority="16553" operator="between">
      <formula>0.51</formula>
      <formula>0.75</formula>
    </cfRule>
    <cfRule type="cellIs" dxfId="11409" priority="16554" operator="greaterThan">
      <formula>1</formula>
    </cfRule>
    <cfRule type="cellIs" dxfId="11408" priority="16555" operator="between">
      <formula>0.95</formula>
      <formula>1</formula>
    </cfRule>
    <cfRule type="cellIs" dxfId="11407" priority="16556" stopIfTrue="1" operator="between">
      <formula>0</formula>
      <formula>0.5</formula>
    </cfRule>
  </conditionalFormatting>
  <conditionalFormatting sqref="V216:V217">
    <cfRule type="cellIs" dxfId="11406" priority="16547" operator="between">
      <formula>0.376</formula>
      <formula>0.475</formula>
    </cfRule>
    <cfRule type="cellIs" dxfId="11405" priority="16548" operator="between">
      <formula>0.2551</formula>
      <formula>0.3751</formula>
    </cfRule>
    <cfRule type="cellIs" dxfId="11404" priority="16549" operator="greaterThan">
      <formula>0.505</formula>
    </cfRule>
    <cfRule type="cellIs" dxfId="11403" priority="16550" operator="between">
      <formula>0.48</formula>
      <formula>0.5</formula>
    </cfRule>
    <cfRule type="cellIs" dxfId="11402" priority="16551" stopIfTrue="1" operator="between">
      <formula>0</formula>
      <formula>0.255</formula>
    </cfRule>
  </conditionalFormatting>
  <conditionalFormatting sqref="S158">
    <cfRule type="cellIs" dxfId="11401" priority="16532" operator="between">
      <formula>0.76</formula>
      <formula>0.95</formula>
    </cfRule>
    <cfRule type="cellIs" dxfId="11400" priority="16533" operator="between">
      <formula>0.51</formula>
      <formula>0.75</formula>
    </cfRule>
    <cfRule type="cellIs" dxfId="11399" priority="16534" operator="greaterThan">
      <formula>1</formula>
    </cfRule>
    <cfRule type="cellIs" dxfId="11398" priority="16535" operator="between">
      <formula>0.95</formula>
      <formula>1</formula>
    </cfRule>
    <cfRule type="cellIs" dxfId="11397" priority="16536" stopIfTrue="1" operator="between">
      <formula>0</formula>
      <formula>0.5</formula>
    </cfRule>
  </conditionalFormatting>
  <conditionalFormatting sqref="Z158">
    <cfRule type="cellIs" dxfId="11396" priority="16522" operator="between">
      <formula>0.76</formula>
      <formula>0.95</formula>
    </cfRule>
    <cfRule type="cellIs" dxfId="11395" priority="16523" operator="between">
      <formula>0.51</formula>
      <formula>0.75</formula>
    </cfRule>
    <cfRule type="cellIs" dxfId="11394" priority="16524" operator="greaterThan">
      <formula>1</formula>
    </cfRule>
    <cfRule type="cellIs" dxfId="11393" priority="16525" operator="between">
      <formula>0.95</formula>
      <formula>1</formula>
    </cfRule>
    <cfRule type="cellIs" dxfId="11392" priority="16526" stopIfTrue="1" operator="between">
      <formula>0</formula>
      <formula>0.5</formula>
    </cfRule>
  </conditionalFormatting>
  <conditionalFormatting sqref="AF59:AI59 Y35:Z35 AF35 AH35:AI35 Y59">
    <cfRule type="cellIs" dxfId="11391" priority="16298" operator="between">
      <formula>0.76</formula>
      <formula>0.95</formula>
    </cfRule>
    <cfRule type="cellIs" dxfId="11390" priority="16299" operator="between">
      <formula>0.51</formula>
      <formula>0.75</formula>
    </cfRule>
    <cfRule type="cellIs" dxfId="11389" priority="16300" operator="greaterThan">
      <formula>1</formula>
    </cfRule>
    <cfRule type="cellIs" dxfId="11388" priority="16301" operator="between">
      <formula>0.95</formula>
      <formula>1</formula>
    </cfRule>
    <cfRule type="cellIs" dxfId="11387" priority="16302" stopIfTrue="1" operator="between">
      <formula>0</formula>
      <formula>0.5</formula>
    </cfRule>
  </conditionalFormatting>
  <conditionalFormatting sqref="AC35 AA59:AB59">
    <cfRule type="cellIs" dxfId="11386" priority="16288" operator="between">
      <formula>0.56251</formula>
      <formula>0.7125</formula>
    </cfRule>
    <cfRule type="cellIs" dxfId="11385" priority="16289" operator="between">
      <formula>0.3751</formula>
      <formula>0.5625</formula>
    </cfRule>
    <cfRule type="cellIs" dxfId="11384" priority="16290" operator="greaterThan">
      <formula>0.751</formula>
    </cfRule>
    <cfRule type="cellIs" dxfId="11383" priority="16291" operator="between">
      <formula>0.71251</formula>
      <formula>0.75</formula>
    </cfRule>
    <cfRule type="cellIs" dxfId="11382" priority="16292" stopIfTrue="1" operator="between">
      <formula>0</formula>
      <formula>0.375</formula>
    </cfRule>
  </conditionalFormatting>
  <conditionalFormatting sqref="U35:V35 U59">
    <cfRule type="cellIs" dxfId="11381" priority="16278" operator="between">
      <formula>0.376</formula>
      <formula>0.475</formula>
    </cfRule>
    <cfRule type="cellIs" dxfId="11380" priority="16279" operator="between">
      <formula>0.2551</formula>
      <formula>0.3751</formula>
    </cfRule>
    <cfRule type="cellIs" dxfId="11379" priority="16280" operator="greaterThan">
      <formula>0.505</formula>
    </cfRule>
    <cfRule type="cellIs" dxfId="11378" priority="16281" operator="between">
      <formula>0.48</formula>
      <formula>0.5</formula>
    </cfRule>
    <cfRule type="cellIs" dxfId="11377" priority="16282" stopIfTrue="1" operator="between">
      <formula>0</formula>
      <formula>0.255</formula>
    </cfRule>
  </conditionalFormatting>
  <conditionalFormatting sqref="S35">
    <cfRule type="cellIs" dxfId="11376" priority="16258" operator="between">
      <formula>0.76</formula>
      <formula>0.95</formula>
    </cfRule>
    <cfRule type="cellIs" dxfId="11375" priority="16259" operator="between">
      <formula>0.51</formula>
      <formula>0.75</formula>
    </cfRule>
    <cfRule type="cellIs" dxfId="11374" priority="16260" operator="greaterThan">
      <formula>1</formula>
    </cfRule>
    <cfRule type="cellIs" dxfId="11373" priority="16261" operator="between">
      <formula>0.95</formula>
      <formula>1</formula>
    </cfRule>
    <cfRule type="cellIs" dxfId="11372" priority="16262" stopIfTrue="1" operator="between">
      <formula>0</formula>
      <formula>0.5</formula>
    </cfRule>
  </conditionalFormatting>
  <conditionalFormatting sqref="AG35">
    <cfRule type="cellIs" dxfId="11371" priority="16253" operator="between">
      <formula>0.76</formula>
      <formula>0.95</formula>
    </cfRule>
    <cfRule type="cellIs" dxfId="11370" priority="16254" operator="between">
      <formula>0.51</formula>
      <formula>0.75</formula>
    </cfRule>
    <cfRule type="cellIs" dxfId="11369" priority="16255" operator="greaterThan">
      <formula>1</formula>
    </cfRule>
    <cfRule type="cellIs" dxfId="11368" priority="16256" operator="between">
      <formula>0.95</formula>
      <formula>1</formula>
    </cfRule>
    <cfRule type="cellIs" dxfId="11367" priority="16257" stopIfTrue="1" operator="between">
      <formula>0</formula>
      <formula>0.5</formula>
    </cfRule>
  </conditionalFormatting>
  <conditionalFormatting sqref="AI236">
    <cfRule type="cellIs" dxfId="11366" priority="16248" operator="between">
      <formula>0.76</formula>
      <formula>0.95</formula>
    </cfRule>
    <cfRule type="cellIs" dxfId="11365" priority="16249" operator="between">
      <formula>0.51</formula>
      <formula>0.75</formula>
    </cfRule>
    <cfRule type="cellIs" dxfId="11364" priority="16250" operator="greaterThan">
      <formula>1</formula>
    </cfRule>
    <cfRule type="cellIs" dxfId="11363" priority="16251" operator="between">
      <formula>0.95</formula>
      <formula>1</formula>
    </cfRule>
    <cfRule type="cellIs" dxfId="11362" priority="16252" stopIfTrue="1" operator="between">
      <formula>0</formula>
      <formula>0.5</formula>
    </cfRule>
  </conditionalFormatting>
  <conditionalFormatting sqref="AH236">
    <cfRule type="cellIs" dxfId="11361" priority="16243" operator="between">
      <formula>0.76</formula>
      <formula>0.95</formula>
    </cfRule>
    <cfRule type="cellIs" dxfId="11360" priority="16244" operator="between">
      <formula>0.51</formula>
      <formula>0.75</formula>
    </cfRule>
    <cfRule type="cellIs" dxfId="11359" priority="16245" operator="greaterThan">
      <formula>1</formula>
    </cfRule>
    <cfRule type="cellIs" dxfId="11358" priority="16246" operator="between">
      <formula>0.95</formula>
      <formula>1</formula>
    </cfRule>
    <cfRule type="cellIs" dxfId="11357" priority="16247" stopIfTrue="1" operator="between">
      <formula>0</formula>
      <formula>0.5</formula>
    </cfRule>
  </conditionalFormatting>
  <conditionalFormatting sqref="AF236">
    <cfRule type="cellIs" dxfId="11356" priority="16238" operator="between">
      <formula>0.76</formula>
      <formula>0.95</formula>
    </cfRule>
    <cfRule type="cellIs" dxfId="11355" priority="16239" operator="between">
      <formula>0.51</formula>
      <formula>0.75</formula>
    </cfRule>
    <cfRule type="cellIs" dxfId="11354" priority="16240" operator="greaterThan">
      <formula>1</formula>
    </cfRule>
    <cfRule type="cellIs" dxfId="11353" priority="16241" operator="between">
      <formula>0.95</formula>
      <formula>1</formula>
    </cfRule>
    <cfRule type="cellIs" dxfId="11352" priority="16242" stopIfTrue="1" operator="between">
      <formula>0</formula>
      <formula>0.5</formula>
    </cfRule>
  </conditionalFormatting>
  <conditionalFormatting sqref="AF236">
    <cfRule type="cellIs" dxfId="11351" priority="16233" operator="between">
      <formula>0.76</formula>
      <formula>0.95</formula>
    </cfRule>
    <cfRule type="cellIs" dxfId="11350" priority="16234" operator="between">
      <formula>0.51</formula>
      <formula>0.75</formula>
    </cfRule>
    <cfRule type="cellIs" dxfId="11349" priority="16235" operator="greaterThan">
      <formula>1</formula>
    </cfRule>
    <cfRule type="cellIs" dxfId="11348" priority="16236" operator="between">
      <formula>0.95</formula>
      <formula>1</formula>
    </cfRule>
    <cfRule type="cellIs" dxfId="11347" priority="16237" stopIfTrue="1" operator="between">
      <formula>0</formula>
      <formula>0.5</formula>
    </cfRule>
  </conditionalFormatting>
  <conditionalFormatting sqref="AF236">
    <cfRule type="cellIs" dxfId="11346" priority="16228" operator="between">
      <formula>0.76</formula>
      <formula>0.95</formula>
    </cfRule>
    <cfRule type="cellIs" dxfId="11345" priority="16229" operator="between">
      <formula>0.51</formula>
      <formula>0.75</formula>
    </cfRule>
    <cfRule type="cellIs" dxfId="11344" priority="16230" operator="greaterThan">
      <formula>1</formula>
    </cfRule>
    <cfRule type="cellIs" dxfId="11343" priority="16231" operator="between">
      <formula>0.95</formula>
      <formula>1</formula>
    </cfRule>
    <cfRule type="cellIs" dxfId="11342" priority="16232" stopIfTrue="1" operator="between">
      <formula>0</formula>
      <formula>0.5</formula>
    </cfRule>
  </conditionalFormatting>
  <conditionalFormatting sqref="AF236">
    <cfRule type="cellIs" dxfId="11341" priority="16223" operator="between">
      <formula>0.76</formula>
      <formula>0.95</formula>
    </cfRule>
    <cfRule type="cellIs" dxfId="11340" priority="16224" operator="between">
      <formula>0.51</formula>
      <formula>0.75</formula>
    </cfRule>
    <cfRule type="cellIs" dxfId="11339" priority="16225" operator="greaterThan">
      <formula>1</formula>
    </cfRule>
    <cfRule type="cellIs" dxfId="11338" priority="16226" operator="between">
      <formula>0.95</formula>
      <formula>1</formula>
    </cfRule>
    <cfRule type="cellIs" dxfId="11337" priority="16227" stopIfTrue="1" operator="between">
      <formula>0</formula>
      <formula>0.5</formula>
    </cfRule>
  </conditionalFormatting>
  <conditionalFormatting sqref="AG236">
    <cfRule type="cellIs" dxfId="11336" priority="16218" operator="between">
      <formula>0.76</formula>
      <formula>0.95</formula>
    </cfRule>
    <cfRule type="cellIs" dxfId="11335" priority="16219" operator="between">
      <formula>0.51</formula>
      <formula>0.75</formula>
    </cfRule>
    <cfRule type="cellIs" dxfId="11334" priority="16220" operator="greaterThan">
      <formula>1</formula>
    </cfRule>
    <cfRule type="cellIs" dxfId="11333" priority="16221" operator="between">
      <formula>0.95</formula>
      <formula>1</formula>
    </cfRule>
    <cfRule type="cellIs" dxfId="11332" priority="16222" stopIfTrue="1" operator="between">
      <formula>0</formula>
      <formula>0.5</formula>
    </cfRule>
  </conditionalFormatting>
  <conditionalFormatting sqref="Y236:Z236">
    <cfRule type="cellIs" dxfId="11331" priority="16210" operator="between">
      <formula>0.76</formula>
      <formula>0.95</formula>
    </cfRule>
    <cfRule type="cellIs" dxfId="11330" priority="16211" operator="between">
      <formula>0.51</formula>
      <formula>0.75</formula>
    </cfRule>
    <cfRule type="cellIs" dxfId="11329" priority="16212" operator="greaterThan">
      <formula>1</formula>
    </cfRule>
    <cfRule type="cellIs" dxfId="11328" priority="16213" operator="between">
      <formula>0.95</formula>
      <formula>1</formula>
    </cfRule>
    <cfRule type="cellIs" dxfId="11327" priority="16214" stopIfTrue="1" operator="between">
      <formula>0</formula>
      <formula>0.5</formula>
    </cfRule>
  </conditionalFormatting>
  <conditionalFormatting sqref="AA236">
    <cfRule type="cellIs" dxfId="11326" priority="16205" operator="between">
      <formula>0.56251</formula>
      <formula>0.7125</formula>
    </cfRule>
    <cfRule type="cellIs" dxfId="11325" priority="16206" operator="between">
      <formula>0.3751</formula>
      <formula>0.5625</formula>
    </cfRule>
    <cfRule type="cellIs" dxfId="11324" priority="16207" operator="greaterThan">
      <formula>0.751</formula>
    </cfRule>
    <cfRule type="cellIs" dxfId="11323" priority="16208" operator="between">
      <formula>0.71251</formula>
      <formula>0.75</formula>
    </cfRule>
    <cfRule type="cellIs" dxfId="11322" priority="16209" stopIfTrue="1" operator="between">
      <formula>0</formula>
      <formula>0.375</formula>
    </cfRule>
  </conditionalFormatting>
  <conditionalFormatting sqref="AB236">
    <cfRule type="cellIs" dxfId="11321" priority="16200" operator="between">
      <formula>0.56251</formula>
      <formula>0.7125</formula>
    </cfRule>
    <cfRule type="cellIs" dxfId="11320" priority="16201" operator="between">
      <formula>0.3751</formula>
      <formula>0.5625</formula>
    </cfRule>
    <cfRule type="cellIs" dxfId="11319" priority="16202" operator="greaterThan">
      <formula>0.751</formula>
    </cfRule>
    <cfRule type="cellIs" dxfId="11318" priority="16203" operator="between">
      <formula>0.71251</formula>
      <formula>0.75</formula>
    </cfRule>
    <cfRule type="cellIs" dxfId="11317" priority="16204" stopIfTrue="1" operator="between">
      <formula>0</formula>
      <formula>0.375</formula>
    </cfRule>
  </conditionalFormatting>
  <conditionalFormatting sqref="R236:S236">
    <cfRule type="cellIs" dxfId="11316" priority="16192" operator="between">
      <formula>0.76</formula>
      <formula>0.95</formula>
    </cfRule>
    <cfRule type="cellIs" dxfId="11315" priority="16193" operator="between">
      <formula>0.51</formula>
      <formula>0.75</formula>
    </cfRule>
    <cfRule type="cellIs" dxfId="11314" priority="16194" operator="greaterThan">
      <formula>1</formula>
    </cfRule>
    <cfRule type="cellIs" dxfId="11313" priority="16195" operator="between">
      <formula>0.95</formula>
      <formula>1</formula>
    </cfRule>
    <cfRule type="cellIs" dxfId="11312" priority="16196" stopIfTrue="1" operator="between">
      <formula>0</formula>
      <formula>0.5</formula>
    </cfRule>
  </conditionalFormatting>
  <conditionalFormatting sqref="T236">
    <cfRule type="cellIs" dxfId="11311" priority="16187" operator="between">
      <formula>0.3751</formula>
      <formula>0.475</formula>
    </cfRule>
    <cfRule type="cellIs" dxfId="11310" priority="16188" operator="between">
      <formula>0.2551</formula>
      <formula>0.375</formula>
    </cfRule>
    <cfRule type="cellIs" dxfId="11309" priority="16189" operator="greaterThan">
      <formula>0.505</formula>
    </cfRule>
    <cfRule type="cellIs" dxfId="11308" priority="16190" operator="between">
      <formula>0.48</formula>
      <formula>0.5</formula>
    </cfRule>
    <cfRule type="cellIs" dxfId="11307" priority="16191" stopIfTrue="1" operator="between">
      <formula>0</formula>
      <formula>0.255</formula>
    </cfRule>
  </conditionalFormatting>
  <conditionalFormatting sqref="U236">
    <cfRule type="cellIs" dxfId="11306" priority="16177" operator="between">
      <formula>0.376</formula>
      <formula>0.475</formula>
    </cfRule>
    <cfRule type="cellIs" dxfId="11305" priority="16178" operator="between">
      <formula>0.2551</formula>
      <formula>0.3751</formula>
    </cfRule>
    <cfRule type="cellIs" dxfId="11304" priority="16179" operator="greaterThan">
      <formula>0.505</formula>
    </cfRule>
    <cfRule type="cellIs" dxfId="11303" priority="16180" operator="between">
      <formula>0.48</formula>
      <formula>0.5</formula>
    </cfRule>
    <cfRule type="cellIs" dxfId="11302" priority="16181" stopIfTrue="1" operator="between">
      <formula>0</formula>
      <formula>0.255</formula>
    </cfRule>
  </conditionalFormatting>
  <conditionalFormatting sqref="AI237">
    <cfRule type="cellIs" dxfId="11301" priority="16146" operator="between">
      <formula>0.76</formula>
      <formula>0.95</formula>
    </cfRule>
    <cfRule type="cellIs" dxfId="11300" priority="16147" operator="between">
      <formula>0.51</formula>
      <formula>0.75</formula>
    </cfRule>
    <cfRule type="cellIs" dxfId="11299" priority="16148" operator="greaterThan">
      <formula>1</formula>
    </cfRule>
    <cfRule type="cellIs" dxfId="11298" priority="16149" operator="between">
      <formula>0.95</formula>
      <formula>1</formula>
    </cfRule>
    <cfRule type="cellIs" dxfId="11297" priority="16150" stopIfTrue="1" operator="between">
      <formula>0</formula>
      <formula>0.5</formula>
    </cfRule>
  </conditionalFormatting>
  <conditionalFormatting sqref="AH237">
    <cfRule type="cellIs" dxfId="11296" priority="16141" operator="between">
      <formula>0.76</formula>
      <formula>0.95</formula>
    </cfRule>
    <cfRule type="cellIs" dxfId="11295" priority="16142" operator="between">
      <formula>0.51</formula>
      <formula>0.75</formula>
    </cfRule>
    <cfRule type="cellIs" dxfId="11294" priority="16143" operator="greaterThan">
      <formula>1</formula>
    </cfRule>
    <cfRule type="cellIs" dxfId="11293" priority="16144" operator="between">
      <formula>0.95</formula>
      <formula>1</formula>
    </cfRule>
    <cfRule type="cellIs" dxfId="11292" priority="16145" stopIfTrue="1" operator="between">
      <formula>0</formula>
      <formula>0.5</formula>
    </cfRule>
  </conditionalFormatting>
  <conditionalFormatting sqref="AF237">
    <cfRule type="cellIs" dxfId="11291" priority="16136" operator="between">
      <formula>0.76</formula>
      <formula>0.95</formula>
    </cfRule>
    <cfRule type="cellIs" dxfId="11290" priority="16137" operator="between">
      <formula>0.51</formula>
      <formula>0.75</formula>
    </cfRule>
    <cfRule type="cellIs" dxfId="11289" priority="16138" operator="greaterThan">
      <formula>1</formula>
    </cfRule>
    <cfRule type="cellIs" dxfId="11288" priority="16139" operator="between">
      <formula>0.95</formula>
      <formula>1</formula>
    </cfRule>
    <cfRule type="cellIs" dxfId="11287" priority="16140" stopIfTrue="1" operator="between">
      <formula>0</formula>
      <formula>0.5</formula>
    </cfRule>
  </conditionalFormatting>
  <conditionalFormatting sqref="AF237">
    <cfRule type="cellIs" dxfId="11286" priority="16131" operator="between">
      <formula>0.76</formula>
      <formula>0.95</formula>
    </cfRule>
    <cfRule type="cellIs" dxfId="11285" priority="16132" operator="between">
      <formula>0.51</formula>
      <formula>0.75</formula>
    </cfRule>
    <cfRule type="cellIs" dxfId="11284" priority="16133" operator="greaterThan">
      <formula>1</formula>
    </cfRule>
    <cfRule type="cellIs" dxfId="11283" priority="16134" operator="between">
      <formula>0.95</formula>
      <formula>1</formula>
    </cfRule>
    <cfRule type="cellIs" dxfId="11282" priority="16135" stopIfTrue="1" operator="between">
      <formula>0</formula>
      <formula>0.5</formula>
    </cfRule>
  </conditionalFormatting>
  <conditionalFormatting sqref="AF237">
    <cfRule type="cellIs" dxfId="11281" priority="16126" operator="between">
      <formula>0.76</formula>
      <formula>0.95</formula>
    </cfRule>
    <cfRule type="cellIs" dxfId="11280" priority="16127" operator="between">
      <formula>0.51</formula>
      <formula>0.75</formula>
    </cfRule>
    <cfRule type="cellIs" dxfId="11279" priority="16128" operator="greaterThan">
      <formula>1</formula>
    </cfRule>
    <cfRule type="cellIs" dxfId="11278" priority="16129" operator="between">
      <formula>0.95</formula>
      <formula>1</formula>
    </cfRule>
    <cfRule type="cellIs" dxfId="11277" priority="16130" stopIfTrue="1" operator="between">
      <formula>0</formula>
      <formula>0.5</formula>
    </cfRule>
  </conditionalFormatting>
  <conditionalFormatting sqref="AF237">
    <cfRule type="cellIs" dxfId="11276" priority="16121" operator="between">
      <formula>0.76</formula>
      <formula>0.95</formula>
    </cfRule>
    <cfRule type="cellIs" dxfId="11275" priority="16122" operator="between">
      <formula>0.51</formula>
      <formula>0.75</formula>
    </cfRule>
    <cfRule type="cellIs" dxfId="11274" priority="16123" operator="greaterThan">
      <formula>1</formula>
    </cfRule>
    <cfRule type="cellIs" dxfId="11273" priority="16124" operator="between">
      <formula>0.95</formula>
      <formula>1</formula>
    </cfRule>
    <cfRule type="cellIs" dxfId="11272" priority="16125" stopIfTrue="1" operator="between">
      <formula>0</formula>
      <formula>0.5</formula>
    </cfRule>
  </conditionalFormatting>
  <conditionalFormatting sqref="AG237">
    <cfRule type="cellIs" dxfId="11271" priority="16116" operator="between">
      <formula>0.76</formula>
      <formula>0.95</formula>
    </cfRule>
    <cfRule type="cellIs" dxfId="11270" priority="16117" operator="between">
      <formula>0.51</formula>
      <formula>0.75</formula>
    </cfRule>
    <cfRule type="cellIs" dxfId="11269" priority="16118" operator="greaterThan">
      <formula>1</formula>
    </cfRule>
    <cfRule type="cellIs" dxfId="11268" priority="16119" operator="between">
      <formula>0.95</formula>
      <formula>1</formula>
    </cfRule>
    <cfRule type="cellIs" dxfId="11267" priority="16120" stopIfTrue="1" operator="between">
      <formula>0</formula>
      <formula>0.5</formula>
    </cfRule>
  </conditionalFormatting>
  <conditionalFormatting sqref="Y237:Z237">
    <cfRule type="cellIs" dxfId="11266" priority="16108" operator="between">
      <formula>0.76</formula>
      <formula>0.95</formula>
    </cfRule>
    <cfRule type="cellIs" dxfId="11265" priority="16109" operator="between">
      <formula>0.51</formula>
      <formula>0.75</formula>
    </cfRule>
    <cfRule type="cellIs" dxfId="11264" priority="16110" operator="greaterThan">
      <formula>1</formula>
    </cfRule>
    <cfRule type="cellIs" dxfId="11263" priority="16111" operator="between">
      <formula>0.95</formula>
      <formula>1</formula>
    </cfRule>
    <cfRule type="cellIs" dxfId="11262" priority="16112" stopIfTrue="1" operator="between">
      <formula>0</formula>
      <formula>0.5</formula>
    </cfRule>
  </conditionalFormatting>
  <conditionalFormatting sqref="AA237">
    <cfRule type="cellIs" dxfId="11261" priority="16103" operator="between">
      <formula>0.56251</formula>
      <formula>0.7125</formula>
    </cfRule>
    <cfRule type="cellIs" dxfId="11260" priority="16104" operator="between">
      <formula>0.3751</formula>
      <formula>0.5625</formula>
    </cfRule>
    <cfRule type="cellIs" dxfId="11259" priority="16105" operator="greaterThan">
      <formula>0.751</formula>
    </cfRule>
    <cfRule type="cellIs" dxfId="11258" priority="16106" operator="between">
      <formula>0.71251</formula>
      <formula>0.75</formula>
    </cfRule>
    <cfRule type="cellIs" dxfId="11257" priority="16107" stopIfTrue="1" operator="between">
      <formula>0</formula>
      <formula>0.375</formula>
    </cfRule>
  </conditionalFormatting>
  <conditionalFormatting sqref="AB237">
    <cfRule type="cellIs" dxfId="11256" priority="16098" operator="between">
      <formula>0.56251</formula>
      <formula>0.7125</formula>
    </cfRule>
    <cfRule type="cellIs" dxfId="11255" priority="16099" operator="between">
      <formula>0.3751</formula>
      <formula>0.5625</formula>
    </cfRule>
    <cfRule type="cellIs" dxfId="11254" priority="16100" operator="greaterThan">
      <formula>0.751</formula>
    </cfRule>
    <cfRule type="cellIs" dxfId="11253" priority="16101" operator="between">
      <formula>0.71251</formula>
      <formula>0.75</formula>
    </cfRule>
    <cfRule type="cellIs" dxfId="11252" priority="16102" stopIfTrue="1" operator="between">
      <formula>0</formula>
      <formula>0.375</formula>
    </cfRule>
  </conditionalFormatting>
  <conditionalFormatting sqref="R237:S237">
    <cfRule type="cellIs" dxfId="11251" priority="16090" operator="between">
      <formula>0.76</formula>
      <formula>0.95</formula>
    </cfRule>
    <cfRule type="cellIs" dxfId="11250" priority="16091" operator="between">
      <formula>0.51</formula>
      <formula>0.75</formula>
    </cfRule>
    <cfRule type="cellIs" dxfId="11249" priority="16092" operator="greaterThan">
      <formula>1</formula>
    </cfRule>
    <cfRule type="cellIs" dxfId="11248" priority="16093" operator="between">
      <formula>0.95</formula>
      <formula>1</formula>
    </cfRule>
    <cfRule type="cellIs" dxfId="11247" priority="16094" stopIfTrue="1" operator="between">
      <formula>0</formula>
      <formula>0.5</formula>
    </cfRule>
  </conditionalFormatting>
  <conditionalFormatting sqref="T237">
    <cfRule type="cellIs" dxfId="11246" priority="16085" operator="between">
      <formula>0.3751</formula>
      <formula>0.475</formula>
    </cfRule>
    <cfRule type="cellIs" dxfId="11245" priority="16086" operator="between">
      <formula>0.2551</formula>
      <formula>0.375</formula>
    </cfRule>
    <cfRule type="cellIs" dxfId="11244" priority="16087" operator="greaterThan">
      <formula>0.505</formula>
    </cfRule>
    <cfRule type="cellIs" dxfId="11243" priority="16088" operator="between">
      <formula>0.48</formula>
      <formula>0.5</formula>
    </cfRule>
    <cfRule type="cellIs" dxfId="11242" priority="16089" stopIfTrue="1" operator="between">
      <formula>0</formula>
      <formula>0.255</formula>
    </cfRule>
  </conditionalFormatting>
  <conditionalFormatting sqref="U237">
    <cfRule type="cellIs" dxfId="11241" priority="16075" operator="between">
      <formula>0.376</formula>
      <formula>0.475</formula>
    </cfRule>
    <cfRule type="cellIs" dxfId="11240" priority="16076" operator="between">
      <formula>0.2551</formula>
      <formula>0.3751</formula>
    </cfRule>
    <cfRule type="cellIs" dxfId="11239" priority="16077" operator="greaterThan">
      <formula>0.505</formula>
    </cfRule>
    <cfRule type="cellIs" dxfId="11238" priority="16078" operator="between">
      <formula>0.48</formula>
      <formula>0.5</formula>
    </cfRule>
    <cfRule type="cellIs" dxfId="11237" priority="16079" stopIfTrue="1" operator="between">
      <formula>0</formula>
      <formula>0.255</formula>
    </cfRule>
  </conditionalFormatting>
  <conditionalFormatting sqref="Y34 R34 AF34 AH34:AI34">
    <cfRule type="cellIs" dxfId="11236" priority="16054" operator="between">
      <formula>0.76</formula>
      <formula>0.95</formula>
    </cfRule>
    <cfRule type="cellIs" dxfId="11235" priority="16055" operator="between">
      <formula>0.51</formula>
      <formula>0.75</formula>
    </cfRule>
    <cfRule type="cellIs" dxfId="11234" priority="16056" operator="greaterThan">
      <formula>1</formula>
    </cfRule>
    <cfRule type="cellIs" dxfId="11233" priority="16057" operator="between">
      <formula>0.95</formula>
      <formula>1</formula>
    </cfRule>
    <cfRule type="cellIs" dxfId="11232" priority="16058" stopIfTrue="1" operator="between">
      <formula>0</formula>
      <formula>0.5</formula>
    </cfRule>
  </conditionalFormatting>
  <conditionalFormatting sqref="T34">
    <cfRule type="cellIs" dxfId="11231" priority="16049" operator="between">
      <formula>0.3751</formula>
      <formula>0.475</formula>
    </cfRule>
    <cfRule type="cellIs" dxfId="11230" priority="16050" operator="between">
      <formula>0.2551</formula>
      <formula>0.375</formula>
    </cfRule>
    <cfRule type="cellIs" dxfId="11229" priority="16051" operator="greaterThan">
      <formula>0.505</formula>
    </cfRule>
    <cfRule type="cellIs" dxfId="11228" priority="16052" operator="between">
      <formula>0.48</formula>
      <formula>0.5</formula>
    </cfRule>
    <cfRule type="cellIs" dxfId="11227" priority="16053" stopIfTrue="1" operator="between">
      <formula>0</formula>
      <formula>0.255</formula>
    </cfRule>
  </conditionalFormatting>
  <conditionalFormatting sqref="AA34:AB34">
    <cfRule type="cellIs" dxfId="11226" priority="16044" operator="between">
      <formula>0.56251</formula>
      <formula>0.7125</formula>
    </cfRule>
    <cfRule type="cellIs" dxfId="11225" priority="16045" operator="between">
      <formula>0.3751</formula>
      <formula>0.5625</formula>
    </cfRule>
    <cfRule type="cellIs" dxfId="11224" priority="16046" operator="greaterThan">
      <formula>0.751</formula>
    </cfRule>
    <cfRule type="cellIs" dxfId="11223" priority="16047" operator="between">
      <formula>0.71251</formula>
      <formula>0.75</formula>
    </cfRule>
    <cfRule type="cellIs" dxfId="11222" priority="16048" stopIfTrue="1" operator="between">
      <formula>0</formula>
      <formula>0.375</formula>
    </cfRule>
  </conditionalFormatting>
  <conditionalFormatting sqref="U34">
    <cfRule type="cellIs" dxfId="11221" priority="16034" operator="between">
      <formula>0.376</formula>
      <formula>0.475</formula>
    </cfRule>
    <cfRule type="cellIs" dxfId="11220" priority="16035" operator="between">
      <formula>0.2551</formula>
      <formula>0.3751</formula>
    </cfRule>
    <cfRule type="cellIs" dxfId="11219" priority="16036" operator="greaterThan">
      <formula>0.505</formula>
    </cfRule>
    <cfRule type="cellIs" dxfId="11218" priority="16037" operator="between">
      <formula>0.48</formula>
      <formula>0.5</formula>
    </cfRule>
    <cfRule type="cellIs" dxfId="11217" priority="16038" stopIfTrue="1" operator="between">
      <formula>0</formula>
      <formula>0.255</formula>
    </cfRule>
  </conditionalFormatting>
  <conditionalFormatting sqref="AG34">
    <cfRule type="cellIs" dxfId="11216" priority="16009" operator="between">
      <formula>0.76</formula>
      <formula>0.95</formula>
    </cfRule>
    <cfRule type="cellIs" dxfId="11215" priority="16010" operator="between">
      <formula>0.51</formula>
      <formula>0.75</formula>
    </cfRule>
    <cfRule type="cellIs" dxfId="11214" priority="16011" operator="greaterThan">
      <formula>1</formula>
    </cfRule>
    <cfRule type="cellIs" dxfId="11213" priority="16012" operator="between">
      <formula>0.95</formula>
      <formula>1</formula>
    </cfRule>
    <cfRule type="cellIs" dxfId="11212" priority="16013" stopIfTrue="1" operator="between">
      <formula>0</formula>
      <formula>0.5</formula>
    </cfRule>
  </conditionalFormatting>
  <conditionalFormatting sqref="Z34">
    <cfRule type="cellIs" dxfId="11211" priority="15994" operator="between">
      <formula>0.76</formula>
      <formula>0.95</formula>
    </cfRule>
    <cfRule type="cellIs" dxfId="11210" priority="15995" operator="between">
      <formula>0.51</formula>
      <formula>0.75</formula>
    </cfRule>
    <cfRule type="cellIs" dxfId="11209" priority="15996" operator="greaterThan">
      <formula>1</formula>
    </cfRule>
    <cfRule type="cellIs" dxfId="11208" priority="15997" operator="between">
      <formula>0.95</formula>
      <formula>1</formula>
    </cfRule>
    <cfRule type="cellIs" dxfId="11207" priority="15998" stopIfTrue="1" operator="between">
      <formula>0</formula>
      <formula>0.5</formula>
    </cfRule>
  </conditionalFormatting>
  <conditionalFormatting sqref="AC34">
    <cfRule type="cellIs" dxfId="11206" priority="15989" operator="between">
      <formula>0.56251</formula>
      <formula>0.7125</formula>
    </cfRule>
    <cfRule type="cellIs" dxfId="11205" priority="15990" operator="between">
      <formula>0.3751</formula>
      <formula>0.5625</formula>
    </cfRule>
    <cfRule type="cellIs" dxfId="11204" priority="15991" operator="greaterThan">
      <formula>0.751</formula>
    </cfRule>
    <cfRule type="cellIs" dxfId="11203" priority="15992" operator="between">
      <formula>0.71251</formula>
      <formula>0.75</formula>
    </cfRule>
    <cfRule type="cellIs" dxfId="11202" priority="15993" stopIfTrue="1" operator="between">
      <formula>0</formula>
      <formula>0.375</formula>
    </cfRule>
  </conditionalFormatting>
  <conditionalFormatting sqref="S34">
    <cfRule type="cellIs" dxfId="11201" priority="15984" operator="between">
      <formula>0.76</formula>
      <formula>0.95</formula>
    </cfRule>
    <cfRule type="cellIs" dxfId="11200" priority="15985" operator="between">
      <formula>0.51</formula>
      <formula>0.75</formula>
    </cfRule>
    <cfRule type="cellIs" dxfId="11199" priority="15986" operator="greaterThan">
      <formula>1</formula>
    </cfRule>
    <cfRule type="cellIs" dxfId="11198" priority="15987" operator="between">
      <formula>0.95</formula>
      <formula>1</formula>
    </cfRule>
    <cfRule type="cellIs" dxfId="11197" priority="15988" stopIfTrue="1" operator="between">
      <formula>0</formula>
      <formula>0.5</formula>
    </cfRule>
  </conditionalFormatting>
  <conditionalFormatting sqref="V34">
    <cfRule type="cellIs" dxfId="11196" priority="15979" operator="between">
      <formula>0.376</formula>
      <formula>0.475</formula>
    </cfRule>
    <cfRule type="cellIs" dxfId="11195" priority="15980" operator="between">
      <formula>0.2551</formula>
      <formula>0.3751</formula>
    </cfRule>
    <cfRule type="cellIs" dxfId="11194" priority="15981" operator="greaterThan">
      <formula>0.505</formula>
    </cfRule>
    <cfRule type="cellIs" dxfId="11193" priority="15982" operator="between">
      <formula>0.48</formula>
      <formula>0.5</formula>
    </cfRule>
    <cfRule type="cellIs" dxfId="11192" priority="15983" stopIfTrue="1" operator="between">
      <formula>0</formula>
      <formula>0.255</formula>
    </cfRule>
  </conditionalFormatting>
  <conditionalFormatting sqref="Y29 R29 AF29 AH31:AI31 AF31 R31 Y31">
    <cfRule type="cellIs" dxfId="11191" priority="15974" operator="between">
      <formula>0.76</formula>
      <formula>0.95</formula>
    </cfRule>
    <cfRule type="cellIs" dxfId="11190" priority="15975" operator="between">
      <formula>0.51</formula>
      <formula>0.75</formula>
    </cfRule>
    <cfRule type="cellIs" dxfId="11189" priority="15976" operator="greaterThan">
      <formula>1</formula>
    </cfRule>
    <cfRule type="cellIs" dxfId="11188" priority="15977" operator="between">
      <formula>0.95</formula>
      <formula>1</formula>
    </cfRule>
    <cfRule type="cellIs" dxfId="11187" priority="15978" stopIfTrue="1" operator="between">
      <formula>0</formula>
      <formula>0.5</formula>
    </cfRule>
  </conditionalFormatting>
  <conditionalFormatting sqref="T31">
    <cfRule type="cellIs" dxfId="11186" priority="15969" operator="between">
      <formula>0.3751</formula>
      <formula>0.475</formula>
    </cfRule>
    <cfRule type="cellIs" dxfId="11185" priority="15970" operator="between">
      <formula>0.2551</formula>
      <formula>0.375</formula>
    </cfRule>
    <cfRule type="cellIs" dxfId="11184" priority="15971" operator="greaterThan">
      <formula>0.505</formula>
    </cfRule>
    <cfRule type="cellIs" dxfId="11183" priority="15972" operator="between">
      <formula>0.48</formula>
      <formula>0.5</formula>
    </cfRule>
    <cfRule type="cellIs" dxfId="11182" priority="15973" stopIfTrue="1" operator="between">
      <formula>0</formula>
      <formula>0.255</formula>
    </cfRule>
  </conditionalFormatting>
  <conditionalFormatting sqref="AA31:AB31">
    <cfRule type="cellIs" dxfId="11181" priority="15964" operator="between">
      <formula>0.56251</formula>
      <formula>0.7125</formula>
    </cfRule>
    <cfRule type="cellIs" dxfId="11180" priority="15965" operator="between">
      <formula>0.3751</formula>
      <formula>0.5625</formula>
    </cfRule>
    <cfRule type="cellIs" dxfId="11179" priority="15966" operator="greaterThan">
      <formula>0.751</formula>
    </cfRule>
    <cfRule type="cellIs" dxfId="11178" priority="15967" operator="between">
      <formula>0.71251</formula>
      <formula>0.75</formula>
    </cfRule>
    <cfRule type="cellIs" dxfId="11177" priority="15968" stopIfTrue="1" operator="between">
      <formula>0</formula>
      <formula>0.375</formula>
    </cfRule>
  </conditionalFormatting>
  <conditionalFormatting sqref="U31">
    <cfRule type="cellIs" dxfId="11176" priority="15954" operator="between">
      <formula>0.376</formula>
      <formula>0.475</formula>
    </cfRule>
    <cfRule type="cellIs" dxfId="11175" priority="15955" operator="between">
      <formula>0.2551</formula>
      <formula>0.3751</formula>
    </cfRule>
    <cfRule type="cellIs" dxfId="11174" priority="15956" operator="greaterThan">
      <formula>0.505</formula>
    </cfRule>
    <cfRule type="cellIs" dxfId="11173" priority="15957" operator="between">
      <formula>0.48</formula>
      <formula>0.5</formula>
    </cfRule>
    <cfRule type="cellIs" dxfId="11172" priority="15958" stopIfTrue="1" operator="between">
      <formula>0</formula>
      <formula>0.255</formula>
    </cfRule>
  </conditionalFormatting>
  <conditionalFormatting sqref="AG29 AG31">
    <cfRule type="cellIs" dxfId="11171" priority="15934" operator="between">
      <formula>0.76</formula>
      <formula>0.95</formula>
    </cfRule>
    <cfRule type="cellIs" dxfId="11170" priority="15935" operator="between">
      <formula>0.51</formula>
      <formula>0.75</formula>
    </cfRule>
    <cfRule type="cellIs" dxfId="11169" priority="15936" operator="greaterThan">
      <formula>1</formula>
    </cfRule>
    <cfRule type="cellIs" dxfId="11168" priority="15937" operator="between">
      <formula>0.95</formula>
      <formula>1</formula>
    </cfRule>
    <cfRule type="cellIs" dxfId="11167" priority="15938" stopIfTrue="1" operator="between">
      <formula>0</formula>
      <formula>0.5</formula>
    </cfRule>
  </conditionalFormatting>
  <conditionalFormatting sqref="Z29 Z31">
    <cfRule type="cellIs" dxfId="11166" priority="15919" operator="between">
      <formula>0.76</formula>
      <formula>0.95</formula>
    </cfRule>
    <cfRule type="cellIs" dxfId="11165" priority="15920" operator="between">
      <formula>0.51</formula>
      <formula>0.75</formula>
    </cfRule>
    <cfRule type="cellIs" dxfId="11164" priority="15921" operator="greaterThan">
      <formula>1</formula>
    </cfRule>
    <cfRule type="cellIs" dxfId="11163" priority="15922" operator="between">
      <formula>0.95</formula>
      <formula>1</formula>
    </cfRule>
    <cfRule type="cellIs" dxfId="11162" priority="15923" stopIfTrue="1" operator="between">
      <formula>0</formula>
      <formula>0.5</formula>
    </cfRule>
  </conditionalFormatting>
  <conditionalFormatting sqref="AC31">
    <cfRule type="cellIs" dxfId="11161" priority="15914" operator="between">
      <formula>0.56251</formula>
      <formula>0.7125</formula>
    </cfRule>
    <cfRule type="cellIs" dxfId="11160" priority="15915" operator="between">
      <formula>0.3751</formula>
      <formula>0.5625</formula>
    </cfRule>
    <cfRule type="cellIs" dxfId="11159" priority="15916" operator="greaterThan">
      <formula>0.751</formula>
    </cfRule>
    <cfRule type="cellIs" dxfId="11158" priority="15917" operator="between">
      <formula>0.71251</formula>
      <formula>0.75</formula>
    </cfRule>
    <cfRule type="cellIs" dxfId="11157" priority="15918" stopIfTrue="1" operator="between">
      <formula>0</formula>
      <formula>0.375</formula>
    </cfRule>
  </conditionalFormatting>
  <conditionalFormatting sqref="S29 S31">
    <cfRule type="cellIs" dxfId="11156" priority="15909" operator="between">
      <formula>0.76</formula>
      <formula>0.95</formula>
    </cfRule>
    <cfRule type="cellIs" dxfId="11155" priority="15910" operator="between">
      <formula>0.51</formula>
      <formula>0.75</formula>
    </cfRule>
    <cfRule type="cellIs" dxfId="11154" priority="15911" operator="greaterThan">
      <formula>1</formula>
    </cfRule>
    <cfRule type="cellIs" dxfId="11153" priority="15912" operator="between">
      <formula>0.95</formula>
      <formula>1</formula>
    </cfRule>
    <cfRule type="cellIs" dxfId="11152" priority="15913" stopIfTrue="1" operator="between">
      <formula>0</formula>
      <formula>0.5</formula>
    </cfRule>
  </conditionalFormatting>
  <conditionalFormatting sqref="V31">
    <cfRule type="cellIs" dxfId="11151" priority="15904" operator="between">
      <formula>0.376</formula>
      <formula>0.475</formula>
    </cfRule>
    <cfRule type="cellIs" dxfId="11150" priority="15905" operator="between">
      <formula>0.2551</formula>
      <formula>0.3751</formula>
    </cfRule>
    <cfRule type="cellIs" dxfId="11149" priority="15906" operator="greaterThan">
      <formula>0.505</formula>
    </cfRule>
    <cfRule type="cellIs" dxfId="11148" priority="15907" operator="between">
      <formula>0.48</formula>
      <formula>0.5</formula>
    </cfRule>
    <cfRule type="cellIs" dxfId="11147" priority="15908" stopIfTrue="1" operator="between">
      <formula>0</formula>
      <formula>0.255</formula>
    </cfRule>
  </conditionalFormatting>
  <conditionalFormatting sqref="Z59">
    <cfRule type="cellIs" dxfId="11146" priority="15899" operator="between">
      <formula>0.76</formula>
      <formula>0.95</formula>
    </cfRule>
    <cfRule type="cellIs" dxfId="11145" priority="15900" operator="between">
      <formula>0.51</formula>
      <formula>0.75</formula>
    </cfRule>
    <cfRule type="cellIs" dxfId="11144" priority="15901" operator="greaterThan">
      <formula>1</formula>
    </cfRule>
    <cfRule type="cellIs" dxfId="11143" priority="15902" operator="between">
      <formula>0.95</formula>
      <formula>1</formula>
    </cfRule>
    <cfRule type="cellIs" dxfId="11142" priority="15903" stopIfTrue="1" operator="between">
      <formula>0</formula>
      <formula>0.5</formula>
    </cfRule>
  </conditionalFormatting>
  <conditionalFormatting sqref="AC59">
    <cfRule type="cellIs" dxfId="11141" priority="15894" operator="between">
      <formula>0.56251</formula>
      <formula>0.7125</formula>
    </cfRule>
    <cfRule type="cellIs" dxfId="11140" priority="15895" operator="between">
      <formula>0.3751</formula>
      <formula>0.5625</formula>
    </cfRule>
    <cfRule type="cellIs" dxfId="11139" priority="15896" operator="greaterThan">
      <formula>0.751</formula>
    </cfRule>
    <cfRule type="cellIs" dxfId="11138" priority="15897" operator="between">
      <formula>0.71251</formula>
      <formula>0.75</formula>
    </cfRule>
    <cfRule type="cellIs" dxfId="11137" priority="15898" stopIfTrue="1" operator="between">
      <formula>0</formula>
      <formula>0.375</formula>
    </cfRule>
  </conditionalFormatting>
  <conditionalFormatting sqref="S59">
    <cfRule type="cellIs" dxfId="11136" priority="15889" operator="between">
      <formula>0.76</formula>
      <formula>0.95</formula>
    </cfRule>
    <cfRule type="cellIs" dxfId="11135" priority="15890" operator="between">
      <formula>0.51</formula>
      <formula>0.75</formula>
    </cfRule>
    <cfRule type="cellIs" dxfId="11134" priority="15891" operator="greaterThan">
      <formula>1</formula>
    </cfRule>
    <cfRule type="cellIs" dxfId="11133" priority="15892" operator="between">
      <formula>0.95</formula>
      <formula>1</formula>
    </cfRule>
    <cfRule type="cellIs" dxfId="11132" priority="15893" stopIfTrue="1" operator="between">
      <formula>0</formula>
      <formula>0.5</formula>
    </cfRule>
  </conditionalFormatting>
  <conditionalFormatting sqref="V59">
    <cfRule type="cellIs" dxfId="11131" priority="15884" operator="between">
      <formula>0.376</formula>
      <formula>0.475</formula>
    </cfRule>
    <cfRule type="cellIs" dxfId="11130" priority="15885" operator="between">
      <formula>0.2551</formula>
      <formula>0.3751</formula>
    </cfRule>
    <cfRule type="cellIs" dxfId="11129" priority="15886" operator="greaterThan">
      <formula>0.505</formula>
    </cfRule>
    <cfRule type="cellIs" dxfId="11128" priority="15887" operator="between">
      <formula>0.48</formula>
      <formula>0.5</formula>
    </cfRule>
    <cfRule type="cellIs" dxfId="11127" priority="15888" stopIfTrue="1" operator="between">
      <formula>0</formula>
      <formula>0.255</formula>
    </cfRule>
  </conditionalFormatting>
  <conditionalFormatting sqref="AF60:AI60 R60 Y60">
    <cfRule type="cellIs" dxfId="11126" priority="15879" operator="between">
      <formula>0.76</formula>
      <formula>0.95</formula>
    </cfRule>
    <cfRule type="cellIs" dxfId="11125" priority="15880" operator="between">
      <formula>0.51</formula>
      <formula>0.75</formula>
    </cfRule>
    <cfRule type="cellIs" dxfId="11124" priority="15881" operator="greaterThan">
      <formula>1</formula>
    </cfRule>
    <cfRule type="cellIs" dxfId="11123" priority="15882" operator="between">
      <formula>0.95</formula>
      <formula>1</formula>
    </cfRule>
    <cfRule type="cellIs" dxfId="11122" priority="15883" stopIfTrue="1" operator="between">
      <formula>0</formula>
      <formula>0.5</formula>
    </cfRule>
  </conditionalFormatting>
  <conditionalFormatting sqref="T60">
    <cfRule type="cellIs" dxfId="11121" priority="15874" operator="between">
      <formula>0.3751</formula>
      <formula>0.475</formula>
    </cfRule>
    <cfRule type="cellIs" dxfId="11120" priority="15875" operator="between">
      <formula>0.2551</formula>
      <formula>0.375</formula>
    </cfRule>
    <cfRule type="cellIs" dxfId="11119" priority="15876" operator="greaterThan">
      <formula>0.505</formula>
    </cfRule>
    <cfRule type="cellIs" dxfId="11118" priority="15877" operator="between">
      <formula>0.48</formula>
      <formula>0.5</formula>
    </cfRule>
    <cfRule type="cellIs" dxfId="11117" priority="15878" stopIfTrue="1" operator="between">
      <formula>0</formula>
      <formula>0.255</formula>
    </cfRule>
  </conditionalFormatting>
  <conditionalFormatting sqref="AA60:AB60">
    <cfRule type="cellIs" dxfId="11116" priority="15869" operator="between">
      <formula>0.56251</formula>
      <formula>0.7125</formula>
    </cfRule>
    <cfRule type="cellIs" dxfId="11115" priority="15870" operator="between">
      <formula>0.3751</formula>
      <formula>0.5625</formula>
    </cfRule>
    <cfRule type="cellIs" dxfId="11114" priority="15871" operator="greaterThan">
      <formula>0.751</formula>
    </cfRule>
    <cfRule type="cellIs" dxfId="11113" priority="15872" operator="between">
      <formula>0.71251</formula>
      <formula>0.75</formula>
    </cfRule>
    <cfRule type="cellIs" dxfId="11112" priority="15873" stopIfTrue="1" operator="between">
      <formula>0</formula>
      <formula>0.375</formula>
    </cfRule>
  </conditionalFormatting>
  <conditionalFormatting sqref="U60">
    <cfRule type="cellIs" dxfId="11111" priority="15859" operator="between">
      <formula>0.376</formula>
      <formula>0.475</formula>
    </cfRule>
    <cfRule type="cellIs" dxfId="11110" priority="15860" operator="between">
      <formula>0.2551</formula>
      <formula>0.3751</formula>
    </cfRule>
    <cfRule type="cellIs" dxfId="11109" priority="15861" operator="greaterThan">
      <formula>0.505</formula>
    </cfRule>
    <cfRule type="cellIs" dxfId="11108" priority="15862" operator="between">
      <formula>0.48</formula>
      <formula>0.5</formula>
    </cfRule>
    <cfRule type="cellIs" dxfId="11107" priority="15863" stopIfTrue="1" operator="between">
      <formula>0</formula>
      <formula>0.255</formula>
    </cfRule>
  </conditionalFormatting>
  <conditionalFormatting sqref="Z60">
    <cfRule type="cellIs" dxfId="11106" priority="15839" operator="between">
      <formula>0.76</formula>
      <formula>0.95</formula>
    </cfRule>
    <cfRule type="cellIs" dxfId="11105" priority="15840" operator="between">
      <formula>0.51</formula>
      <formula>0.75</formula>
    </cfRule>
    <cfRule type="cellIs" dxfId="11104" priority="15841" operator="greaterThan">
      <formula>1</formula>
    </cfRule>
    <cfRule type="cellIs" dxfId="11103" priority="15842" operator="between">
      <formula>0.95</formula>
      <formula>1</formula>
    </cfRule>
    <cfRule type="cellIs" dxfId="11102" priority="15843" stopIfTrue="1" operator="between">
      <formula>0</formula>
      <formula>0.5</formula>
    </cfRule>
  </conditionalFormatting>
  <conditionalFormatting sqref="AC60">
    <cfRule type="cellIs" dxfId="11101" priority="15834" operator="between">
      <formula>0.56251</formula>
      <formula>0.7125</formula>
    </cfRule>
    <cfRule type="cellIs" dxfId="11100" priority="15835" operator="between">
      <formula>0.3751</formula>
      <formula>0.5625</formula>
    </cfRule>
    <cfRule type="cellIs" dxfId="11099" priority="15836" operator="greaterThan">
      <formula>0.751</formula>
    </cfRule>
    <cfRule type="cellIs" dxfId="11098" priority="15837" operator="between">
      <formula>0.71251</formula>
      <formula>0.75</formula>
    </cfRule>
    <cfRule type="cellIs" dxfId="11097" priority="15838" stopIfTrue="1" operator="between">
      <formula>0</formula>
      <formula>0.375</formula>
    </cfRule>
  </conditionalFormatting>
  <conditionalFormatting sqref="S60">
    <cfRule type="cellIs" dxfId="11096" priority="15829" operator="between">
      <formula>0.76</formula>
      <formula>0.95</formula>
    </cfRule>
    <cfRule type="cellIs" dxfId="11095" priority="15830" operator="between">
      <formula>0.51</formula>
      <formula>0.75</formula>
    </cfRule>
    <cfRule type="cellIs" dxfId="11094" priority="15831" operator="greaterThan">
      <formula>1</formula>
    </cfRule>
    <cfRule type="cellIs" dxfId="11093" priority="15832" operator="between">
      <formula>0.95</formula>
      <formula>1</formula>
    </cfRule>
    <cfRule type="cellIs" dxfId="11092" priority="15833" stopIfTrue="1" operator="between">
      <formula>0</formula>
      <formula>0.5</formula>
    </cfRule>
  </conditionalFormatting>
  <conditionalFormatting sqref="V60">
    <cfRule type="cellIs" dxfId="11091" priority="15824" operator="between">
      <formula>0.376</formula>
      <formula>0.475</formula>
    </cfRule>
    <cfRule type="cellIs" dxfId="11090" priority="15825" operator="between">
      <formula>0.2551</formula>
      <formula>0.3751</formula>
    </cfRule>
    <cfRule type="cellIs" dxfId="11089" priority="15826" operator="greaterThan">
      <formula>0.505</formula>
    </cfRule>
    <cfRule type="cellIs" dxfId="11088" priority="15827" operator="between">
      <formula>0.48</formula>
      <formula>0.5</formula>
    </cfRule>
    <cfRule type="cellIs" dxfId="11087" priority="15828" stopIfTrue="1" operator="between">
      <formula>0</formula>
      <formula>0.255</formula>
    </cfRule>
  </conditionalFormatting>
  <conditionalFormatting sqref="AF65:AI65 R65 Y65">
    <cfRule type="cellIs" dxfId="11086" priority="15819" operator="between">
      <formula>0.76</formula>
      <formula>0.95</formula>
    </cfRule>
    <cfRule type="cellIs" dxfId="11085" priority="15820" operator="between">
      <formula>0.51</formula>
      <formula>0.75</formula>
    </cfRule>
    <cfRule type="cellIs" dxfId="11084" priority="15821" operator="greaterThan">
      <formula>1</formula>
    </cfRule>
    <cfRule type="cellIs" dxfId="11083" priority="15822" operator="between">
      <formula>0.95</formula>
      <formula>1</formula>
    </cfRule>
    <cfRule type="cellIs" dxfId="11082" priority="15823" stopIfTrue="1" operator="between">
      <formula>0</formula>
      <formula>0.5</formula>
    </cfRule>
  </conditionalFormatting>
  <conditionalFormatting sqref="T65">
    <cfRule type="cellIs" dxfId="11081" priority="15814" operator="between">
      <formula>0.3751</formula>
      <formula>0.475</formula>
    </cfRule>
    <cfRule type="cellIs" dxfId="11080" priority="15815" operator="between">
      <formula>0.2551</formula>
      <formula>0.375</formula>
    </cfRule>
    <cfRule type="cellIs" dxfId="11079" priority="15816" operator="greaterThan">
      <formula>0.505</formula>
    </cfRule>
    <cfRule type="cellIs" dxfId="11078" priority="15817" operator="between">
      <formula>0.48</formula>
      <formula>0.5</formula>
    </cfRule>
    <cfRule type="cellIs" dxfId="11077" priority="15818" stopIfTrue="1" operator="between">
      <formula>0</formula>
      <formula>0.255</formula>
    </cfRule>
  </conditionalFormatting>
  <conditionalFormatting sqref="AA65:AB65">
    <cfRule type="cellIs" dxfId="11076" priority="15809" operator="between">
      <formula>0.56251</formula>
      <formula>0.7125</formula>
    </cfRule>
    <cfRule type="cellIs" dxfId="11075" priority="15810" operator="between">
      <formula>0.3751</formula>
      <formula>0.5625</formula>
    </cfRule>
    <cfRule type="cellIs" dxfId="11074" priority="15811" operator="greaterThan">
      <formula>0.751</formula>
    </cfRule>
    <cfRule type="cellIs" dxfId="11073" priority="15812" operator="between">
      <formula>0.71251</formula>
      <formula>0.75</formula>
    </cfRule>
    <cfRule type="cellIs" dxfId="11072" priority="15813" stopIfTrue="1" operator="between">
      <formula>0</formula>
      <formula>0.375</formula>
    </cfRule>
  </conditionalFormatting>
  <conditionalFormatting sqref="U65">
    <cfRule type="cellIs" dxfId="11071" priority="15799" operator="between">
      <formula>0.376</formula>
      <formula>0.475</formula>
    </cfRule>
    <cfRule type="cellIs" dxfId="11070" priority="15800" operator="between">
      <formula>0.2551</formula>
      <formula>0.3751</formula>
    </cfRule>
    <cfRule type="cellIs" dxfId="11069" priority="15801" operator="greaterThan">
      <formula>0.505</formula>
    </cfRule>
    <cfRule type="cellIs" dxfId="11068" priority="15802" operator="between">
      <formula>0.48</formula>
      <formula>0.5</formula>
    </cfRule>
    <cfRule type="cellIs" dxfId="11067" priority="15803" stopIfTrue="1" operator="between">
      <formula>0</formula>
      <formula>0.255</formula>
    </cfRule>
  </conditionalFormatting>
  <conditionalFormatting sqref="Z65">
    <cfRule type="cellIs" dxfId="11066" priority="15779" operator="between">
      <formula>0.76</formula>
      <formula>0.95</formula>
    </cfRule>
    <cfRule type="cellIs" dxfId="11065" priority="15780" operator="between">
      <formula>0.51</formula>
      <formula>0.75</formula>
    </cfRule>
    <cfRule type="cellIs" dxfId="11064" priority="15781" operator="greaterThan">
      <formula>1</formula>
    </cfRule>
    <cfRule type="cellIs" dxfId="11063" priority="15782" operator="between">
      <formula>0.95</formula>
      <formula>1</formula>
    </cfRule>
    <cfRule type="cellIs" dxfId="11062" priority="15783" stopIfTrue="1" operator="between">
      <formula>0</formula>
      <formula>0.5</formula>
    </cfRule>
  </conditionalFormatting>
  <conditionalFormatting sqref="AC65">
    <cfRule type="cellIs" dxfId="11061" priority="15774" operator="between">
      <formula>0.56251</formula>
      <formula>0.7125</formula>
    </cfRule>
    <cfRule type="cellIs" dxfId="11060" priority="15775" operator="between">
      <formula>0.3751</formula>
      <formula>0.5625</formula>
    </cfRule>
    <cfRule type="cellIs" dxfId="11059" priority="15776" operator="greaterThan">
      <formula>0.751</formula>
    </cfRule>
    <cfRule type="cellIs" dxfId="11058" priority="15777" operator="between">
      <formula>0.71251</formula>
      <formula>0.75</formula>
    </cfRule>
    <cfRule type="cellIs" dxfId="11057" priority="15778" stopIfTrue="1" operator="between">
      <formula>0</formula>
      <formula>0.375</formula>
    </cfRule>
  </conditionalFormatting>
  <conditionalFormatting sqref="S65">
    <cfRule type="cellIs" dxfId="11056" priority="15769" operator="between">
      <formula>0.76</formula>
      <formula>0.95</formula>
    </cfRule>
    <cfRule type="cellIs" dxfId="11055" priority="15770" operator="between">
      <formula>0.51</formula>
      <formula>0.75</formula>
    </cfRule>
    <cfRule type="cellIs" dxfId="11054" priority="15771" operator="greaterThan">
      <formula>1</formula>
    </cfRule>
    <cfRule type="cellIs" dxfId="11053" priority="15772" operator="between">
      <formula>0.95</formula>
      <formula>1</formula>
    </cfRule>
    <cfRule type="cellIs" dxfId="11052" priority="15773" stopIfTrue="1" operator="between">
      <formula>0</formula>
      <formula>0.5</formula>
    </cfRule>
  </conditionalFormatting>
  <conditionalFormatting sqref="V65">
    <cfRule type="cellIs" dxfId="11051" priority="15764" operator="between">
      <formula>0.376</formula>
      <formula>0.475</formula>
    </cfRule>
    <cfRule type="cellIs" dxfId="11050" priority="15765" operator="between">
      <formula>0.2551</formula>
      <formula>0.3751</formula>
    </cfRule>
    <cfRule type="cellIs" dxfId="11049" priority="15766" operator="greaterThan">
      <formula>0.505</formula>
    </cfRule>
    <cfRule type="cellIs" dxfId="11048" priority="15767" operator="between">
      <formula>0.48</formula>
      <formula>0.5</formula>
    </cfRule>
    <cfRule type="cellIs" dxfId="11047" priority="15768" stopIfTrue="1" operator="between">
      <formula>0</formula>
      <formula>0.255</formula>
    </cfRule>
  </conditionalFormatting>
  <conditionalFormatting sqref="AF171:AI171 R171 Y171">
    <cfRule type="cellIs" dxfId="11046" priority="15759" operator="between">
      <formula>0.76</formula>
      <formula>0.95</formula>
    </cfRule>
    <cfRule type="cellIs" dxfId="11045" priority="15760" operator="between">
      <formula>0.51</formula>
      <formula>0.75</formula>
    </cfRule>
    <cfRule type="cellIs" dxfId="11044" priority="15761" operator="greaterThan">
      <formula>1</formula>
    </cfRule>
    <cfRule type="cellIs" dxfId="11043" priority="15762" operator="between">
      <formula>0.95</formula>
      <formula>1</formula>
    </cfRule>
    <cfRule type="cellIs" dxfId="11042" priority="15763" stopIfTrue="1" operator="between">
      <formula>0</formula>
      <formula>0.5</formula>
    </cfRule>
  </conditionalFormatting>
  <conditionalFormatting sqref="T171">
    <cfRule type="cellIs" dxfId="11041" priority="15754" operator="between">
      <formula>0.3751</formula>
      <formula>0.475</formula>
    </cfRule>
    <cfRule type="cellIs" dxfId="11040" priority="15755" operator="between">
      <formula>0.2551</formula>
      <formula>0.375</formula>
    </cfRule>
    <cfRule type="cellIs" dxfId="11039" priority="15756" operator="greaterThan">
      <formula>0.505</formula>
    </cfRule>
    <cfRule type="cellIs" dxfId="11038" priority="15757" operator="between">
      <formula>0.48</formula>
      <formula>0.5</formula>
    </cfRule>
    <cfRule type="cellIs" dxfId="11037" priority="15758" stopIfTrue="1" operator="between">
      <formula>0</formula>
      <formula>0.255</formula>
    </cfRule>
  </conditionalFormatting>
  <conditionalFormatting sqref="AA171:AB171">
    <cfRule type="cellIs" dxfId="11036" priority="15749" operator="between">
      <formula>0.56251</formula>
      <formula>0.7125</formula>
    </cfRule>
    <cfRule type="cellIs" dxfId="11035" priority="15750" operator="between">
      <formula>0.3751</formula>
      <formula>0.5625</formula>
    </cfRule>
    <cfRule type="cellIs" dxfId="11034" priority="15751" operator="greaterThan">
      <formula>0.751</formula>
    </cfRule>
    <cfRule type="cellIs" dxfId="11033" priority="15752" operator="between">
      <formula>0.71251</formula>
      <formula>0.75</formula>
    </cfRule>
    <cfRule type="cellIs" dxfId="11032" priority="15753" stopIfTrue="1" operator="between">
      <formula>0</formula>
      <formula>0.375</formula>
    </cfRule>
  </conditionalFormatting>
  <conditionalFormatting sqref="U171">
    <cfRule type="cellIs" dxfId="11031" priority="15739" operator="between">
      <formula>0.376</formula>
      <formula>0.475</formula>
    </cfRule>
    <cfRule type="cellIs" dxfId="11030" priority="15740" operator="between">
      <formula>0.2551</formula>
      <formula>0.3751</formula>
    </cfRule>
    <cfRule type="cellIs" dxfId="11029" priority="15741" operator="greaterThan">
      <formula>0.505</formula>
    </cfRule>
    <cfRule type="cellIs" dxfId="11028" priority="15742" operator="between">
      <formula>0.48</formula>
      <formula>0.5</formula>
    </cfRule>
    <cfRule type="cellIs" dxfId="11027" priority="15743" stopIfTrue="1" operator="between">
      <formula>0</formula>
      <formula>0.255</formula>
    </cfRule>
  </conditionalFormatting>
  <conditionalFormatting sqref="AC171">
    <cfRule type="cellIs" dxfId="11026" priority="15714" operator="between">
      <formula>0.56251</formula>
      <formula>0.7125</formula>
    </cfRule>
    <cfRule type="cellIs" dxfId="11025" priority="15715" operator="between">
      <formula>0.3751</formula>
      <formula>0.5625</formula>
    </cfRule>
    <cfRule type="cellIs" dxfId="11024" priority="15716" operator="greaterThan">
      <formula>0.751</formula>
    </cfRule>
    <cfRule type="cellIs" dxfId="11023" priority="15717" operator="between">
      <formula>0.71251</formula>
      <formula>0.75</formula>
    </cfRule>
    <cfRule type="cellIs" dxfId="11022" priority="15718" stopIfTrue="1" operator="between">
      <formula>0</formula>
      <formula>0.375</formula>
    </cfRule>
  </conditionalFormatting>
  <conditionalFormatting sqref="V171">
    <cfRule type="cellIs" dxfId="11021" priority="15704" operator="between">
      <formula>0.376</formula>
      <formula>0.475</formula>
    </cfRule>
    <cfRule type="cellIs" dxfId="11020" priority="15705" operator="between">
      <formula>0.2551</formula>
      <formula>0.3751</formula>
    </cfRule>
    <cfRule type="cellIs" dxfId="11019" priority="15706" operator="greaterThan">
      <formula>0.505</formula>
    </cfRule>
    <cfRule type="cellIs" dxfId="11018" priority="15707" operator="between">
      <formula>0.48</formula>
      <formula>0.5</formula>
    </cfRule>
    <cfRule type="cellIs" dxfId="11017" priority="15708" stopIfTrue="1" operator="between">
      <formula>0</formula>
      <formula>0.255</formula>
    </cfRule>
  </conditionalFormatting>
  <conditionalFormatting sqref="Z171">
    <cfRule type="cellIs" dxfId="11016" priority="15579" operator="between">
      <formula>0.76</formula>
      <formula>0.95</formula>
    </cfRule>
    <cfRule type="cellIs" dxfId="11015" priority="15580" operator="between">
      <formula>0.51</formula>
      <formula>0.75</formula>
    </cfRule>
    <cfRule type="cellIs" dxfId="11014" priority="15581" operator="greaterThan">
      <formula>1</formula>
    </cfRule>
    <cfRule type="cellIs" dxfId="11013" priority="15582" operator="between">
      <formula>0.95</formula>
      <formula>1</formula>
    </cfRule>
    <cfRule type="cellIs" dxfId="11012" priority="15583" stopIfTrue="1" operator="between">
      <formula>0</formula>
      <formula>0.5</formula>
    </cfRule>
  </conditionalFormatting>
  <conditionalFormatting sqref="S171">
    <cfRule type="cellIs" dxfId="11011" priority="15574" operator="between">
      <formula>0.76</formula>
      <formula>0.95</formula>
    </cfRule>
    <cfRule type="cellIs" dxfId="11010" priority="15575" operator="between">
      <formula>0.51</formula>
      <formula>0.75</formula>
    </cfRule>
    <cfRule type="cellIs" dxfId="11009" priority="15576" operator="greaterThan">
      <formula>1</formula>
    </cfRule>
    <cfRule type="cellIs" dxfId="11008" priority="15577" operator="between">
      <formula>0.95</formula>
      <formula>1</formula>
    </cfRule>
    <cfRule type="cellIs" dxfId="11007" priority="15578" stopIfTrue="1" operator="between">
      <formula>0</formula>
      <formula>0.5</formula>
    </cfRule>
  </conditionalFormatting>
  <conditionalFormatting sqref="V174">
    <cfRule type="cellIs" dxfId="11006" priority="15502" operator="between">
      <formula>0.376</formula>
      <formula>0.475</formula>
    </cfRule>
    <cfRule type="cellIs" dxfId="11005" priority="15503" operator="between">
      <formula>0.2551</formula>
      <formula>0.3751</formula>
    </cfRule>
    <cfRule type="cellIs" dxfId="11004" priority="15504" operator="greaterThan">
      <formula>0.505</formula>
    </cfRule>
    <cfRule type="cellIs" dxfId="11003" priority="15505" operator="between">
      <formula>0.48</formula>
      <formula>0.5</formula>
    </cfRule>
    <cfRule type="cellIs" dxfId="11002" priority="15506" stopIfTrue="1" operator="between">
      <formula>0</formula>
      <formula>0.255</formula>
    </cfRule>
  </conditionalFormatting>
  <conditionalFormatting sqref="S174">
    <cfRule type="cellIs" dxfId="11001" priority="15492" operator="between">
      <formula>0.76</formula>
      <formula>0.95</formula>
    </cfRule>
    <cfRule type="cellIs" dxfId="11000" priority="15493" operator="between">
      <formula>0.51</formula>
      <formula>0.75</formula>
    </cfRule>
    <cfRule type="cellIs" dxfId="10999" priority="15494" operator="greaterThan">
      <formula>1</formula>
    </cfRule>
    <cfRule type="cellIs" dxfId="10998" priority="15495" operator="between">
      <formula>0.95</formula>
      <formula>1</formula>
    </cfRule>
    <cfRule type="cellIs" dxfId="10997" priority="15496" stopIfTrue="1" operator="between">
      <formula>0</formula>
      <formula>0.5</formula>
    </cfRule>
  </conditionalFormatting>
  <conditionalFormatting sqref="S238">
    <cfRule type="cellIs" dxfId="10996" priority="15477" operator="between">
      <formula>0.76</formula>
      <formula>0.95</formula>
    </cfRule>
    <cfRule type="cellIs" dxfId="10995" priority="15478" operator="between">
      <formula>0.51</formula>
      <formula>0.75</formula>
    </cfRule>
    <cfRule type="cellIs" dxfId="10994" priority="15479" operator="greaterThan">
      <formula>1</formula>
    </cfRule>
    <cfRule type="cellIs" dxfId="10993" priority="15480" operator="between">
      <formula>0.95</formula>
      <formula>1</formula>
    </cfRule>
    <cfRule type="cellIs" dxfId="10992" priority="15481" stopIfTrue="1" operator="between">
      <formula>0</formula>
      <formula>0.5</formula>
    </cfRule>
  </conditionalFormatting>
  <conditionalFormatting sqref="V238">
    <cfRule type="cellIs" dxfId="10991" priority="15472" operator="between">
      <formula>0.376</formula>
      <formula>0.475</formula>
    </cfRule>
    <cfRule type="cellIs" dxfId="10990" priority="15473" operator="between">
      <formula>0.2551</formula>
      <formula>0.3751</formula>
    </cfRule>
    <cfRule type="cellIs" dxfId="10989" priority="15474" operator="greaterThan">
      <formula>0.505</formula>
    </cfRule>
    <cfRule type="cellIs" dxfId="10988" priority="15475" operator="between">
      <formula>0.48</formula>
      <formula>0.5</formula>
    </cfRule>
    <cfRule type="cellIs" dxfId="10987" priority="15476" stopIfTrue="1" operator="between">
      <formula>0</formula>
      <formula>0.255</formula>
    </cfRule>
  </conditionalFormatting>
  <conditionalFormatting sqref="R175:R176 Y175:Z176 AF175:AI176">
    <cfRule type="cellIs" dxfId="10986" priority="15436" operator="between">
      <formula>0.76</formula>
      <formula>0.95</formula>
    </cfRule>
    <cfRule type="cellIs" dxfId="10985" priority="15437" operator="between">
      <formula>0.51</formula>
      <formula>0.75</formula>
    </cfRule>
    <cfRule type="cellIs" dxfId="10984" priority="15438" operator="greaterThan">
      <formula>1</formula>
    </cfRule>
    <cfRule type="cellIs" dxfId="10983" priority="15439" operator="between">
      <formula>0.95</formula>
      <formula>1</formula>
    </cfRule>
    <cfRule type="cellIs" dxfId="10982" priority="15440" stopIfTrue="1" operator="between">
      <formula>0</formula>
      <formula>0.5</formula>
    </cfRule>
  </conditionalFormatting>
  <conditionalFormatting sqref="T175:T176">
    <cfRule type="cellIs" dxfId="10981" priority="15431" operator="between">
      <formula>0.3751</formula>
      <formula>0.475</formula>
    </cfRule>
    <cfRule type="cellIs" dxfId="10980" priority="15432" operator="between">
      <formula>0.2551</formula>
      <formula>0.375</formula>
    </cfRule>
    <cfRule type="cellIs" dxfId="10979" priority="15433" operator="greaterThan">
      <formula>0.505</formula>
    </cfRule>
    <cfRule type="cellIs" dxfId="10978" priority="15434" operator="between">
      <formula>0.48</formula>
      <formula>0.5</formula>
    </cfRule>
    <cfRule type="cellIs" dxfId="10977" priority="15435" stopIfTrue="1" operator="between">
      <formula>0</formula>
      <formula>0.255</formula>
    </cfRule>
  </conditionalFormatting>
  <conditionalFormatting sqref="AA175:AC176">
    <cfRule type="cellIs" dxfId="10976" priority="15426" operator="between">
      <formula>0.56251</formula>
      <formula>0.7125</formula>
    </cfRule>
    <cfRule type="cellIs" dxfId="10975" priority="15427" operator="between">
      <formula>0.3751</formula>
      <formula>0.5625</formula>
    </cfRule>
    <cfRule type="cellIs" dxfId="10974" priority="15428" operator="greaterThan">
      <formula>0.751</formula>
    </cfRule>
    <cfRule type="cellIs" dxfId="10973" priority="15429" operator="between">
      <formula>0.71251</formula>
      <formula>0.75</formula>
    </cfRule>
    <cfRule type="cellIs" dxfId="10972" priority="15430" stopIfTrue="1" operator="between">
      <formula>0</formula>
      <formula>0.375</formula>
    </cfRule>
  </conditionalFormatting>
  <conditionalFormatting sqref="U175:U176">
    <cfRule type="cellIs" dxfId="10971" priority="15421" operator="between">
      <formula>0.376</formula>
      <formula>0.475</formula>
    </cfRule>
    <cfRule type="cellIs" dxfId="10970" priority="15422" operator="between">
      <formula>0.2551</formula>
      <formula>0.3751</formula>
    </cfRule>
    <cfRule type="cellIs" dxfId="10969" priority="15423" operator="greaterThan">
      <formula>0.505</formula>
    </cfRule>
    <cfRule type="cellIs" dxfId="10968" priority="15424" operator="between">
      <formula>0.48</formula>
      <formula>0.5</formula>
    </cfRule>
    <cfRule type="cellIs" dxfId="10967" priority="15425" stopIfTrue="1" operator="between">
      <formula>0</formula>
      <formula>0.255</formula>
    </cfRule>
  </conditionalFormatting>
  <conditionalFormatting sqref="V175:V176">
    <cfRule type="cellIs" dxfId="10966" priority="15403" operator="between">
      <formula>0.376</formula>
      <formula>0.475</formula>
    </cfRule>
    <cfRule type="cellIs" dxfId="10965" priority="15404" operator="between">
      <formula>0.2551</formula>
      <formula>0.3751</formula>
    </cfRule>
    <cfRule type="cellIs" dxfId="10964" priority="15405" operator="greaterThan">
      <formula>0.505</formula>
    </cfRule>
    <cfRule type="cellIs" dxfId="10963" priority="15406" operator="between">
      <formula>0.48</formula>
      <formula>0.5</formula>
    </cfRule>
    <cfRule type="cellIs" dxfId="10962" priority="15407" stopIfTrue="1" operator="between">
      <formula>0</formula>
      <formula>0.255</formula>
    </cfRule>
  </conditionalFormatting>
  <conditionalFormatting sqref="S175:S176">
    <cfRule type="cellIs" dxfId="10961" priority="15398" operator="between">
      <formula>0.76</formula>
      <formula>0.95</formula>
    </cfRule>
    <cfRule type="cellIs" dxfId="10960" priority="15399" operator="between">
      <formula>0.51</formula>
      <formula>0.75</formula>
    </cfRule>
    <cfRule type="cellIs" dxfId="10959" priority="15400" operator="greaterThan">
      <formula>1</formula>
    </cfRule>
    <cfRule type="cellIs" dxfId="10958" priority="15401" operator="between">
      <formula>0.95</formula>
      <formula>1</formula>
    </cfRule>
    <cfRule type="cellIs" dxfId="10957" priority="15402" stopIfTrue="1" operator="between">
      <formula>0</formula>
      <formula>0.5</formula>
    </cfRule>
  </conditionalFormatting>
  <conditionalFormatting sqref="R177 Y177:Z177 AF177:AI177">
    <cfRule type="cellIs" dxfId="10956" priority="15393" operator="between">
      <formula>0.76</formula>
      <formula>0.95</formula>
    </cfRule>
    <cfRule type="cellIs" dxfId="10955" priority="15394" operator="between">
      <formula>0.51</formula>
      <formula>0.75</formula>
    </cfRule>
    <cfRule type="cellIs" dxfId="10954" priority="15395" operator="greaterThan">
      <formula>1</formula>
    </cfRule>
    <cfRule type="cellIs" dxfId="10953" priority="15396" operator="between">
      <formula>0.95</formula>
      <formula>1</formula>
    </cfRule>
    <cfRule type="cellIs" dxfId="10952" priority="15397" stopIfTrue="1" operator="between">
      <formula>0</formula>
      <formula>0.5</formula>
    </cfRule>
  </conditionalFormatting>
  <conditionalFormatting sqref="T177">
    <cfRule type="cellIs" dxfId="10951" priority="15388" operator="between">
      <formula>0.3751</formula>
      <formula>0.475</formula>
    </cfRule>
    <cfRule type="cellIs" dxfId="10950" priority="15389" operator="between">
      <formula>0.2551</formula>
      <formula>0.375</formula>
    </cfRule>
    <cfRule type="cellIs" dxfId="10949" priority="15390" operator="greaterThan">
      <formula>0.505</formula>
    </cfRule>
    <cfRule type="cellIs" dxfId="10948" priority="15391" operator="between">
      <formula>0.48</formula>
      <formula>0.5</formula>
    </cfRule>
    <cfRule type="cellIs" dxfId="10947" priority="15392" stopIfTrue="1" operator="between">
      <formula>0</formula>
      <formula>0.255</formula>
    </cfRule>
  </conditionalFormatting>
  <conditionalFormatting sqref="AA177:AC177">
    <cfRule type="cellIs" dxfId="10946" priority="15383" operator="between">
      <formula>0.56251</formula>
      <formula>0.7125</formula>
    </cfRule>
    <cfRule type="cellIs" dxfId="10945" priority="15384" operator="between">
      <formula>0.3751</formula>
      <formula>0.5625</formula>
    </cfRule>
    <cfRule type="cellIs" dxfId="10944" priority="15385" operator="greaterThan">
      <formula>0.751</formula>
    </cfRule>
    <cfRule type="cellIs" dxfId="10943" priority="15386" operator="between">
      <formula>0.71251</formula>
      <formula>0.75</formula>
    </cfRule>
    <cfRule type="cellIs" dxfId="10942" priority="15387" stopIfTrue="1" operator="between">
      <formula>0</formula>
      <formula>0.375</formula>
    </cfRule>
  </conditionalFormatting>
  <conditionalFormatting sqref="U177">
    <cfRule type="cellIs" dxfId="10941" priority="15378" operator="between">
      <formula>0.376</formula>
      <formula>0.475</formula>
    </cfRule>
    <cfRule type="cellIs" dxfId="10940" priority="15379" operator="between">
      <formula>0.2551</formula>
      <formula>0.3751</formula>
    </cfRule>
    <cfRule type="cellIs" dxfId="10939" priority="15380" operator="greaterThan">
      <formula>0.505</formula>
    </cfRule>
    <cfRule type="cellIs" dxfId="10938" priority="15381" operator="between">
      <formula>0.48</formula>
      <formula>0.5</formula>
    </cfRule>
    <cfRule type="cellIs" dxfId="10937" priority="15382" stopIfTrue="1" operator="between">
      <formula>0</formula>
      <formula>0.255</formula>
    </cfRule>
  </conditionalFormatting>
  <conditionalFormatting sqref="V177">
    <cfRule type="cellIs" dxfId="10936" priority="15360" operator="between">
      <formula>0.376</formula>
      <formula>0.475</formula>
    </cfRule>
    <cfRule type="cellIs" dxfId="10935" priority="15361" operator="between">
      <formula>0.2551</formula>
      <formula>0.3751</formula>
    </cfRule>
    <cfRule type="cellIs" dxfId="10934" priority="15362" operator="greaterThan">
      <formula>0.505</formula>
    </cfRule>
    <cfRule type="cellIs" dxfId="10933" priority="15363" operator="between">
      <formula>0.48</formula>
      <formula>0.5</formula>
    </cfRule>
    <cfRule type="cellIs" dxfId="10932" priority="15364" stopIfTrue="1" operator="between">
      <formula>0</formula>
      <formula>0.255</formula>
    </cfRule>
  </conditionalFormatting>
  <conditionalFormatting sqref="S177">
    <cfRule type="cellIs" dxfId="10931" priority="15355" operator="between">
      <formula>0.76</formula>
      <formula>0.95</formula>
    </cfRule>
    <cfRule type="cellIs" dxfId="10930" priority="15356" operator="between">
      <formula>0.51</formula>
      <formula>0.75</formula>
    </cfRule>
    <cfRule type="cellIs" dxfId="10929" priority="15357" operator="greaterThan">
      <formula>1</formula>
    </cfRule>
    <cfRule type="cellIs" dxfId="10928" priority="15358" operator="between">
      <formula>0.95</formula>
      <formula>1</formula>
    </cfRule>
    <cfRule type="cellIs" dxfId="10927" priority="15359" stopIfTrue="1" operator="between">
      <formula>0</formula>
      <formula>0.5</formula>
    </cfRule>
  </conditionalFormatting>
  <conditionalFormatting sqref="R179 Y179:Z179 AF179:AI179 AF181 AH181:AI181 Y181:Z181 R181">
    <cfRule type="cellIs" dxfId="10926" priority="15350" operator="between">
      <formula>0.76</formula>
      <formula>0.95</formula>
    </cfRule>
    <cfRule type="cellIs" dxfId="10925" priority="15351" operator="between">
      <formula>0.51</formula>
      <formula>0.75</formula>
    </cfRule>
    <cfRule type="cellIs" dxfId="10924" priority="15352" operator="greaterThan">
      <formula>1</formula>
    </cfRule>
    <cfRule type="cellIs" dxfId="10923" priority="15353" operator="between">
      <formula>0.95</formula>
      <formula>1</formula>
    </cfRule>
    <cfRule type="cellIs" dxfId="10922" priority="15354" stopIfTrue="1" operator="between">
      <formula>0</formula>
      <formula>0.5</formula>
    </cfRule>
  </conditionalFormatting>
  <conditionalFormatting sqref="T179 T181">
    <cfRule type="cellIs" dxfId="10921" priority="15345" operator="between">
      <formula>0.3751</formula>
      <formula>0.475</formula>
    </cfRule>
    <cfRule type="cellIs" dxfId="10920" priority="15346" operator="between">
      <formula>0.2551</formula>
      <formula>0.375</formula>
    </cfRule>
    <cfRule type="cellIs" dxfId="10919" priority="15347" operator="greaterThan">
      <formula>0.505</formula>
    </cfRule>
    <cfRule type="cellIs" dxfId="10918" priority="15348" operator="between">
      <formula>0.48</formula>
      <formula>0.5</formula>
    </cfRule>
    <cfRule type="cellIs" dxfId="10917" priority="15349" stopIfTrue="1" operator="between">
      <formula>0</formula>
      <formula>0.255</formula>
    </cfRule>
  </conditionalFormatting>
  <conditionalFormatting sqref="AA179:AC179 AA181:AC181">
    <cfRule type="cellIs" dxfId="10916" priority="15340" operator="between">
      <formula>0.56251</formula>
      <formula>0.7125</formula>
    </cfRule>
    <cfRule type="cellIs" dxfId="10915" priority="15341" operator="between">
      <formula>0.3751</formula>
      <formula>0.5625</formula>
    </cfRule>
    <cfRule type="cellIs" dxfId="10914" priority="15342" operator="greaterThan">
      <formula>0.751</formula>
    </cfRule>
    <cfRule type="cellIs" dxfId="10913" priority="15343" operator="between">
      <formula>0.71251</formula>
      <formula>0.75</formula>
    </cfRule>
    <cfRule type="cellIs" dxfId="10912" priority="15344" stopIfTrue="1" operator="between">
      <formula>0</formula>
      <formula>0.375</formula>
    </cfRule>
  </conditionalFormatting>
  <conditionalFormatting sqref="U179 U181">
    <cfRule type="cellIs" dxfId="10911" priority="15335" operator="between">
      <formula>0.376</formula>
      <formula>0.475</formula>
    </cfRule>
    <cfRule type="cellIs" dxfId="10910" priority="15336" operator="between">
      <formula>0.2551</formula>
      <formula>0.3751</formula>
    </cfRule>
    <cfRule type="cellIs" dxfId="10909" priority="15337" operator="greaterThan">
      <formula>0.505</formula>
    </cfRule>
    <cfRule type="cellIs" dxfId="10908" priority="15338" operator="between">
      <formula>0.48</formula>
      <formula>0.5</formula>
    </cfRule>
    <cfRule type="cellIs" dxfId="10907" priority="15339" stopIfTrue="1" operator="between">
      <formula>0</formula>
      <formula>0.255</formula>
    </cfRule>
  </conditionalFormatting>
  <conditionalFormatting sqref="V179">
    <cfRule type="cellIs" dxfId="10906" priority="15317" operator="between">
      <formula>0.376</formula>
      <formula>0.475</formula>
    </cfRule>
    <cfRule type="cellIs" dxfId="10905" priority="15318" operator="between">
      <formula>0.2551</formula>
      <formula>0.3751</formula>
    </cfRule>
    <cfRule type="cellIs" dxfId="10904" priority="15319" operator="greaterThan">
      <formula>0.505</formula>
    </cfRule>
    <cfRule type="cellIs" dxfId="10903" priority="15320" operator="between">
      <formula>0.48</formula>
      <formula>0.5</formula>
    </cfRule>
    <cfRule type="cellIs" dxfId="10902" priority="15321" stopIfTrue="1" operator="between">
      <formula>0</formula>
      <formula>0.255</formula>
    </cfRule>
  </conditionalFormatting>
  <conditionalFormatting sqref="S179">
    <cfRule type="cellIs" dxfId="10901" priority="15312" operator="between">
      <formula>0.76</formula>
      <formula>0.95</formula>
    </cfRule>
    <cfRule type="cellIs" dxfId="10900" priority="15313" operator="between">
      <formula>0.51</formula>
      <formula>0.75</formula>
    </cfRule>
    <cfRule type="cellIs" dxfId="10899" priority="15314" operator="greaterThan">
      <formula>1</formula>
    </cfRule>
    <cfRule type="cellIs" dxfId="10898" priority="15315" operator="between">
      <formula>0.95</formula>
      <formula>1</formula>
    </cfRule>
    <cfRule type="cellIs" dxfId="10897" priority="15316" stopIfTrue="1" operator="between">
      <formula>0</formula>
      <formula>0.5</formula>
    </cfRule>
  </conditionalFormatting>
  <conditionalFormatting sqref="AF40 R40 Y40 AH40:AI40">
    <cfRule type="cellIs" dxfId="10896" priority="15307" operator="between">
      <formula>0.76</formula>
      <formula>0.95</formula>
    </cfRule>
    <cfRule type="cellIs" dxfId="10895" priority="15308" operator="between">
      <formula>0.51</formula>
      <formula>0.75</formula>
    </cfRule>
    <cfRule type="cellIs" dxfId="10894" priority="15309" operator="greaterThan">
      <formula>1</formula>
    </cfRule>
    <cfRule type="cellIs" dxfId="10893" priority="15310" operator="between">
      <formula>0.95</formula>
      <formula>1</formula>
    </cfRule>
    <cfRule type="cellIs" dxfId="10892" priority="15311" stopIfTrue="1" operator="between">
      <formula>0</formula>
      <formula>0.5</formula>
    </cfRule>
  </conditionalFormatting>
  <conditionalFormatting sqref="T40">
    <cfRule type="cellIs" dxfId="10891" priority="15302" operator="between">
      <formula>0.3751</formula>
      <formula>0.475</formula>
    </cfRule>
    <cfRule type="cellIs" dxfId="10890" priority="15303" operator="between">
      <formula>0.2551</formula>
      <formula>0.375</formula>
    </cfRule>
    <cfRule type="cellIs" dxfId="10889" priority="15304" operator="greaterThan">
      <formula>0.505</formula>
    </cfRule>
    <cfRule type="cellIs" dxfId="10888" priority="15305" operator="between">
      <formula>0.48</formula>
      <formula>0.5</formula>
    </cfRule>
    <cfRule type="cellIs" dxfId="10887" priority="15306" stopIfTrue="1" operator="between">
      <formula>0</formula>
      <formula>0.255</formula>
    </cfRule>
  </conditionalFormatting>
  <conditionalFormatting sqref="AA40:AB40">
    <cfRule type="cellIs" dxfId="10886" priority="15297" operator="between">
      <formula>0.56251</formula>
      <formula>0.7125</formula>
    </cfRule>
    <cfRule type="cellIs" dxfId="10885" priority="15298" operator="between">
      <formula>0.3751</formula>
      <formula>0.5625</formula>
    </cfRule>
    <cfRule type="cellIs" dxfId="10884" priority="15299" operator="greaterThan">
      <formula>0.751</formula>
    </cfRule>
    <cfRule type="cellIs" dxfId="10883" priority="15300" operator="between">
      <formula>0.71251</formula>
      <formula>0.75</formula>
    </cfRule>
    <cfRule type="cellIs" dxfId="10882" priority="15301" stopIfTrue="1" operator="between">
      <formula>0</formula>
      <formula>0.375</formula>
    </cfRule>
  </conditionalFormatting>
  <conditionalFormatting sqref="U40">
    <cfRule type="cellIs" dxfId="10881" priority="15287" operator="between">
      <formula>0.376</formula>
      <formula>0.475</formula>
    </cfRule>
    <cfRule type="cellIs" dxfId="10880" priority="15288" operator="between">
      <formula>0.2551</formula>
      <formula>0.3751</formula>
    </cfRule>
    <cfRule type="cellIs" dxfId="10879" priority="15289" operator="greaterThan">
      <formula>0.505</formula>
    </cfRule>
    <cfRule type="cellIs" dxfId="10878" priority="15290" operator="between">
      <formula>0.48</formula>
      <formula>0.5</formula>
    </cfRule>
    <cfRule type="cellIs" dxfId="10877" priority="15291" stopIfTrue="1" operator="between">
      <formula>0</formula>
      <formula>0.255</formula>
    </cfRule>
  </conditionalFormatting>
  <conditionalFormatting sqref="Z40">
    <cfRule type="cellIs" dxfId="10876" priority="15267" operator="between">
      <formula>0.76</formula>
      <formula>0.95</formula>
    </cfRule>
    <cfRule type="cellIs" dxfId="10875" priority="15268" operator="between">
      <formula>0.51</formula>
      <formula>0.75</formula>
    </cfRule>
    <cfRule type="cellIs" dxfId="10874" priority="15269" operator="greaterThan">
      <formula>1</formula>
    </cfRule>
    <cfRule type="cellIs" dxfId="10873" priority="15270" operator="between">
      <formula>0.95</formula>
      <formula>1</formula>
    </cfRule>
    <cfRule type="cellIs" dxfId="10872" priority="15271" stopIfTrue="1" operator="between">
      <formula>0</formula>
      <formula>0.5</formula>
    </cfRule>
  </conditionalFormatting>
  <conditionalFormatting sqref="AC40">
    <cfRule type="cellIs" dxfId="10871" priority="15262" operator="between">
      <formula>0.56251</formula>
      <formula>0.7125</formula>
    </cfRule>
    <cfRule type="cellIs" dxfId="10870" priority="15263" operator="between">
      <formula>0.3751</formula>
      <formula>0.5625</formula>
    </cfRule>
    <cfRule type="cellIs" dxfId="10869" priority="15264" operator="greaterThan">
      <formula>0.751</formula>
    </cfRule>
    <cfRule type="cellIs" dxfId="10868" priority="15265" operator="between">
      <formula>0.71251</formula>
      <formula>0.75</formula>
    </cfRule>
    <cfRule type="cellIs" dxfId="10867" priority="15266" stopIfTrue="1" operator="between">
      <formula>0</formula>
      <formula>0.375</formula>
    </cfRule>
  </conditionalFormatting>
  <conditionalFormatting sqref="S40">
    <cfRule type="cellIs" dxfId="10866" priority="15257" operator="between">
      <formula>0.76</formula>
      <formula>0.95</formula>
    </cfRule>
    <cfRule type="cellIs" dxfId="10865" priority="15258" operator="between">
      <formula>0.51</formula>
      <formula>0.75</formula>
    </cfRule>
    <cfRule type="cellIs" dxfId="10864" priority="15259" operator="greaterThan">
      <formula>1</formula>
    </cfRule>
    <cfRule type="cellIs" dxfId="10863" priority="15260" operator="between">
      <formula>0.95</formula>
      <formula>1</formula>
    </cfRule>
    <cfRule type="cellIs" dxfId="10862" priority="15261" stopIfTrue="1" operator="between">
      <formula>0</formula>
      <formula>0.5</formula>
    </cfRule>
  </conditionalFormatting>
  <conditionalFormatting sqref="V40">
    <cfRule type="cellIs" dxfId="10861" priority="15252" operator="between">
      <formula>0.376</formula>
      <formula>0.475</formula>
    </cfRule>
    <cfRule type="cellIs" dxfId="10860" priority="15253" operator="between">
      <formula>0.2551</formula>
      <formula>0.3751</formula>
    </cfRule>
    <cfRule type="cellIs" dxfId="10859" priority="15254" operator="greaterThan">
      <formula>0.505</formula>
    </cfRule>
    <cfRule type="cellIs" dxfId="10858" priority="15255" operator="between">
      <formula>0.48</formula>
      <formula>0.5</formula>
    </cfRule>
    <cfRule type="cellIs" dxfId="10857" priority="15256" stopIfTrue="1" operator="between">
      <formula>0</formula>
      <formula>0.255</formula>
    </cfRule>
  </conditionalFormatting>
  <conditionalFormatting sqref="AG40">
    <cfRule type="cellIs" dxfId="10856" priority="15247" operator="between">
      <formula>0.76</formula>
      <formula>0.95</formula>
    </cfRule>
    <cfRule type="cellIs" dxfId="10855" priority="15248" operator="between">
      <formula>0.51</formula>
      <formula>0.75</formula>
    </cfRule>
    <cfRule type="cellIs" dxfId="10854" priority="15249" operator="greaterThan">
      <formula>1</formula>
    </cfRule>
    <cfRule type="cellIs" dxfId="10853" priority="15250" operator="between">
      <formula>0.95</formula>
      <formula>1</formula>
    </cfRule>
    <cfRule type="cellIs" dxfId="10852" priority="15251" stopIfTrue="1" operator="between">
      <formula>0</formula>
      <formula>0.5</formula>
    </cfRule>
  </conditionalFormatting>
  <conditionalFormatting sqref="AF42 R42 Y42 AH42:AI42 R47 Y47 AF47 AH47:AI47 R49 Y49 AF49 AH49:AI49 R53 Y53 AF53">
    <cfRule type="cellIs" dxfId="10851" priority="15242" operator="between">
      <formula>0.76</formula>
      <formula>0.95</formula>
    </cfRule>
    <cfRule type="cellIs" dxfId="10850" priority="15243" operator="between">
      <formula>0.51</formula>
      <formula>0.75</formula>
    </cfRule>
    <cfRule type="cellIs" dxfId="10849" priority="15244" operator="greaterThan">
      <formula>1</formula>
    </cfRule>
    <cfRule type="cellIs" dxfId="10848" priority="15245" operator="between">
      <formula>0.95</formula>
      <formula>1</formula>
    </cfRule>
    <cfRule type="cellIs" dxfId="10847" priority="15246" stopIfTrue="1" operator="between">
      <formula>0</formula>
      <formula>0.5</formula>
    </cfRule>
  </conditionalFormatting>
  <conditionalFormatting sqref="T42 T47 T49">
    <cfRule type="cellIs" dxfId="10846" priority="15237" operator="between">
      <formula>0.3751</formula>
      <formula>0.475</formula>
    </cfRule>
    <cfRule type="cellIs" dxfId="10845" priority="15238" operator="between">
      <formula>0.2551</formula>
      <formula>0.375</formula>
    </cfRule>
    <cfRule type="cellIs" dxfId="10844" priority="15239" operator="greaterThan">
      <formula>0.505</formula>
    </cfRule>
    <cfRule type="cellIs" dxfId="10843" priority="15240" operator="between">
      <formula>0.48</formula>
      <formula>0.5</formula>
    </cfRule>
    <cfRule type="cellIs" dxfId="10842" priority="15241" stopIfTrue="1" operator="between">
      <formula>0</formula>
      <formula>0.255</formula>
    </cfRule>
  </conditionalFormatting>
  <conditionalFormatting sqref="AA42:AB42 AA47:AB47 AA49:AB49">
    <cfRule type="cellIs" dxfId="10841" priority="15232" operator="between">
      <formula>0.56251</formula>
      <formula>0.7125</formula>
    </cfRule>
    <cfRule type="cellIs" dxfId="10840" priority="15233" operator="between">
      <formula>0.3751</formula>
      <formula>0.5625</formula>
    </cfRule>
    <cfRule type="cellIs" dxfId="10839" priority="15234" operator="greaterThan">
      <formula>0.751</formula>
    </cfRule>
    <cfRule type="cellIs" dxfId="10838" priority="15235" operator="between">
      <formula>0.71251</formula>
      <formula>0.75</formula>
    </cfRule>
    <cfRule type="cellIs" dxfId="10837" priority="15236" stopIfTrue="1" operator="between">
      <formula>0</formula>
      <formula>0.375</formula>
    </cfRule>
  </conditionalFormatting>
  <conditionalFormatting sqref="U42 U47 U49">
    <cfRule type="cellIs" dxfId="10836" priority="15222" operator="between">
      <formula>0.376</formula>
      <formula>0.475</formula>
    </cfRule>
    <cfRule type="cellIs" dxfId="10835" priority="15223" operator="between">
      <formula>0.2551</formula>
      <formula>0.3751</formula>
    </cfRule>
    <cfRule type="cellIs" dxfId="10834" priority="15224" operator="greaterThan">
      <formula>0.505</formula>
    </cfRule>
    <cfRule type="cellIs" dxfId="10833" priority="15225" operator="between">
      <formula>0.48</formula>
      <formula>0.5</formula>
    </cfRule>
    <cfRule type="cellIs" dxfId="10832" priority="15226" stopIfTrue="1" operator="between">
      <formula>0</formula>
      <formula>0.255</formula>
    </cfRule>
  </conditionalFormatting>
  <conditionalFormatting sqref="Z42 Z47 Z49 Z53">
    <cfRule type="cellIs" dxfId="10831" priority="15202" operator="between">
      <formula>0.76</formula>
      <formula>0.95</formula>
    </cfRule>
    <cfRule type="cellIs" dxfId="10830" priority="15203" operator="between">
      <formula>0.51</formula>
      <formula>0.75</formula>
    </cfRule>
    <cfRule type="cellIs" dxfId="10829" priority="15204" operator="greaterThan">
      <formula>1</formula>
    </cfRule>
    <cfRule type="cellIs" dxfId="10828" priority="15205" operator="between">
      <formula>0.95</formula>
      <formula>1</formula>
    </cfRule>
    <cfRule type="cellIs" dxfId="10827" priority="15206" stopIfTrue="1" operator="between">
      <formula>0</formula>
      <formula>0.5</formula>
    </cfRule>
  </conditionalFormatting>
  <conditionalFormatting sqref="AC42 AC47 AC49">
    <cfRule type="cellIs" dxfId="10826" priority="15197" operator="between">
      <formula>0.56251</formula>
      <formula>0.7125</formula>
    </cfRule>
    <cfRule type="cellIs" dxfId="10825" priority="15198" operator="between">
      <formula>0.3751</formula>
      <formula>0.5625</formula>
    </cfRule>
    <cfRule type="cellIs" dxfId="10824" priority="15199" operator="greaterThan">
      <formula>0.751</formula>
    </cfRule>
    <cfRule type="cellIs" dxfId="10823" priority="15200" operator="between">
      <formula>0.71251</formula>
      <formula>0.75</formula>
    </cfRule>
    <cfRule type="cellIs" dxfId="10822" priority="15201" stopIfTrue="1" operator="between">
      <formula>0</formula>
      <formula>0.375</formula>
    </cfRule>
  </conditionalFormatting>
  <conditionalFormatting sqref="AG42 AG47 AG49 AG53">
    <cfRule type="cellIs" dxfId="10821" priority="15182" operator="between">
      <formula>0.76</formula>
      <formula>0.95</formula>
    </cfRule>
    <cfRule type="cellIs" dxfId="10820" priority="15183" operator="between">
      <formula>0.51</formula>
      <formula>0.75</formula>
    </cfRule>
    <cfRule type="cellIs" dxfId="10819" priority="15184" operator="greaterThan">
      <formula>1</formula>
    </cfRule>
    <cfRule type="cellIs" dxfId="10818" priority="15185" operator="between">
      <formula>0.95</formula>
      <formula>1</formula>
    </cfRule>
    <cfRule type="cellIs" dxfId="10817" priority="15186" stopIfTrue="1" operator="between">
      <formula>0</formula>
      <formula>0.5</formula>
    </cfRule>
  </conditionalFormatting>
  <conditionalFormatting sqref="AF41 R41 Y41 AH41:AI41">
    <cfRule type="cellIs" dxfId="10816" priority="15177" operator="between">
      <formula>0.76</formula>
      <formula>0.95</formula>
    </cfRule>
    <cfRule type="cellIs" dxfId="10815" priority="15178" operator="between">
      <formula>0.51</formula>
      <formula>0.75</formula>
    </cfRule>
    <cfRule type="cellIs" dxfId="10814" priority="15179" operator="greaterThan">
      <formula>1</formula>
    </cfRule>
    <cfRule type="cellIs" dxfId="10813" priority="15180" operator="between">
      <formula>0.95</formula>
      <formula>1</formula>
    </cfRule>
    <cfRule type="cellIs" dxfId="10812" priority="15181" stopIfTrue="1" operator="between">
      <formula>0</formula>
      <formula>0.5</formula>
    </cfRule>
  </conditionalFormatting>
  <conditionalFormatting sqref="T41">
    <cfRule type="cellIs" dxfId="10811" priority="15172" operator="between">
      <formula>0.3751</formula>
      <formula>0.475</formula>
    </cfRule>
    <cfRule type="cellIs" dxfId="10810" priority="15173" operator="between">
      <formula>0.2551</formula>
      <formula>0.375</formula>
    </cfRule>
    <cfRule type="cellIs" dxfId="10809" priority="15174" operator="greaterThan">
      <formula>0.505</formula>
    </cfRule>
    <cfRule type="cellIs" dxfId="10808" priority="15175" operator="between">
      <formula>0.48</formula>
      <formula>0.5</formula>
    </cfRule>
    <cfRule type="cellIs" dxfId="10807" priority="15176" stopIfTrue="1" operator="between">
      <formula>0</formula>
      <formula>0.255</formula>
    </cfRule>
  </conditionalFormatting>
  <conditionalFormatting sqref="AA41:AB41">
    <cfRule type="cellIs" dxfId="10806" priority="15167" operator="between">
      <formula>0.56251</formula>
      <formula>0.7125</formula>
    </cfRule>
    <cfRule type="cellIs" dxfId="10805" priority="15168" operator="between">
      <formula>0.3751</formula>
      <formula>0.5625</formula>
    </cfRule>
    <cfRule type="cellIs" dxfId="10804" priority="15169" operator="greaterThan">
      <formula>0.751</formula>
    </cfRule>
    <cfRule type="cellIs" dxfId="10803" priority="15170" operator="between">
      <formula>0.71251</formula>
      <formula>0.75</formula>
    </cfRule>
    <cfRule type="cellIs" dxfId="10802" priority="15171" stopIfTrue="1" operator="between">
      <formula>0</formula>
      <formula>0.375</formula>
    </cfRule>
  </conditionalFormatting>
  <conditionalFormatting sqref="U41">
    <cfRule type="cellIs" dxfId="10801" priority="15157" operator="between">
      <formula>0.376</formula>
      <formula>0.475</formula>
    </cfRule>
    <cfRule type="cellIs" dxfId="10800" priority="15158" operator="between">
      <formula>0.2551</formula>
      <formula>0.3751</formula>
    </cfRule>
    <cfRule type="cellIs" dxfId="10799" priority="15159" operator="greaterThan">
      <formula>0.505</formula>
    </cfRule>
    <cfRule type="cellIs" dxfId="10798" priority="15160" operator="between">
      <formula>0.48</formula>
      <formula>0.5</formula>
    </cfRule>
    <cfRule type="cellIs" dxfId="10797" priority="15161" stopIfTrue="1" operator="between">
      <formula>0</formula>
      <formula>0.255</formula>
    </cfRule>
  </conditionalFormatting>
  <conditionalFormatting sqref="Z41">
    <cfRule type="cellIs" dxfId="10796" priority="15137" operator="between">
      <formula>0.76</formula>
      <formula>0.95</formula>
    </cfRule>
    <cfRule type="cellIs" dxfId="10795" priority="15138" operator="between">
      <formula>0.51</formula>
      <formula>0.75</formula>
    </cfRule>
    <cfRule type="cellIs" dxfId="10794" priority="15139" operator="greaterThan">
      <formula>1</formula>
    </cfRule>
    <cfRule type="cellIs" dxfId="10793" priority="15140" operator="between">
      <formula>0.95</formula>
      <formula>1</formula>
    </cfRule>
    <cfRule type="cellIs" dxfId="10792" priority="15141" stopIfTrue="1" operator="between">
      <formula>0</formula>
      <formula>0.5</formula>
    </cfRule>
  </conditionalFormatting>
  <conditionalFormatting sqref="AC41">
    <cfRule type="cellIs" dxfId="10791" priority="15132" operator="between">
      <formula>0.56251</formula>
      <formula>0.7125</formula>
    </cfRule>
    <cfRule type="cellIs" dxfId="10790" priority="15133" operator="between">
      <formula>0.3751</formula>
      <formula>0.5625</formula>
    </cfRule>
    <cfRule type="cellIs" dxfId="10789" priority="15134" operator="greaterThan">
      <formula>0.751</formula>
    </cfRule>
    <cfRule type="cellIs" dxfId="10788" priority="15135" operator="between">
      <formula>0.71251</formula>
      <formula>0.75</formula>
    </cfRule>
    <cfRule type="cellIs" dxfId="10787" priority="15136" stopIfTrue="1" operator="between">
      <formula>0</formula>
      <formula>0.375</formula>
    </cfRule>
  </conditionalFormatting>
  <conditionalFormatting sqref="AG41">
    <cfRule type="cellIs" dxfId="10786" priority="15117" operator="between">
      <formula>0.76</formula>
      <formula>0.95</formula>
    </cfRule>
    <cfRule type="cellIs" dxfId="10785" priority="15118" operator="between">
      <formula>0.51</formula>
      <formula>0.75</formula>
    </cfRule>
    <cfRule type="cellIs" dxfId="10784" priority="15119" operator="greaterThan">
      <formula>1</formula>
    </cfRule>
    <cfRule type="cellIs" dxfId="10783" priority="15120" operator="between">
      <formula>0.95</formula>
      <formula>1</formula>
    </cfRule>
    <cfRule type="cellIs" dxfId="10782" priority="15121" stopIfTrue="1" operator="between">
      <formula>0</formula>
      <formula>0.5</formula>
    </cfRule>
  </conditionalFormatting>
  <conditionalFormatting sqref="R58 Y58 AF58 AH58:AI58">
    <cfRule type="cellIs" dxfId="10781" priority="15112" operator="between">
      <formula>0.76</formula>
      <formula>0.95</formula>
    </cfRule>
    <cfRule type="cellIs" dxfId="10780" priority="15113" operator="between">
      <formula>0.51</formula>
      <formula>0.75</formula>
    </cfRule>
    <cfRule type="cellIs" dxfId="10779" priority="15114" operator="greaterThan">
      <formula>1</formula>
    </cfRule>
    <cfRule type="cellIs" dxfId="10778" priority="15115" operator="between">
      <formula>0.95</formula>
      <formula>1</formula>
    </cfRule>
    <cfRule type="cellIs" dxfId="10777" priority="15116" stopIfTrue="1" operator="between">
      <formula>0</formula>
      <formula>0.5</formula>
    </cfRule>
  </conditionalFormatting>
  <conditionalFormatting sqref="T58">
    <cfRule type="cellIs" dxfId="10776" priority="15107" operator="between">
      <formula>0.3751</formula>
      <formula>0.475</formula>
    </cfRule>
    <cfRule type="cellIs" dxfId="10775" priority="15108" operator="between">
      <formula>0.2551</formula>
      <formula>0.375</formula>
    </cfRule>
    <cfRule type="cellIs" dxfId="10774" priority="15109" operator="greaterThan">
      <formula>0.505</formula>
    </cfRule>
    <cfRule type="cellIs" dxfId="10773" priority="15110" operator="between">
      <formula>0.48</formula>
      <formula>0.5</formula>
    </cfRule>
    <cfRule type="cellIs" dxfId="10772" priority="15111" stopIfTrue="1" operator="between">
      <formula>0</formula>
      <formula>0.255</formula>
    </cfRule>
  </conditionalFormatting>
  <conditionalFormatting sqref="AA58:AB58">
    <cfRule type="cellIs" dxfId="10771" priority="15102" operator="between">
      <formula>0.56251</formula>
      <formula>0.7125</formula>
    </cfRule>
    <cfRule type="cellIs" dxfId="10770" priority="15103" operator="between">
      <formula>0.3751</formula>
      <formula>0.5625</formula>
    </cfRule>
    <cfRule type="cellIs" dxfId="10769" priority="15104" operator="greaterThan">
      <formula>0.751</formula>
    </cfRule>
    <cfRule type="cellIs" dxfId="10768" priority="15105" operator="between">
      <formula>0.71251</formula>
      <formula>0.75</formula>
    </cfRule>
    <cfRule type="cellIs" dxfId="10767" priority="15106" stopIfTrue="1" operator="between">
      <formula>0</formula>
      <formula>0.375</formula>
    </cfRule>
  </conditionalFormatting>
  <conditionalFormatting sqref="U58">
    <cfRule type="cellIs" dxfId="10766" priority="15092" operator="between">
      <formula>0.376</formula>
      <formula>0.475</formula>
    </cfRule>
    <cfRule type="cellIs" dxfId="10765" priority="15093" operator="between">
      <formula>0.2551</formula>
      <formula>0.3751</formula>
    </cfRule>
    <cfRule type="cellIs" dxfId="10764" priority="15094" operator="greaterThan">
      <formula>0.505</formula>
    </cfRule>
    <cfRule type="cellIs" dxfId="10763" priority="15095" operator="between">
      <formula>0.48</formula>
      <formula>0.5</formula>
    </cfRule>
    <cfRule type="cellIs" dxfId="10762" priority="15096" stopIfTrue="1" operator="between">
      <formula>0</formula>
      <formula>0.255</formula>
    </cfRule>
  </conditionalFormatting>
  <conditionalFormatting sqref="Z58">
    <cfRule type="cellIs" dxfId="10761" priority="15072" operator="between">
      <formula>0.76</formula>
      <formula>0.95</formula>
    </cfRule>
    <cfRule type="cellIs" dxfId="10760" priority="15073" operator="between">
      <formula>0.51</formula>
      <formula>0.75</formula>
    </cfRule>
    <cfRule type="cellIs" dxfId="10759" priority="15074" operator="greaterThan">
      <formula>1</formula>
    </cfRule>
    <cfRule type="cellIs" dxfId="10758" priority="15075" operator="between">
      <formula>0.95</formula>
      <formula>1</formula>
    </cfRule>
    <cfRule type="cellIs" dxfId="10757" priority="15076" stopIfTrue="1" operator="between">
      <formula>0</formula>
      <formula>0.5</formula>
    </cfRule>
  </conditionalFormatting>
  <conditionalFormatting sqref="AC58">
    <cfRule type="cellIs" dxfId="10756" priority="15067" operator="between">
      <formula>0.56251</formula>
      <formula>0.7125</formula>
    </cfRule>
    <cfRule type="cellIs" dxfId="10755" priority="15068" operator="between">
      <formula>0.3751</formula>
      <formula>0.5625</formula>
    </cfRule>
    <cfRule type="cellIs" dxfId="10754" priority="15069" operator="greaterThan">
      <formula>0.751</formula>
    </cfRule>
    <cfRule type="cellIs" dxfId="10753" priority="15070" operator="between">
      <formula>0.71251</formula>
      <formula>0.75</formula>
    </cfRule>
    <cfRule type="cellIs" dxfId="10752" priority="15071" stopIfTrue="1" operator="between">
      <formula>0</formula>
      <formula>0.375</formula>
    </cfRule>
  </conditionalFormatting>
  <conditionalFormatting sqref="AG58">
    <cfRule type="cellIs" dxfId="10751" priority="15052" operator="between">
      <formula>0.76</formula>
      <formula>0.95</formula>
    </cfRule>
    <cfRule type="cellIs" dxfId="10750" priority="15053" operator="between">
      <formula>0.51</formula>
      <formula>0.75</formula>
    </cfRule>
    <cfRule type="cellIs" dxfId="10749" priority="15054" operator="greaterThan">
      <formula>1</formula>
    </cfRule>
    <cfRule type="cellIs" dxfId="10748" priority="15055" operator="between">
      <formula>0.95</formula>
      <formula>1</formula>
    </cfRule>
    <cfRule type="cellIs" dxfId="10747" priority="15056" stopIfTrue="1" operator="between">
      <formula>0</formula>
      <formula>0.5</formula>
    </cfRule>
  </conditionalFormatting>
  <conditionalFormatting sqref="S44">
    <cfRule type="cellIs" dxfId="10746" priority="14957" operator="between">
      <formula>0.76</formula>
      <formula>0.95</formula>
    </cfRule>
    <cfRule type="cellIs" dxfId="10745" priority="14958" operator="between">
      <formula>0.51</formula>
      <formula>0.75</formula>
    </cfRule>
    <cfRule type="cellIs" dxfId="10744" priority="14959" operator="greaterThan">
      <formula>1</formula>
    </cfRule>
    <cfRule type="cellIs" dxfId="10743" priority="14960" operator="between">
      <formula>0.95</formula>
      <formula>1</formula>
    </cfRule>
    <cfRule type="cellIs" dxfId="10742" priority="14961" stopIfTrue="1" operator="between">
      <formula>0</formula>
      <formula>0.5</formula>
    </cfRule>
  </conditionalFormatting>
  <conditionalFormatting sqref="V44">
    <cfRule type="cellIs" dxfId="10741" priority="14952" operator="between">
      <formula>0.376</formula>
      <formula>0.475</formula>
    </cfRule>
    <cfRule type="cellIs" dxfId="10740" priority="14953" operator="between">
      <formula>0.2551</formula>
      <formula>0.3751</formula>
    </cfRule>
    <cfRule type="cellIs" dxfId="10739" priority="14954" operator="greaterThan">
      <formula>0.505</formula>
    </cfRule>
    <cfRule type="cellIs" dxfId="10738" priority="14955" operator="between">
      <formula>0.48</formula>
      <formula>0.5</formula>
    </cfRule>
    <cfRule type="cellIs" dxfId="10737" priority="14956" stopIfTrue="1" operator="between">
      <formula>0</formula>
      <formula>0.255</formula>
    </cfRule>
  </conditionalFormatting>
  <conditionalFormatting sqref="S47">
    <cfRule type="cellIs" dxfId="10736" priority="14917" operator="between">
      <formula>0.76</formula>
      <formula>0.95</formula>
    </cfRule>
    <cfRule type="cellIs" dxfId="10735" priority="14918" operator="between">
      <formula>0.51</formula>
      <formula>0.75</formula>
    </cfRule>
    <cfRule type="cellIs" dxfId="10734" priority="14919" operator="greaterThan">
      <formula>1</formula>
    </cfRule>
    <cfRule type="cellIs" dxfId="10733" priority="14920" operator="between">
      <formula>0.95</formula>
      <formula>1</formula>
    </cfRule>
    <cfRule type="cellIs" dxfId="10732" priority="14921" stopIfTrue="1" operator="between">
      <formula>0</formula>
      <formula>0.5</formula>
    </cfRule>
  </conditionalFormatting>
  <conditionalFormatting sqref="V47">
    <cfRule type="cellIs" dxfId="10731" priority="14912" operator="between">
      <formula>0.376</formula>
      <formula>0.475</formula>
    </cfRule>
    <cfRule type="cellIs" dxfId="10730" priority="14913" operator="between">
      <formula>0.2551</formula>
      <formula>0.3751</formula>
    </cfRule>
    <cfRule type="cellIs" dxfId="10729" priority="14914" operator="greaterThan">
      <formula>0.505</formula>
    </cfRule>
    <cfRule type="cellIs" dxfId="10728" priority="14915" operator="between">
      <formula>0.48</formula>
      <formula>0.5</formula>
    </cfRule>
    <cfRule type="cellIs" dxfId="10727" priority="14916" stopIfTrue="1" operator="between">
      <formula>0</formula>
      <formula>0.255</formula>
    </cfRule>
  </conditionalFormatting>
  <conditionalFormatting sqref="S41">
    <cfRule type="cellIs" dxfId="10726" priority="14892" operator="between">
      <formula>0.76</formula>
      <formula>0.95</formula>
    </cfRule>
    <cfRule type="cellIs" dxfId="10725" priority="14893" operator="between">
      <formula>0.51</formula>
      <formula>0.75</formula>
    </cfRule>
    <cfRule type="cellIs" dxfId="10724" priority="14894" operator="greaterThan">
      <formula>1</formula>
    </cfRule>
    <cfRule type="cellIs" dxfId="10723" priority="14895" operator="between">
      <formula>0.95</formula>
      <formula>1</formula>
    </cfRule>
    <cfRule type="cellIs" dxfId="10722" priority="14896" stopIfTrue="1" operator="between">
      <formula>0</formula>
      <formula>0.5</formula>
    </cfRule>
  </conditionalFormatting>
  <conditionalFormatting sqref="S42">
    <cfRule type="cellIs" dxfId="10721" priority="14887" operator="between">
      <formula>0.76</formula>
      <formula>0.95</formula>
    </cfRule>
    <cfRule type="cellIs" dxfId="10720" priority="14888" operator="between">
      <formula>0.51</formula>
      <formula>0.75</formula>
    </cfRule>
    <cfRule type="cellIs" dxfId="10719" priority="14889" operator="greaterThan">
      <formula>1</formula>
    </cfRule>
    <cfRule type="cellIs" dxfId="10718" priority="14890" operator="between">
      <formula>0.95</formula>
      <formula>1</formula>
    </cfRule>
    <cfRule type="cellIs" dxfId="10717" priority="14891" stopIfTrue="1" operator="between">
      <formula>0</formula>
      <formula>0.5</formula>
    </cfRule>
  </conditionalFormatting>
  <conditionalFormatting sqref="S43">
    <cfRule type="cellIs" dxfId="10716" priority="14877" operator="between">
      <formula>0.76</formula>
      <formula>0.95</formula>
    </cfRule>
    <cfRule type="cellIs" dxfId="10715" priority="14878" operator="between">
      <formula>0.51</formula>
      <formula>0.75</formula>
    </cfRule>
    <cfRule type="cellIs" dxfId="10714" priority="14879" operator="greaterThan">
      <formula>1</formula>
    </cfRule>
    <cfRule type="cellIs" dxfId="10713" priority="14880" operator="between">
      <formula>0.95</formula>
      <formula>1</formula>
    </cfRule>
    <cfRule type="cellIs" dxfId="10712" priority="14881" stopIfTrue="1" operator="between">
      <formula>0</formula>
      <formula>0.5</formula>
    </cfRule>
  </conditionalFormatting>
  <conditionalFormatting sqref="S49">
    <cfRule type="cellIs" dxfId="10711" priority="14872" operator="between">
      <formula>0.76</formula>
      <formula>0.95</formula>
    </cfRule>
    <cfRule type="cellIs" dxfId="10710" priority="14873" operator="between">
      <formula>0.51</formula>
      <formula>0.75</formula>
    </cfRule>
    <cfRule type="cellIs" dxfId="10709" priority="14874" operator="greaterThan">
      <formula>1</formula>
    </cfRule>
    <cfRule type="cellIs" dxfId="10708" priority="14875" operator="between">
      <formula>0.95</formula>
      <formula>1</formula>
    </cfRule>
    <cfRule type="cellIs" dxfId="10707" priority="14876" stopIfTrue="1" operator="between">
      <formula>0</formula>
      <formula>0.5</formula>
    </cfRule>
  </conditionalFormatting>
  <conditionalFormatting sqref="V41">
    <cfRule type="cellIs" dxfId="10706" priority="14867" operator="between">
      <formula>0.376</formula>
      <formula>0.475</formula>
    </cfRule>
    <cfRule type="cellIs" dxfId="10705" priority="14868" operator="between">
      <formula>0.2551</formula>
      <formula>0.3751</formula>
    </cfRule>
    <cfRule type="cellIs" dxfId="10704" priority="14869" operator="greaterThan">
      <formula>0.505</formula>
    </cfRule>
    <cfRule type="cellIs" dxfId="10703" priority="14870" operator="between">
      <formula>0.48</formula>
      <formula>0.5</formula>
    </cfRule>
    <cfRule type="cellIs" dxfId="10702" priority="14871" stopIfTrue="1" operator="between">
      <formula>0</formula>
      <formula>0.255</formula>
    </cfRule>
  </conditionalFormatting>
  <conditionalFormatting sqref="V42">
    <cfRule type="cellIs" dxfId="10701" priority="14862" operator="between">
      <formula>0.376</formula>
      <formula>0.475</formula>
    </cfRule>
    <cfRule type="cellIs" dxfId="10700" priority="14863" operator="between">
      <formula>0.2551</formula>
      <formula>0.3751</formula>
    </cfRule>
    <cfRule type="cellIs" dxfId="10699" priority="14864" operator="greaterThan">
      <formula>0.505</formula>
    </cfRule>
    <cfRule type="cellIs" dxfId="10698" priority="14865" operator="between">
      <formula>0.48</formula>
      <formula>0.5</formula>
    </cfRule>
    <cfRule type="cellIs" dxfId="10697" priority="14866" stopIfTrue="1" operator="between">
      <formula>0</formula>
      <formula>0.255</formula>
    </cfRule>
  </conditionalFormatting>
  <conditionalFormatting sqref="V43">
    <cfRule type="cellIs" dxfId="10696" priority="14852" operator="between">
      <formula>0.376</formula>
      <formula>0.475</formula>
    </cfRule>
    <cfRule type="cellIs" dxfId="10695" priority="14853" operator="between">
      <formula>0.2551</formula>
      <formula>0.3751</formula>
    </cfRule>
    <cfRule type="cellIs" dxfId="10694" priority="14854" operator="greaterThan">
      <formula>0.505</formula>
    </cfRule>
    <cfRule type="cellIs" dxfId="10693" priority="14855" operator="between">
      <formula>0.48</formula>
      <formula>0.5</formula>
    </cfRule>
    <cfRule type="cellIs" dxfId="10692" priority="14856" stopIfTrue="1" operator="between">
      <formula>0</formula>
      <formula>0.255</formula>
    </cfRule>
  </conditionalFormatting>
  <conditionalFormatting sqref="V49">
    <cfRule type="cellIs" dxfId="10691" priority="14847" operator="between">
      <formula>0.376</formula>
      <formula>0.475</formula>
    </cfRule>
    <cfRule type="cellIs" dxfId="10690" priority="14848" operator="between">
      <formula>0.2551</formula>
      <formula>0.3751</formula>
    </cfRule>
    <cfRule type="cellIs" dxfId="10689" priority="14849" operator="greaterThan">
      <formula>0.505</formula>
    </cfRule>
    <cfRule type="cellIs" dxfId="10688" priority="14850" operator="between">
      <formula>0.48</formula>
      <formula>0.5</formula>
    </cfRule>
    <cfRule type="cellIs" dxfId="10687" priority="14851" stopIfTrue="1" operator="between">
      <formula>0</formula>
      <formula>0.255</formula>
    </cfRule>
  </conditionalFormatting>
  <conditionalFormatting sqref="S53">
    <cfRule type="cellIs" dxfId="10686" priority="14832" operator="between">
      <formula>0.76</formula>
      <formula>0.95</formula>
    </cfRule>
    <cfRule type="cellIs" dxfId="10685" priority="14833" operator="between">
      <formula>0.51</formula>
      <formula>0.75</formula>
    </cfRule>
    <cfRule type="cellIs" dxfId="10684" priority="14834" operator="greaterThan">
      <formula>1</formula>
    </cfRule>
    <cfRule type="cellIs" dxfId="10683" priority="14835" operator="between">
      <formula>0.95</formula>
      <formula>1</formula>
    </cfRule>
    <cfRule type="cellIs" dxfId="10682" priority="14836" stopIfTrue="1" operator="between">
      <formula>0</formula>
      <formula>0.5</formula>
    </cfRule>
  </conditionalFormatting>
  <conditionalFormatting sqref="S56">
    <cfRule type="cellIs" dxfId="10681" priority="14812" operator="between">
      <formula>0.76</formula>
      <formula>0.95</formula>
    </cfRule>
    <cfRule type="cellIs" dxfId="10680" priority="14813" operator="between">
      <formula>0.51</formula>
      <formula>0.75</formula>
    </cfRule>
    <cfRule type="cellIs" dxfId="10679" priority="14814" operator="greaterThan">
      <formula>1</formula>
    </cfRule>
    <cfRule type="cellIs" dxfId="10678" priority="14815" operator="between">
      <formula>0.95</formula>
      <formula>1</formula>
    </cfRule>
    <cfRule type="cellIs" dxfId="10677" priority="14816" stopIfTrue="1" operator="between">
      <formula>0</formula>
      <formula>0.5</formula>
    </cfRule>
  </conditionalFormatting>
  <conditionalFormatting sqref="V56">
    <cfRule type="cellIs" dxfId="10676" priority="14797" operator="between">
      <formula>0.376</formula>
      <formula>0.475</formula>
    </cfRule>
    <cfRule type="cellIs" dxfId="10675" priority="14798" operator="between">
      <formula>0.2551</formula>
      <formula>0.3751</formula>
    </cfRule>
    <cfRule type="cellIs" dxfId="10674" priority="14799" operator="greaterThan">
      <formula>0.505</formula>
    </cfRule>
    <cfRule type="cellIs" dxfId="10673" priority="14800" operator="between">
      <formula>0.48</formula>
      <formula>0.5</formula>
    </cfRule>
    <cfRule type="cellIs" dxfId="10672" priority="14801" stopIfTrue="1" operator="between">
      <formula>0</formula>
      <formula>0.255</formula>
    </cfRule>
  </conditionalFormatting>
  <conditionalFormatting sqref="S58">
    <cfRule type="cellIs" dxfId="10671" priority="14772" operator="between">
      <formula>0.76</formula>
      <formula>0.95</formula>
    </cfRule>
    <cfRule type="cellIs" dxfId="10670" priority="14773" operator="between">
      <formula>0.51</formula>
      <formula>0.75</formula>
    </cfRule>
    <cfRule type="cellIs" dxfId="10669" priority="14774" operator="greaterThan">
      <formula>1</formula>
    </cfRule>
    <cfRule type="cellIs" dxfId="10668" priority="14775" operator="between">
      <formula>0.95</formula>
      <formula>1</formula>
    </cfRule>
    <cfRule type="cellIs" dxfId="10667" priority="14776" stopIfTrue="1" operator="between">
      <formula>0</formula>
      <formula>0.5</formula>
    </cfRule>
  </conditionalFormatting>
  <conditionalFormatting sqref="V58">
    <cfRule type="cellIs" dxfId="10666" priority="14767" operator="between">
      <formula>0.376</formula>
      <formula>0.475</formula>
    </cfRule>
    <cfRule type="cellIs" dxfId="10665" priority="14768" operator="between">
      <formula>0.2551</formula>
      <formula>0.3751</formula>
    </cfRule>
    <cfRule type="cellIs" dxfId="10664" priority="14769" operator="greaterThan">
      <formula>0.505</formula>
    </cfRule>
    <cfRule type="cellIs" dxfId="10663" priority="14770" operator="between">
      <formula>0.48</formula>
      <formula>0.5</formula>
    </cfRule>
    <cfRule type="cellIs" dxfId="10662" priority="14771" stopIfTrue="1" operator="between">
      <formula>0</formula>
      <formula>0.255</formula>
    </cfRule>
  </conditionalFormatting>
  <conditionalFormatting sqref="R244:R245 Y244:Z245 AF244:AI245">
    <cfRule type="cellIs" dxfId="10661" priority="14762" operator="between">
      <formula>0.76</formula>
      <formula>0.95</formula>
    </cfRule>
    <cfRule type="cellIs" dxfId="10660" priority="14763" operator="between">
      <formula>0.51</formula>
      <formula>0.75</formula>
    </cfRule>
    <cfRule type="cellIs" dxfId="10659" priority="14764" operator="greaterThan">
      <formula>1</formula>
    </cfRule>
    <cfRule type="cellIs" dxfId="10658" priority="14765" operator="between">
      <formula>0.95</formula>
      <formula>1</formula>
    </cfRule>
    <cfRule type="cellIs" dxfId="10657" priority="14766" stopIfTrue="1" operator="between">
      <formula>0</formula>
      <formula>0.5</formula>
    </cfRule>
  </conditionalFormatting>
  <conditionalFormatting sqref="T244:T245">
    <cfRule type="cellIs" dxfId="10656" priority="14757" operator="between">
      <formula>0.3751</formula>
      <formula>0.475</formula>
    </cfRule>
    <cfRule type="cellIs" dxfId="10655" priority="14758" operator="between">
      <formula>0.2551</formula>
      <formula>0.375</formula>
    </cfRule>
    <cfRule type="cellIs" dxfId="10654" priority="14759" operator="greaterThan">
      <formula>0.505</formula>
    </cfRule>
    <cfRule type="cellIs" dxfId="10653" priority="14760" operator="between">
      <formula>0.48</formula>
      <formula>0.5</formula>
    </cfRule>
    <cfRule type="cellIs" dxfId="10652" priority="14761" stopIfTrue="1" operator="between">
      <formula>0</formula>
      <formula>0.255</formula>
    </cfRule>
  </conditionalFormatting>
  <conditionalFormatting sqref="AA244:AC245">
    <cfRule type="cellIs" dxfId="10651" priority="14752" operator="between">
      <formula>0.56251</formula>
      <formula>0.7125</formula>
    </cfRule>
    <cfRule type="cellIs" dxfId="10650" priority="14753" operator="between">
      <formula>0.3751</formula>
      <formula>0.5625</formula>
    </cfRule>
    <cfRule type="cellIs" dxfId="10649" priority="14754" operator="greaterThan">
      <formula>0.751</formula>
    </cfRule>
    <cfRule type="cellIs" dxfId="10648" priority="14755" operator="between">
      <formula>0.71251</formula>
      <formula>0.75</formula>
    </cfRule>
    <cfRule type="cellIs" dxfId="10647" priority="14756" stopIfTrue="1" operator="between">
      <formula>0</formula>
      <formula>0.375</formula>
    </cfRule>
  </conditionalFormatting>
  <conditionalFormatting sqref="U244:U245">
    <cfRule type="cellIs" dxfId="10646" priority="14742" operator="between">
      <formula>0.376</formula>
      <formula>0.475</formula>
    </cfRule>
    <cfRule type="cellIs" dxfId="10645" priority="14743" operator="between">
      <formula>0.2551</formula>
      <formula>0.3751</formula>
    </cfRule>
    <cfRule type="cellIs" dxfId="10644" priority="14744" operator="greaterThan">
      <formula>0.505</formula>
    </cfRule>
    <cfRule type="cellIs" dxfId="10643" priority="14745" operator="between">
      <formula>0.48</formula>
      <formula>0.5</formula>
    </cfRule>
    <cfRule type="cellIs" dxfId="10642" priority="14746" stopIfTrue="1" operator="between">
      <formula>0</formula>
      <formula>0.255</formula>
    </cfRule>
  </conditionalFormatting>
  <conditionalFormatting sqref="S244:S245">
    <cfRule type="cellIs" dxfId="10641" priority="14714" operator="between">
      <formula>0.76</formula>
      <formula>0.95</formula>
    </cfRule>
    <cfRule type="cellIs" dxfId="10640" priority="14715" operator="between">
      <formula>0.51</formula>
      <formula>0.75</formula>
    </cfRule>
    <cfRule type="cellIs" dxfId="10639" priority="14716" operator="greaterThan">
      <formula>1</formula>
    </cfRule>
    <cfRule type="cellIs" dxfId="10638" priority="14717" operator="between">
      <formula>0.95</formula>
      <formula>1</formula>
    </cfRule>
    <cfRule type="cellIs" dxfId="10637" priority="14718" stopIfTrue="1" operator="between">
      <formula>0</formula>
      <formula>0.5</formula>
    </cfRule>
  </conditionalFormatting>
  <conditionalFormatting sqref="V244:V245">
    <cfRule type="cellIs" dxfId="10636" priority="14709" operator="between">
      <formula>0.376</formula>
      <formula>0.475</formula>
    </cfRule>
    <cfRule type="cellIs" dxfId="10635" priority="14710" operator="between">
      <formula>0.2551</formula>
      <formula>0.3751</formula>
    </cfRule>
    <cfRule type="cellIs" dxfId="10634" priority="14711" operator="greaterThan">
      <formula>0.505</formula>
    </cfRule>
    <cfRule type="cellIs" dxfId="10633" priority="14712" operator="between">
      <formula>0.48</formula>
      <formula>0.5</formula>
    </cfRule>
    <cfRule type="cellIs" dxfId="10632" priority="14713" stopIfTrue="1" operator="between">
      <formula>0</formula>
      <formula>0.255</formula>
    </cfRule>
  </conditionalFormatting>
  <conditionalFormatting sqref="R246 Y246:Z246 AF246:AI246">
    <cfRule type="cellIs" dxfId="10631" priority="14704" operator="between">
      <formula>0.76</formula>
      <formula>0.95</formula>
    </cfRule>
    <cfRule type="cellIs" dxfId="10630" priority="14705" operator="between">
      <formula>0.51</formula>
      <formula>0.75</formula>
    </cfRule>
    <cfRule type="cellIs" dxfId="10629" priority="14706" operator="greaterThan">
      <formula>1</formula>
    </cfRule>
    <cfRule type="cellIs" dxfId="10628" priority="14707" operator="between">
      <formula>0.95</formula>
      <formula>1</formula>
    </cfRule>
    <cfRule type="cellIs" dxfId="10627" priority="14708" stopIfTrue="1" operator="between">
      <formula>0</formula>
      <formula>0.5</formula>
    </cfRule>
  </conditionalFormatting>
  <conditionalFormatting sqref="T246">
    <cfRule type="cellIs" dxfId="10626" priority="14699" operator="between">
      <formula>0.3751</formula>
      <formula>0.475</formula>
    </cfRule>
    <cfRule type="cellIs" dxfId="10625" priority="14700" operator="between">
      <formula>0.2551</formula>
      <formula>0.375</formula>
    </cfRule>
    <cfRule type="cellIs" dxfId="10624" priority="14701" operator="greaterThan">
      <formula>0.505</formula>
    </cfRule>
    <cfRule type="cellIs" dxfId="10623" priority="14702" operator="between">
      <formula>0.48</formula>
      <formula>0.5</formula>
    </cfRule>
    <cfRule type="cellIs" dxfId="10622" priority="14703" stopIfTrue="1" operator="between">
      <formula>0</formula>
      <formula>0.255</formula>
    </cfRule>
  </conditionalFormatting>
  <conditionalFormatting sqref="AA246:AC246">
    <cfRule type="cellIs" dxfId="10621" priority="14694" operator="between">
      <formula>0.56251</formula>
      <formula>0.7125</formula>
    </cfRule>
    <cfRule type="cellIs" dxfId="10620" priority="14695" operator="between">
      <formula>0.3751</formula>
      <formula>0.5625</formula>
    </cfRule>
    <cfRule type="cellIs" dxfId="10619" priority="14696" operator="greaterThan">
      <formula>0.751</formula>
    </cfRule>
    <cfRule type="cellIs" dxfId="10618" priority="14697" operator="between">
      <formula>0.71251</formula>
      <formula>0.75</formula>
    </cfRule>
    <cfRule type="cellIs" dxfId="10617" priority="14698" stopIfTrue="1" operator="between">
      <formula>0</formula>
      <formula>0.375</formula>
    </cfRule>
  </conditionalFormatting>
  <conditionalFormatting sqref="U246">
    <cfRule type="cellIs" dxfId="10616" priority="14684" operator="between">
      <formula>0.376</formula>
      <formula>0.475</formula>
    </cfRule>
    <cfRule type="cellIs" dxfId="10615" priority="14685" operator="between">
      <formula>0.2551</formula>
      <formula>0.3751</formula>
    </cfRule>
    <cfRule type="cellIs" dxfId="10614" priority="14686" operator="greaterThan">
      <formula>0.505</formula>
    </cfRule>
    <cfRule type="cellIs" dxfId="10613" priority="14687" operator="between">
      <formula>0.48</formula>
      <formula>0.5</formula>
    </cfRule>
    <cfRule type="cellIs" dxfId="10612" priority="14688" stopIfTrue="1" operator="between">
      <formula>0</formula>
      <formula>0.255</formula>
    </cfRule>
  </conditionalFormatting>
  <conditionalFormatting sqref="S246">
    <cfRule type="cellIs" dxfId="10611" priority="14636" operator="between">
      <formula>0.76</formula>
      <formula>0.95</formula>
    </cfRule>
    <cfRule type="cellIs" dxfId="10610" priority="14637" operator="between">
      <formula>0.51</formula>
      <formula>0.75</formula>
    </cfRule>
    <cfRule type="cellIs" dxfId="10609" priority="14638" operator="greaterThan">
      <formula>1</formula>
    </cfRule>
    <cfRule type="cellIs" dxfId="10608" priority="14639" operator="between">
      <formula>0.95</formula>
      <formula>1</formula>
    </cfRule>
    <cfRule type="cellIs" dxfId="10607" priority="14640" stopIfTrue="1" operator="between">
      <formula>0</formula>
      <formula>0.5</formula>
    </cfRule>
  </conditionalFormatting>
  <conditionalFormatting sqref="V246">
    <cfRule type="cellIs" dxfId="10606" priority="14631" operator="between">
      <formula>0.376</formula>
      <formula>0.475</formula>
    </cfRule>
    <cfRule type="cellIs" dxfId="10605" priority="14632" operator="between">
      <formula>0.2551</formula>
      <formula>0.3751</formula>
    </cfRule>
    <cfRule type="cellIs" dxfId="10604" priority="14633" operator="greaterThan">
      <formula>0.505</formula>
    </cfRule>
    <cfRule type="cellIs" dxfId="10603" priority="14634" operator="between">
      <formula>0.48</formula>
      <formula>0.5</formula>
    </cfRule>
    <cfRule type="cellIs" dxfId="10602" priority="14635" stopIfTrue="1" operator="between">
      <formula>0</formula>
      <formula>0.255</formula>
    </cfRule>
  </conditionalFormatting>
  <conditionalFormatting sqref="AF247:AI247">
    <cfRule type="cellIs" dxfId="10601" priority="14626" operator="between">
      <formula>0.76</formula>
      <formula>0.95</formula>
    </cfRule>
    <cfRule type="cellIs" dxfId="10600" priority="14627" operator="between">
      <formula>0.51</formula>
      <formula>0.75</formula>
    </cfRule>
    <cfRule type="cellIs" dxfId="10599" priority="14628" operator="greaterThan">
      <formula>1</formula>
    </cfRule>
    <cfRule type="cellIs" dxfId="10598" priority="14629" operator="between">
      <formula>0.95</formula>
      <formula>1</formula>
    </cfRule>
    <cfRule type="cellIs" dxfId="10597" priority="14630" stopIfTrue="1" operator="between">
      <formula>0</formula>
      <formula>0.5</formula>
    </cfRule>
  </conditionalFormatting>
  <conditionalFormatting sqref="AG248:AG249">
    <cfRule type="cellIs" dxfId="10596" priority="14568" operator="between">
      <formula>0.76</formula>
      <formula>0.95</formula>
    </cfRule>
    <cfRule type="cellIs" dxfId="10595" priority="14569" operator="between">
      <formula>0.51</formula>
      <formula>0.75</formula>
    </cfRule>
    <cfRule type="cellIs" dxfId="10594" priority="14570" operator="greaterThan">
      <formula>1</formula>
    </cfRule>
    <cfRule type="cellIs" dxfId="10593" priority="14571" operator="between">
      <formula>0.95</formula>
      <formula>1</formula>
    </cfRule>
    <cfRule type="cellIs" dxfId="10592" priority="14572" stopIfTrue="1" operator="between">
      <formula>0</formula>
      <formula>0.5</formula>
    </cfRule>
  </conditionalFormatting>
  <conditionalFormatting sqref="S181">
    <cfRule type="cellIs" dxfId="10591" priority="14454" operator="between">
      <formula>0.76</formula>
      <formula>0.95</formula>
    </cfRule>
    <cfRule type="cellIs" dxfId="10590" priority="14455" operator="between">
      <formula>0.51</formula>
      <formula>0.75</formula>
    </cfRule>
    <cfRule type="cellIs" dxfId="10589" priority="14456" operator="greaterThan">
      <formula>1</formula>
    </cfRule>
    <cfRule type="cellIs" dxfId="10588" priority="14457" operator="between">
      <formula>0.95</formula>
      <formula>1</formula>
    </cfRule>
    <cfRule type="cellIs" dxfId="10587" priority="14458" stopIfTrue="1" operator="between">
      <formula>0</formula>
      <formula>0.5</formula>
    </cfRule>
  </conditionalFormatting>
  <conditionalFormatting sqref="V181">
    <cfRule type="cellIs" dxfId="10586" priority="14449" operator="between">
      <formula>0.376</formula>
      <formula>0.475</formula>
    </cfRule>
    <cfRule type="cellIs" dxfId="10585" priority="14450" operator="between">
      <formula>0.2551</formula>
      <formula>0.3751</formula>
    </cfRule>
    <cfRule type="cellIs" dxfId="10584" priority="14451" operator="greaterThan">
      <formula>0.505</formula>
    </cfRule>
    <cfRule type="cellIs" dxfId="10583" priority="14452" operator="between">
      <formula>0.48</formula>
      <formula>0.5</formula>
    </cfRule>
    <cfRule type="cellIs" dxfId="10582" priority="14453" stopIfTrue="1" operator="between">
      <formula>0</formula>
      <formula>0.255</formula>
    </cfRule>
  </conditionalFormatting>
  <conditionalFormatting sqref="AG181">
    <cfRule type="cellIs" dxfId="10581" priority="14444" operator="between">
      <formula>0.76</formula>
      <formula>0.95</formula>
    </cfRule>
    <cfRule type="cellIs" dxfId="10580" priority="14445" operator="between">
      <formula>0.51</formula>
      <formula>0.75</formula>
    </cfRule>
    <cfRule type="cellIs" dxfId="10579" priority="14446" operator="greaterThan">
      <formula>1</formula>
    </cfRule>
    <cfRule type="cellIs" dxfId="10578" priority="14447" operator="between">
      <formula>0.95</formula>
      <formula>1</formula>
    </cfRule>
    <cfRule type="cellIs" dxfId="10577" priority="14448" stopIfTrue="1" operator="between">
      <formula>0</formula>
      <formula>0.5</formula>
    </cfRule>
  </conditionalFormatting>
  <conditionalFormatting sqref="AG165">
    <cfRule type="cellIs" dxfId="10576" priority="14439" operator="between">
      <formula>0.76</formula>
      <formula>0.95</formula>
    </cfRule>
    <cfRule type="cellIs" dxfId="10575" priority="14440" operator="between">
      <formula>0.51</formula>
      <formula>0.75</formula>
    </cfRule>
    <cfRule type="cellIs" dxfId="10574" priority="14441" operator="greaterThan">
      <formula>1</formula>
    </cfRule>
    <cfRule type="cellIs" dxfId="10573" priority="14442" operator="between">
      <formula>0.95</formula>
      <formula>1</formula>
    </cfRule>
    <cfRule type="cellIs" dxfId="10572" priority="14443" stopIfTrue="1" operator="between">
      <formula>0</formula>
      <formula>0.5</formula>
    </cfRule>
  </conditionalFormatting>
  <conditionalFormatting sqref="AG166">
    <cfRule type="cellIs" dxfId="10571" priority="14434" operator="between">
      <formula>0.76</formula>
      <formula>0.95</formula>
    </cfRule>
    <cfRule type="cellIs" dxfId="10570" priority="14435" operator="between">
      <formula>0.51</formula>
      <formula>0.75</formula>
    </cfRule>
    <cfRule type="cellIs" dxfId="10569" priority="14436" operator="greaterThan">
      <formula>1</formula>
    </cfRule>
    <cfRule type="cellIs" dxfId="10568" priority="14437" operator="between">
      <formula>0.95</formula>
      <formula>1</formula>
    </cfRule>
    <cfRule type="cellIs" dxfId="10567" priority="14438" stopIfTrue="1" operator="between">
      <formula>0</formula>
      <formula>0.5</formula>
    </cfRule>
  </conditionalFormatting>
  <conditionalFormatting sqref="AG167:AG168 AG170">
    <cfRule type="cellIs" dxfId="10566" priority="14414" operator="between">
      <formula>0.76</formula>
      <formula>0.95</formula>
    </cfRule>
    <cfRule type="cellIs" dxfId="10565" priority="14415" operator="between">
      <formula>0.51</formula>
      <formula>0.75</formula>
    </cfRule>
    <cfRule type="cellIs" dxfId="10564" priority="14416" operator="greaterThan">
      <formula>1</formula>
    </cfRule>
    <cfRule type="cellIs" dxfId="10563" priority="14417" operator="between">
      <formula>0.95</formula>
      <formula>1</formula>
    </cfRule>
    <cfRule type="cellIs" dxfId="10562" priority="14418" stopIfTrue="1" operator="between">
      <formula>0</formula>
      <formula>0.5</formula>
    </cfRule>
  </conditionalFormatting>
  <conditionalFormatting sqref="R256:S260 Y256:Z260 AF256:AI260">
    <cfRule type="cellIs" dxfId="10561" priority="14356" operator="between">
      <formula>0.76</formula>
      <formula>0.95</formula>
    </cfRule>
    <cfRule type="cellIs" dxfId="10560" priority="14357" operator="between">
      <formula>0.51</formula>
      <formula>0.75</formula>
    </cfRule>
    <cfRule type="cellIs" dxfId="10559" priority="14358" operator="greaterThan">
      <formula>1</formula>
    </cfRule>
    <cfRule type="cellIs" dxfId="10558" priority="14359" operator="between">
      <formula>0.95</formula>
      <formula>1</formula>
    </cfRule>
    <cfRule type="cellIs" dxfId="10557" priority="14360" stopIfTrue="1" operator="between">
      <formula>0</formula>
      <formula>0.5</formula>
    </cfRule>
  </conditionalFormatting>
  <conditionalFormatting sqref="T256:T260">
    <cfRule type="cellIs" dxfId="10556" priority="14351" operator="between">
      <formula>0.3751</formula>
      <formula>0.475</formula>
    </cfRule>
    <cfRule type="cellIs" dxfId="10555" priority="14352" operator="between">
      <formula>0.2551</formula>
      <formula>0.375</formula>
    </cfRule>
    <cfRule type="cellIs" dxfId="10554" priority="14353" operator="greaterThan">
      <formula>0.505</formula>
    </cfRule>
    <cfRule type="cellIs" dxfId="10553" priority="14354" operator="between">
      <formula>0.48</formula>
      <formula>0.5</formula>
    </cfRule>
    <cfRule type="cellIs" dxfId="10552" priority="14355" stopIfTrue="1" operator="between">
      <formula>0</formula>
      <formula>0.255</formula>
    </cfRule>
  </conditionalFormatting>
  <conditionalFormatting sqref="AA256:AC260">
    <cfRule type="cellIs" dxfId="10551" priority="14346" operator="between">
      <formula>0.56251</formula>
      <formula>0.7125</formula>
    </cfRule>
    <cfRule type="cellIs" dxfId="10550" priority="14347" operator="between">
      <formula>0.3751</formula>
      <formula>0.5625</formula>
    </cfRule>
    <cfRule type="cellIs" dxfId="10549" priority="14348" operator="greaterThan">
      <formula>0.751</formula>
    </cfRule>
    <cfRule type="cellIs" dxfId="10548" priority="14349" operator="between">
      <formula>0.71251</formula>
      <formula>0.75</formula>
    </cfRule>
    <cfRule type="cellIs" dxfId="10547" priority="14350" stopIfTrue="1" operator="between">
      <formula>0</formula>
      <formula>0.375</formula>
    </cfRule>
  </conditionalFormatting>
  <conditionalFormatting sqref="U256:V260">
    <cfRule type="cellIs" dxfId="10546" priority="14336" operator="between">
      <formula>0.376</formula>
      <formula>0.475</formula>
    </cfRule>
    <cfRule type="cellIs" dxfId="10545" priority="14337" operator="between">
      <formula>0.2551</formula>
      <formula>0.3751</formula>
    </cfRule>
    <cfRule type="cellIs" dxfId="10544" priority="14338" operator="greaterThan">
      <formula>0.505</formula>
    </cfRule>
    <cfRule type="cellIs" dxfId="10543" priority="14339" operator="between">
      <formula>0.48</formula>
      <formula>0.5</formula>
    </cfRule>
    <cfRule type="cellIs" dxfId="10542" priority="14340" stopIfTrue="1" operator="between">
      <formula>0</formula>
      <formula>0.255</formula>
    </cfRule>
  </conditionalFormatting>
  <conditionalFormatting sqref="AF66 R66 Y66 AH66:AI66">
    <cfRule type="cellIs" dxfId="10541" priority="14318" operator="between">
      <formula>0.76</formula>
      <formula>0.95</formula>
    </cfRule>
    <cfRule type="cellIs" dxfId="10540" priority="14319" operator="between">
      <formula>0.51</formula>
      <formula>0.75</formula>
    </cfRule>
    <cfRule type="cellIs" dxfId="10539" priority="14320" operator="greaterThan">
      <formula>1</formula>
    </cfRule>
    <cfRule type="cellIs" dxfId="10538" priority="14321" operator="between">
      <formula>0.95</formula>
      <formula>1</formula>
    </cfRule>
    <cfRule type="cellIs" dxfId="10537" priority="14322" stopIfTrue="1" operator="between">
      <formula>0</formula>
      <formula>0.5</formula>
    </cfRule>
  </conditionalFormatting>
  <conditionalFormatting sqref="T66">
    <cfRule type="cellIs" dxfId="10536" priority="14313" operator="between">
      <formula>0.3751</formula>
      <formula>0.475</formula>
    </cfRule>
    <cfRule type="cellIs" dxfId="10535" priority="14314" operator="between">
      <formula>0.2551</formula>
      <formula>0.375</formula>
    </cfRule>
    <cfRule type="cellIs" dxfId="10534" priority="14315" operator="greaterThan">
      <formula>0.505</formula>
    </cfRule>
    <cfRule type="cellIs" dxfId="10533" priority="14316" operator="between">
      <formula>0.48</formula>
      <formula>0.5</formula>
    </cfRule>
    <cfRule type="cellIs" dxfId="10532" priority="14317" stopIfTrue="1" operator="between">
      <formula>0</formula>
      <formula>0.255</formula>
    </cfRule>
  </conditionalFormatting>
  <conditionalFormatting sqref="AA66:AB66">
    <cfRule type="cellIs" dxfId="10531" priority="14308" operator="between">
      <formula>0.56251</formula>
      <formula>0.7125</formula>
    </cfRule>
    <cfRule type="cellIs" dxfId="10530" priority="14309" operator="between">
      <formula>0.3751</formula>
      <formula>0.5625</formula>
    </cfRule>
    <cfRule type="cellIs" dxfId="10529" priority="14310" operator="greaterThan">
      <formula>0.751</formula>
    </cfRule>
    <cfRule type="cellIs" dxfId="10528" priority="14311" operator="between">
      <formula>0.71251</formula>
      <formula>0.75</formula>
    </cfRule>
    <cfRule type="cellIs" dxfId="10527" priority="14312" stopIfTrue="1" operator="between">
      <formula>0</formula>
      <formula>0.375</formula>
    </cfRule>
  </conditionalFormatting>
  <conditionalFormatting sqref="U66">
    <cfRule type="cellIs" dxfId="10526" priority="14298" operator="between">
      <formula>0.376</formula>
      <formula>0.475</formula>
    </cfRule>
    <cfRule type="cellIs" dxfId="10525" priority="14299" operator="between">
      <formula>0.2551</formula>
      <formula>0.3751</formula>
    </cfRule>
    <cfRule type="cellIs" dxfId="10524" priority="14300" operator="greaterThan">
      <formula>0.505</formula>
    </cfRule>
    <cfRule type="cellIs" dxfId="10523" priority="14301" operator="between">
      <formula>0.48</formula>
      <formula>0.5</formula>
    </cfRule>
    <cfRule type="cellIs" dxfId="10522" priority="14302" stopIfTrue="1" operator="between">
      <formula>0</formula>
      <formula>0.255</formula>
    </cfRule>
  </conditionalFormatting>
  <conditionalFormatting sqref="Z66">
    <cfRule type="cellIs" dxfId="10521" priority="14278" operator="between">
      <formula>0.76</formula>
      <formula>0.95</formula>
    </cfRule>
    <cfRule type="cellIs" dxfId="10520" priority="14279" operator="between">
      <formula>0.51</formula>
      <formula>0.75</formula>
    </cfRule>
    <cfRule type="cellIs" dxfId="10519" priority="14280" operator="greaterThan">
      <formula>1</formula>
    </cfRule>
    <cfRule type="cellIs" dxfId="10518" priority="14281" operator="between">
      <formula>0.95</formula>
      <formula>1</formula>
    </cfRule>
    <cfRule type="cellIs" dxfId="10517" priority="14282" stopIfTrue="1" operator="between">
      <formula>0</formula>
      <formula>0.5</formula>
    </cfRule>
  </conditionalFormatting>
  <conditionalFormatting sqref="AC66">
    <cfRule type="cellIs" dxfId="10516" priority="14273" operator="between">
      <formula>0.56251</formula>
      <formula>0.7125</formula>
    </cfRule>
    <cfRule type="cellIs" dxfId="10515" priority="14274" operator="between">
      <formula>0.3751</formula>
      <formula>0.5625</formula>
    </cfRule>
    <cfRule type="cellIs" dxfId="10514" priority="14275" operator="greaterThan">
      <formula>0.751</formula>
    </cfRule>
    <cfRule type="cellIs" dxfId="10513" priority="14276" operator="between">
      <formula>0.71251</formula>
      <formula>0.75</formula>
    </cfRule>
    <cfRule type="cellIs" dxfId="10512" priority="14277" stopIfTrue="1" operator="between">
      <formula>0</formula>
      <formula>0.375</formula>
    </cfRule>
  </conditionalFormatting>
  <conditionalFormatting sqref="S66">
    <cfRule type="cellIs" dxfId="10511" priority="14248" operator="between">
      <formula>0.76</formula>
      <formula>0.95</formula>
    </cfRule>
    <cfRule type="cellIs" dxfId="10510" priority="14249" operator="between">
      <formula>0.51</formula>
      <formula>0.75</formula>
    </cfRule>
    <cfRule type="cellIs" dxfId="10509" priority="14250" operator="greaterThan">
      <formula>1</formula>
    </cfRule>
    <cfRule type="cellIs" dxfId="10508" priority="14251" operator="between">
      <formula>0.95</formula>
      <formula>1</formula>
    </cfRule>
    <cfRule type="cellIs" dxfId="10507" priority="14252" stopIfTrue="1" operator="between">
      <formula>0</formula>
      <formula>0.5</formula>
    </cfRule>
  </conditionalFormatting>
  <conditionalFormatting sqref="V66">
    <cfRule type="cellIs" dxfId="10506" priority="14243" operator="between">
      <formula>0.376</formula>
      <formula>0.475</formula>
    </cfRule>
    <cfRule type="cellIs" dxfId="10505" priority="14244" operator="between">
      <formula>0.2551</formula>
      <formula>0.3751</formula>
    </cfRule>
    <cfRule type="cellIs" dxfId="10504" priority="14245" operator="greaterThan">
      <formula>0.505</formula>
    </cfRule>
    <cfRule type="cellIs" dxfId="10503" priority="14246" operator="between">
      <formula>0.48</formula>
      <formula>0.5</formula>
    </cfRule>
    <cfRule type="cellIs" dxfId="10502" priority="14247" stopIfTrue="1" operator="between">
      <formula>0</formula>
      <formula>0.255</formula>
    </cfRule>
  </conditionalFormatting>
  <conditionalFormatting sqref="AG66">
    <cfRule type="cellIs" dxfId="10501" priority="14238" operator="between">
      <formula>0.76</formula>
      <formula>0.95</formula>
    </cfRule>
    <cfRule type="cellIs" dxfId="10500" priority="14239" operator="between">
      <formula>0.51</formula>
      <formula>0.75</formula>
    </cfRule>
    <cfRule type="cellIs" dxfId="10499" priority="14240" operator="greaterThan">
      <formula>1</formula>
    </cfRule>
    <cfRule type="cellIs" dxfId="10498" priority="14241" operator="between">
      <formula>0.95</formula>
      <formula>1</formula>
    </cfRule>
    <cfRule type="cellIs" dxfId="10497" priority="14242" stopIfTrue="1" operator="between">
      <formula>0</formula>
      <formula>0.5</formula>
    </cfRule>
  </conditionalFormatting>
  <conditionalFormatting sqref="R261:S261 Y261:Z261 AF261:AI261">
    <cfRule type="cellIs" dxfId="10496" priority="14233" operator="between">
      <formula>0.76</formula>
      <formula>0.95</formula>
    </cfRule>
    <cfRule type="cellIs" dxfId="10495" priority="14234" operator="between">
      <formula>0.51</formula>
      <formula>0.75</formula>
    </cfRule>
    <cfRule type="cellIs" dxfId="10494" priority="14235" operator="greaterThan">
      <formula>1</formula>
    </cfRule>
    <cfRule type="cellIs" dxfId="10493" priority="14236" operator="between">
      <formula>0.95</formula>
      <formula>1</formula>
    </cfRule>
    <cfRule type="cellIs" dxfId="10492" priority="14237" stopIfTrue="1" operator="between">
      <formula>0</formula>
      <formula>0.5</formula>
    </cfRule>
  </conditionalFormatting>
  <conditionalFormatting sqref="T261">
    <cfRule type="cellIs" dxfId="10491" priority="14228" operator="between">
      <formula>0.3751</formula>
      <formula>0.475</formula>
    </cfRule>
    <cfRule type="cellIs" dxfId="10490" priority="14229" operator="between">
      <formula>0.2551</formula>
      <formula>0.375</formula>
    </cfRule>
    <cfRule type="cellIs" dxfId="10489" priority="14230" operator="greaterThan">
      <formula>0.505</formula>
    </cfRule>
    <cfRule type="cellIs" dxfId="10488" priority="14231" operator="between">
      <formula>0.48</formula>
      <formula>0.5</formula>
    </cfRule>
    <cfRule type="cellIs" dxfId="10487" priority="14232" stopIfTrue="1" operator="between">
      <formula>0</formula>
      <formula>0.255</formula>
    </cfRule>
  </conditionalFormatting>
  <conditionalFormatting sqref="AA261:AB261">
    <cfRule type="cellIs" dxfId="10486" priority="14223" operator="between">
      <formula>0.56251</formula>
      <formula>0.7125</formula>
    </cfRule>
    <cfRule type="cellIs" dxfId="10485" priority="14224" operator="between">
      <formula>0.3751</formula>
      <formula>0.5625</formula>
    </cfRule>
    <cfRule type="cellIs" dxfId="10484" priority="14225" operator="greaterThan">
      <formula>0.751</formula>
    </cfRule>
    <cfRule type="cellIs" dxfId="10483" priority="14226" operator="between">
      <formula>0.71251</formula>
      <formula>0.75</formula>
    </cfRule>
    <cfRule type="cellIs" dxfId="10482" priority="14227" stopIfTrue="1" operator="between">
      <formula>0</formula>
      <formula>0.375</formula>
    </cfRule>
  </conditionalFormatting>
  <conditionalFormatting sqref="U261">
    <cfRule type="cellIs" dxfId="10481" priority="14213" operator="between">
      <formula>0.376</formula>
      <formula>0.475</formula>
    </cfRule>
    <cfRule type="cellIs" dxfId="10480" priority="14214" operator="between">
      <formula>0.2551</formula>
      <formula>0.3751</formula>
    </cfRule>
    <cfRule type="cellIs" dxfId="10479" priority="14215" operator="greaterThan">
      <formula>0.505</formula>
    </cfRule>
    <cfRule type="cellIs" dxfId="10478" priority="14216" operator="between">
      <formula>0.48</formula>
      <formula>0.5</formula>
    </cfRule>
    <cfRule type="cellIs" dxfId="10477" priority="14217" stopIfTrue="1" operator="between">
      <formula>0</formula>
      <formula>0.255</formula>
    </cfRule>
  </conditionalFormatting>
  <conditionalFormatting sqref="AF67 R67 Y67 AH67:AI67">
    <cfRule type="cellIs" dxfId="10476" priority="14205" operator="between">
      <formula>0.76</formula>
      <formula>0.95</formula>
    </cfRule>
    <cfRule type="cellIs" dxfId="10475" priority="14206" operator="between">
      <formula>0.51</formula>
      <formula>0.75</formula>
    </cfRule>
    <cfRule type="cellIs" dxfId="10474" priority="14207" operator="greaterThan">
      <formula>1</formula>
    </cfRule>
    <cfRule type="cellIs" dxfId="10473" priority="14208" operator="between">
      <formula>0.95</formula>
      <formula>1</formula>
    </cfRule>
    <cfRule type="cellIs" dxfId="10472" priority="14209" stopIfTrue="1" operator="between">
      <formula>0</formula>
      <formula>0.5</formula>
    </cfRule>
  </conditionalFormatting>
  <conditionalFormatting sqref="T67">
    <cfRule type="cellIs" dxfId="10471" priority="14200" operator="between">
      <formula>0.3751</formula>
      <formula>0.475</formula>
    </cfRule>
    <cfRule type="cellIs" dxfId="10470" priority="14201" operator="between">
      <formula>0.2551</formula>
      <formula>0.375</formula>
    </cfRule>
    <cfRule type="cellIs" dxfId="10469" priority="14202" operator="greaterThan">
      <formula>0.505</formula>
    </cfRule>
    <cfRule type="cellIs" dxfId="10468" priority="14203" operator="between">
      <formula>0.48</formula>
      <formula>0.5</formula>
    </cfRule>
    <cfRule type="cellIs" dxfId="10467" priority="14204" stopIfTrue="1" operator="between">
      <formula>0</formula>
      <formula>0.255</formula>
    </cfRule>
  </conditionalFormatting>
  <conditionalFormatting sqref="AA67:AB67">
    <cfRule type="cellIs" dxfId="10466" priority="14195" operator="between">
      <formula>0.56251</formula>
      <formula>0.7125</formula>
    </cfRule>
    <cfRule type="cellIs" dxfId="10465" priority="14196" operator="between">
      <formula>0.3751</formula>
      <formula>0.5625</formula>
    </cfRule>
    <cfRule type="cellIs" dxfId="10464" priority="14197" operator="greaterThan">
      <formula>0.751</formula>
    </cfRule>
    <cfRule type="cellIs" dxfId="10463" priority="14198" operator="between">
      <formula>0.71251</formula>
      <formula>0.75</formula>
    </cfRule>
    <cfRule type="cellIs" dxfId="10462" priority="14199" stopIfTrue="1" operator="between">
      <formula>0</formula>
      <formula>0.375</formula>
    </cfRule>
  </conditionalFormatting>
  <conditionalFormatting sqref="U67">
    <cfRule type="cellIs" dxfId="10461" priority="14185" operator="between">
      <formula>0.376</formula>
      <formula>0.475</formula>
    </cfRule>
    <cfRule type="cellIs" dxfId="10460" priority="14186" operator="between">
      <formula>0.2551</formula>
      <formula>0.3751</formula>
    </cfRule>
    <cfRule type="cellIs" dxfId="10459" priority="14187" operator="greaterThan">
      <formula>0.505</formula>
    </cfRule>
    <cfRule type="cellIs" dxfId="10458" priority="14188" operator="between">
      <formula>0.48</formula>
      <formula>0.5</formula>
    </cfRule>
    <cfRule type="cellIs" dxfId="10457" priority="14189" stopIfTrue="1" operator="between">
      <formula>0</formula>
      <formula>0.255</formula>
    </cfRule>
  </conditionalFormatting>
  <conditionalFormatting sqref="Z67">
    <cfRule type="cellIs" dxfId="10456" priority="14165" operator="between">
      <formula>0.76</formula>
      <formula>0.95</formula>
    </cfRule>
    <cfRule type="cellIs" dxfId="10455" priority="14166" operator="between">
      <formula>0.51</formula>
      <formula>0.75</formula>
    </cfRule>
    <cfRule type="cellIs" dxfId="10454" priority="14167" operator="greaterThan">
      <formula>1</formula>
    </cfRule>
    <cfRule type="cellIs" dxfId="10453" priority="14168" operator="between">
      <formula>0.95</formula>
      <formula>1</formula>
    </cfRule>
    <cfRule type="cellIs" dxfId="10452" priority="14169" stopIfTrue="1" operator="between">
      <formula>0</formula>
      <formula>0.5</formula>
    </cfRule>
  </conditionalFormatting>
  <conditionalFormatting sqref="AC67">
    <cfRule type="cellIs" dxfId="10451" priority="14160" operator="between">
      <formula>0.56251</formula>
      <formula>0.7125</formula>
    </cfRule>
    <cfRule type="cellIs" dxfId="10450" priority="14161" operator="between">
      <formula>0.3751</formula>
      <formula>0.5625</formula>
    </cfRule>
    <cfRule type="cellIs" dxfId="10449" priority="14162" operator="greaterThan">
      <formula>0.751</formula>
    </cfRule>
    <cfRule type="cellIs" dxfId="10448" priority="14163" operator="between">
      <formula>0.71251</formula>
      <formula>0.75</formula>
    </cfRule>
    <cfRule type="cellIs" dxfId="10447" priority="14164" stopIfTrue="1" operator="between">
      <formula>0</formula>
      <formula>0.375</formula>
    </cfRule>
  </conditionalFormatting>
  <conditionalFormatting sqref="S67">
    <cfRule type="cellIs" dxfId="10446" priority="14145" operator="between">
      <formula>0.76</formula>
      <formula>0.95</formula>
    </cfRule>
    <cfRule type="cellIs" dxfId="10445" priority="14146" operator="between">
      <formula>0.51</formula>
      <formula>0.75</formula>
    </cfRule>
    <cfRule type="cellIs" dxfId="10444" priority="14147" operator="greaterThan">
      <formula>1</formula>
    </cfRule>
    <cfRule type="cellIs" dxfId="10443" priority="14148" operator="between">
      <formula>0.95</formula>
      <formula>1</formula>
    </cfRule>
    <cfRule type="cellIs" dxfId="10442" priority="14149" stopIfTrue="1" operator="between">
      <formula>0</formula>
      <formula>0.5</formula>
    </cfRule>
  </conditionalFormatting>
  <conditionalFormatting sqref="V67">
    <cfRule type="cellIs" dxfId="10441" priority="14140" operator="between">
      <formula>0.376</formula>
      <formula>0.475</formula>
    </cfRule>
    <cfRule type="cellIs" dxfId="10440" priority="14141" operator="between">
      <formula>0.2551</formula>
      <formula>0.3751</formula>
    </cfRule>
    <cfRule type="cellIs" dxfId="10439" priority="14142" operator="greaterThan">
      <formula>0.505</formula>
    </cfRule>
    <cfRule type="cellIs" dxfId="10438" priority="14143" operator="between">
      <formula>0.48</formula>
      <formula>0.5</formula>
    </cfRule>
    <cfRule type="cellIs" dxfId="10437" priority="14144" stopIfTrue="1" operator="between">
      <formula>0</formula>
      <formula>0.255</formula>
    </cfRule>
  </conditionalFormatting>
  <conditionalFormatting sqref="AG67">
    <cfRule type="cellIs" dxfId="10436" priority="14135" operator="between">
      <formula>0.76</formula>
      <formula>0.95</formula>
    </cfRule>
    <cfRule type="cellIs" dxfId="10435" priority="14136" operator="between">
      <formula>0.51</formula>
      <formula>0.75</formula>
    </cfRule>
    <cfRule type="cellIs" dxfId="10434" priority="14137" operator="greaterThan">
      <formula>1</formula>
    </cfRule>
    <cfRule type="cellIs" dxfId="10433" priority="14138" operator="between">
      <formula>0.95</formula>
      <formula>1</formula>
    </cfRule>
    <cfRule type="cellIs" dxfId="10432" priority="14139" stopIfTrue="1" operator="between">
      <formula>0</formula>
      <formula>0.5</formula>
    </cfRule>
  </conditionalFormatting>
  <conditionalFormatting sqref="AF84:AF87 R84:R87 Y84:Y87 AH84:AI87">
    <cfRule type="cellIs" dxfId="10431" priority="14055" operator="between">
      <formula>0.76</formula>
      <formula>0.95</formula>
    </cfRule>
    <cfRule type="cellIs" dxfId="10430" priority="14056" operator="between">
      <formula>0.51</formula>
      <formula>0.75</formula>
    </cfRule>
    <cfRule type="cellIs" dxfId="10429" priority="14057" operator="greaterThan">
      <formula>1</formula>
    </cfRule>
    <cfRule type="cellIs" dxfId="10428" priority="14058" operator="between">
      <formula>0.95</formula>
      <formula>1</formula>
    </cfRule>
    <cfRule type="cellIs" dxfId="10427" priority="14059" stopIfTrue="1" operator="between">
      <formula>0</formula>
      <formula>0.5</formula>
    </cfRule>
  </conditionalFormatting>
  <conditionalFormatting sqref="T84:T87">
    <cfRule type="cellIs" dxfId="10426" priority="14050" operator="between">
      <formula>0.3751</formula>
      <formula>0.475</formula>
    </cfRule>
    <cfRule type="cellIs" dxfId="10425" priority="14051" operator="between">
      <formula>0.2551</formula>
      <formula>0.375</formula>
    </cfRule>
    <cfRule type="cellIs" dxfId="10424" priority="14052" operator="greaterThan">
      <formula>0.505</formula>
    </cfRule>
    <cfRule type="cellIs" dxfId="10423" priority="14053" operator="between">
      <formula>0.48</formula>
      <formula>0.5</formula>
    </cfRule>
    <cfRule type="cellIs" dxfId="10422" priority="14054" stopIfTrue="1" operator="between">
      <formula>0</formula>
      <formula>0.255</formula>
    </cfRule>
  </conditionalFormatting>
  <conditionalFormatting sqref="AA84:AB87">
    <cfRule type="cellIs" dxfId="10421" priority="14045" operator="between">
      <formula>0.56251</formula>
      <formula>0.7125</formula>
    </cfRule>
    <cfRule type="cellIs" dxfId="10420" priority="14046" operator="between">
      <formula>0.3751</formula>
      <formula>0.5625</formula>
    </cfRule>
    <cfRule type="cellIs" dxfId="10419" priority="14047" operator="greaterThan">
      <formula>0.751</formula>
    </cfRule>
    <cfRule type="cellIs" dxfId="10418" priority="14048" operator="between">
      <formula>0.71251</formula>
      <formula>0.75</formula>
    </cfRule>
    <cfRule type="cellIs" dxfId="10417" priority="14049" stopIfTrue="1" operator="between">
      <formula>0</formula>
      <formula>0.375</formula>
    </cfRule>
  </conditionalFormatting>
  <conditionalFormatting sqref="U84:U87">
    <cfRule type="cellIs" dxfId="10416" priority="14035" operator="between">
      <formula>0.376</formula>
      <formula>0.475</formula>
    </cfRule>
    <cfRule type="cellIs" dxfId="10415" priority="14036" operator="between">
      <formula>0.2551</formula>
      <formula>0.3751</formula>
    </cfRule>
    <cfRule type="cellIs" dxfId="10414" priority="14037" operator="greaterThan">
      <formula>0.505</formula>
    </cfRule>
    <cfRule type="cellIs" dxfId="10413" priority="14038" operator="between">
      <formula>0.48</formula>
      <formula>0.5</formula>
    </cfRule>
    <cfRule type="cellIs" dxfId="10412" priority="14039" stopIfTrue="1" operator="between">
      <formula>0</formula>
      <formula>0.255</formula>
    </cfRule>
  </conditionalFormatting>
  <conditionalFormatting sqref="Z84:Z87">
    <cfRule type="cellIs" dxfId="10411" priority="14015" operator="between">
      <formula>0.76</formula>
      <formula>0.95</formula>
    </cfRule>
    <cfRule type="cellIs" dxfId="10410" priority="14016" operator="between">
      <formula>0.51</formula>
      <formula>0.75</formula>
    </cfRule>
    <cfRule type="cellIs" dxfId="10409" priority="14017" operator="greaterThan">
      <formula>1</formula>
    </cfRule>
    <cfRule type="cellIs" dxfId="10408" priority="14018" operator="between">
      <formula>0.95</formula>
      <formula>1</formula>
    </cfRule>
    <cfRule type="cellIs" dxfId="10407" priority="14019" stopIfTrue="1" operator="between">
      <formula>0</formula>
      <formula>0.5</formula>
    </cfRule>
  </conditionalFormatting>
  <conditionalFormatting sqref="AC84:AC87">
    <cfRule type="cellIs" dxfId="10406" priority="14010" operator="between">
      <formula>0.56251</formula>
      <formula>0.7125</formula>
    </cfRule>
    <cfRule type="cellIs" dxfId="10405" priority="14011" operator="between">
      <formula>0.3751</formula>
      <formula>0.5625</formula>
    </cfRule>
    <cfRule type="cellIs" dxfId="10404" priority="14012" operator="greaterThan">
      <formula>0.751</formula>
    </cfRule>
    <cfRule type="cellIs" dxfId="10403" priority="14013" operator="between">
      <formula>0.71251</formula>
      <formula>0.75</formula>
    </cfRule>
    <cfRule type="cellIs" dxfId="10402" priority="14014" stopIfTrue="1" operator="between">
      <formula>0</formula>
      <formula>0.375</formula>
    </cfRule>
  </conditionalFormatting>
  <conditionalFormatting sqref="S84:S87">
    <cfRule type="cellIs" dxfId="10401" priority="13995" operator="between">
      <formula>0.76</formula>
      <formula>0.95</formula>
    </cfRule>
    <cfRule type="cellIs" dxfId="10400" priority="13996" operator="between">
      <formula>0.51</formula>
      <formula>0.75</formula>
    </cfRule>
    <cfRule type="cellIs" dxfId="10399" priority="13997" operator="greaterThan">
      <formula>1</formula>
    </cfRule>
    <cfRule type="cellIs" dxfId="10398" priority="13998" operator="between">
      <formula>0.95</formula>
      <formula>1</formula>
    </cfRule>
    <cfRule type="cellIs" dxfId="10397" priority="13999" stopIfTrue="1" operator="between">
      <formula>0</formula>
      <formula>0.5</formula>
    </cfRule>
  </conditionalFormatting>
  <conditionalFormatting sqref="V84:V87">
    <cfRule type="cellIs" dxfId="10396" priority="13990" operator="between">
      <formula>0.376</formula>
      <formula>0.475</formula>
    </cfRule>
    <cfRule type="cellIs" dxfId="10395" priority="13991" operator="between">
      <formula>0.2551</formula>
      <formula>0.3751</formula>
    </cfRule>
    <cfRule type="cellIs" dxfId="10394" priority="13992" operator="greaterThan">
      <formula>0.505</formula>
    </cfRule>
    <cfRule type="cellIs" dxfId="10393" priority="13993" operator="between">
      <formula>0.48</formula>
      <formula>0.5</formula>
    </cfRule>
    <cfRule type="cellIs" dxfId="10392" priority="13994" stopIfTrue="1" operator="between">
      <formula>0</formula>
      <formula>0.255</formula>
    </cfRule>
  </conditionalFormatting>
  <conditionalFormatting sqref="AG84:AG87">
    <cfRule type="cellIs" dxfId="10391" priority="13985" operator="between">
      <formula>0.76</formula>
      <formula>0.95</formula>
    </cfRule>
    <cfRule type="cellIs" dxfId="10390" priority="13986" operator="between">
      <formula>0.51</formula>
      <formula>0.75</formula>
    </cfRule>
    <cfRule type="cellIs" dxfId="10389" priority="13987" operator="greaterThan">
      <formula>1</formula>
    </cfRule>
    <cfRule type="cellIs" dxfId="10388" priority="13988" operator="between">
      <formula>0.95</formula>
      <formula>1</formula>
    </cfRule>
    <cfRule type="cellIs" dxfId="10387" priority="13989" stopIfTrue="1" operator="between">
      <formula>0</formula>
      <formula>0.5</formula>
    </cfRule>
  </conditionalFormatting>
  <conditionalFormatting sqref="AF91 R91 Y91 AH91:AI91">
    <cfRule type="cellIs" dxfId="10386" priority="13980" operator="between">
      <formula>0.76</formula>
      <formula>0.95</formula>
    </cfRule>
    <cfRule type="cellIs" dxfId="10385" priority="13981" operator="between">
      <formula>0.51</formula>
      <formula>0.75</formula>
    </cfRule>
    <cfRule type="cellIs" dxfId="10384" priority="13982" operator="greaterThan">
      <formula>1</formula>
    </cfRule>
    <cfRule type="cellIs" dxfId="10383" priority="13983" operator="between">
      <formula>0.95</formula>
      <formula>1</formula>
    </cfRule>
    <cfRule type="cellIs" dxfId="10382" priority="13984" stopIfTrue="1" operator="between">
      <formula>0</formula>
      <formula>0.5</formula>
    </cfRule>
  </conditionalFormatting>
  <conditionalFormatting sqref="T91">
    <cfRule type="cellIs" dxfId="10381" priority="13975" operator="between">
      <formula>0.3751</formula>
      <formula>0.475</formula>
    </cfRule>
    <cfRule type="cellIs" dxfId="10380" priority="13976" operator="between">
      <formula>0.2551</formula>
      <formula>0.375</formula>
    </cfRule>
    <cfRule type="cellIs" dxfId="10379" priority="13977" operator="greaterThan">
      <formula>0.505</formula>
    </cfRule>
    <cfRule type="cellIs" dxfId="10378" priority="13978" operator="between">
      <formula>0.48</formula>
      <formula>0.5</formula>
    </cfRule>
    <cfRule type="cellIs" dxfId="10377" priority="13979" stopIfTrue="1" operator="between">
      <formula>0</formula>
      <formula>0.255</formula>
    </cfRule>
  </conditionalFormatting>
  <conditionalFormatting sqref="AA91:AB91">
    <cfRule type="cellIs" dxfId="10376" priority="13970" operator="between">
      <formula>0.56251</formula>
      <formula>0.7125</formula>
    </cfRule>
    <cfRule type="cellIs" dxfId="10375" priority="13971" operator="between">
      <formula>0.3751</formula>
      <formula>0.5625</formula>
    </cfRule>
    <cfRule type="cellIs" dxfId="10374" priority="13972" operator="greaterThan">
      <formula>0.751</formula>
    </cfRule>
    <cfRule type="cellIs" dxfId="10373" priority="13973" operator="between">
      <formula>0.71251</formula>
      <formula>0.75</formula>
    </cfRule>
    <cfRule type="cellIs" dxfId="10372" priority="13974" stopIfTrue="1" operator="between">
      <formula>0</formula>
      <formula>0.375</formula>
    </cfRule>
  </conditionalFormatting>
  <conditionalFormatting sqref="U91">
    <cfRule type="cellIs" dxfId="10371" priority="13960" operator="between">
      <formula>0.376</formula>
      <formula>0.475</formula>
    </cfRule>
    <cfRule type="cellIs" dxfId="10370" priority="13961" operator="between">
      <formula>0.2551</formula>
      <formula>0.3751</formula>
    </cfRule>
    <cfRule type="cellIs" dxfId="10369" priority="13962" operator="greaterThan">
      <formula>0.505</formula>
    </cfRule>
    <cfRule type="cellIs" dxfId="10368" priority="13963" operator="between">
      <formula>0.48</formula>
      <formula>0.5</formula>
    </cfRule>
    <cfRule type="cellIs" dxfId="10367" priority="13964" stopIfTrue="1" operator="between">
      <formula>0</formula>
      <formula>0.255</formula>
    </cfRule>
  </conditionalFormatting>
  <conditionalFormatting sqref="Z91">
    <cfRule type="cellIs" dxfId="10366" priority="13940" operator="between">
      <formula>0.76</formula>
      <formula>0.95</formula>
    </cfRule>
    <cfRule type="cellIs" dxfId="10365" priority="13941" operator="between">
      <formula>0.51</formula>
      <formula>0.75</formula>
    </cfRule>
    <cfRule type="cellIs" dxfId="10364" priority="13942" operator="greaterThan">
      <formula>1</formula>
    </cfRule>
    <cfRule type="cellIs" dxfId="10363" priority="13943" operator="between">
      <formula>0.95</formula>
      <formula>1</formula>
    </cfRule>
    <cfRule type="cellIs" dxfId="10362" priority="13944" stopIfTrue="1" operator="between">
      <formula>0</formula>
      <formula>0.5</formula>
    </cfRule>
  </conditionalFormatting>
  <conditionalFormatting sqref="AC91">
    <cfRule type="cellIs" dxfId="10361" priority="13935" operator="between">
      <formula>0.56251</formula>
      <formula>0.7125</formula>
    </cfRule>
    <cfRule type="cellIs" dxfId="10360" priority="13936" operator="between">
      <formula>0.3751</formula>
      <formula>0.5625</formula>
    </cfRule>
    <cfRule type="cellIs" dxfId="10359" priority="13937" operator="greaterThan">
      <formula>0.751</formula>
    </cfRule>
    <cfRule type="cellIs" dxfId="10358" priority="13938" operator="between">
      <formula>0.71251</formula>
      <formula>0.75</formula>
    </cfRule>
    <cfRule type="cellIs" dxfId="10357" priority="13939" stopIfTrue="1" operator="between">
      <formula>0</formula>
      <formula>0.375</formula>
    </cfRule>
  </conditionalFormatting>
  <conditionalFormatting sqref="S91">
    <cfRule type="cellIs" dxfId="10356" priority="13905" operator="between">
      <formula>0.76</formula>
      <formula>0.95</formula>
    </cfRule>
    <cfRule type="cellIs" dxfId="10355" priority="13906" operator="between">
      <formula>0.51</formula>
      <formula>0.75</formula>
    </cfRule>
    <cfRule type="cellIs" dxfId="10354" priority="13907" operator="greaterThan">
      <formula>1</formula>
    </cfRule>
    <cfRule type="cellIs" dxfId="10353" priority="13908" operator="between">
      <formula>0.95</formula>
      <formula>1</formula>
    </cfRule>
    <cfRule type="cellIs" dxfId="10352" priority="13909" stopIfTrue="1" operator="between">
      <formula>0</formula>
      <formula>0.5</formula>
    </cfRule>
  </conditionalFormatting>
  <conditionalFormatting sqref="V91">
    <cfRule type="cellIs" dxfId="10351" priority="13890" operator="between">
      <formula>0.376</formula>
      <formula>0.475</formula>
    </cfRule>
    <cfRule type="cellIs" dxfId="10350" priority="13891" operator="between">
      <formula>0.2551</formula>
      <formula>0.3751</formula>
    </cfRule>
    <cfRule type="cellIs" dxfId="10349" priority="13892" operator="greaterThan">
      <formula>0.505</formula>
    </cfRule>
    <cfRule type="cellIs" dxfId="10348" priority="13893" operator="between">
      <formula>0.48</formula>
      <formula>0.5</formula>
    </cfRule>
    <cfRule type="cellIs" dxfId="10347" priority="13894" stopIfTrue="1" operator="between">
      <formula>0</formula>
      <formula>0.255</formula>
    </cfRule>
  </conditionalFormatting>
  <conditionalFormatting sqref="AF97 R97 Y97 AH97:AI97">
    <cfRule type="cellIs" dxfId="10346" priority="13875" operator="between">
      <formula>0.76</formula>
      <formula>0.95</formula>
    </cfRule>
    <cfRule type="cellIs" dxfId="10345" priority="13876" operator="between">
      <formula>0.51</formula>
      <formula>0.75</formula>
    </cfRule>
    <cfRule type="cellIs" dxfId="10344" priority="13877" operator="greaterThan">
      <formula>1</formula>
    </cfRule>
    <cfRule type="cellIs" dxfId="10343" priority="13878" operator="between">
      <formula>0.95</formula>
      <formula>1</formula>
    </cfRule>
    <cfRule type="cellIs" dxfId="10342" priority="13879" stopIfTrue="1" operator="between">
      <formula>0</formula>
      <formula>0.5</formula>
    </cfRule>
  </conditionalFormatting>
  <conditionalFormatting sqref="T97">
    <cfRule type="cellIs" dxfId="10341" priority="13870" operator="between">
      <formula>0.3751</formula>
      <formula>0.475</formula>
    </cfRule>
    <cfRule type="cellIs" dxfId="10340" priority="13871" operator="between">
      <formula>0.2551</formula>
      <formula>0.375</formula>
    </cfRule>
    <cfRule type="cellIs" dxfId="10339" priority="13872" operator="greaterThan">
      <formula>0.505</formula>
    </cfRule>
    <cfRule type="cellIs" dxfId="10338" priority="13873" operator="between">
      <formula>0.48</formula>
      <formula>0.5</formula>
    </cfRule>
    <cfRule type="cellIs" dxfId="10337" priority="13874" stopIfTrue="1" operator="between">
      <formula>0</formula>
      <formula>0.255</formula>
    </cfRule>
  </conditionalFormatting>
  <conditionalFormatting sqref="AA97:AB97">
    <cfRule type="cellIs" dxfId="10336" priority="13865" operator="between">
      <formula>0.56251</formula>
      <formula>0.7125</formula>
    </cfRule>
    <cfRule type="cellIs" dxfId="10335" priority="13866" operator="between">
      <formula>0.3751</formula>
      <formula>0.5625</formula>
    </cfRule>
    <cfRule type="cellIs" dxfId="10334" priority="13867" operator="greaterThan">
      <formula>0.751</formula>
    </cfRule>
    <cfRule type="cellIs" dxfId="10333" priority="13868" operator="between">
      <formula>0.71251</formula>
      <formula>0.75</formula>
    </cfRule>
    <cfRule type="cellIs" dxfId="10332" priority="13869" stopIfTrue="1" operator="between">
      <formula>0</formula>
      <formula>0.375</formula>
    </cfRule>
  </conditionalFormatting>
  <conditionalFormatting sqref="U97">
    <cfRule type="cellIs" dxfId="10331" priority="13855" operator="between">
      <formula>0.376</formula>
      <formula>0.475</formula>
    </cfRule>
    <cfRule type="cellIs" dxfId="10330" priority="13856" operator="between">
      <formula>0.2551</formula>
      <formula>0.3751</formula>
    </cfRule>
    <cfRule type="cellIs" dxfId="10329" priority="13857" operator="greaterThan">
      <formula>0.505</formula>
    </cfRule>
    <cfRule type="cellIs" dxfId="10328" priority="13858" operator="between">
      <formula>0.48</formula>
      <formula>0.5</formula>
    </cfRule>
    <cfRule type="cellIs" dxfId="10327" priority="13859" stopIfTrue="1" operator="between">
      <formula>0</formula>
      <formula>0.255</formula>
    </cfRule>
  </conditionalFormatting>
  <conditionalFormatting sqref="AC97">
    <cfRule type="cellIs" dxfId="10326" priority="13830" operator="between">
      <formula>0.56251</formula>
      <formula>0.7125</formula>
    </cfRule>
    <cfRule type="cellIs" dxfId="10325" priority="13831" operator="between">
      <formula>0.3751</formula>
      <formula>0.5625</formula>
    </cfRule>
    <cfRule type="cellIs" dxfId="10324" priority="13832" operator="greaterThan">
      <formula>0.751</formula>
    </cfRule>
    <cfRule type="cellIs" dxfId="10323" priority="13833" operator="between">
      <formula>0.71251</formula>
      <formula>0.75</formula>
    </cfRule>
    <cfRule type="cellIs" dxfId="10322" priority="13834" stopIfTrue="1" operator="between">
      <formula>0</formula>
      <formula>0.375</formula>
    </cfRule>
  </conditionalFormatting>
  <conditionalFormatting sqref="S97">
    <cfRule type="cellIs" dxfId="10321" priority="13810" operator="between">
      <formula>0.76</formula>
      <formula>0.95</formula>
    </cfRule>
    <cfRule type="cellIs" dxfId="10320" priority="13811" operator="between">
      <formula>0.51</formula>
      <formula>0.75</formula>
    </cfRule>
    <cfRule type="cellIs" dxfId="10319" priority="13812" operator="greaterThan">
      <formula>1</formula>
    </cfRule>
    <cfRule type="cellIs" dxfId="10318" priority="13813" operator="between">
      <formula>0.95</formula>
      <formula>1</formula>
    </cfRule>
    <cfRule type="cellIs" dxfId="10317" priority="13814" stopIfTrue="1" operator="between">
      <formula>0</formula>
      <formula>0.5</formula>
    </cfRule>
  </conditionalFormatting>
  <conditionalFormatting sqref="V97">
    <cfRule type="cellIs" dxfId="10316" priority="13805" operator="between">
      <formula>0.376</formula>
      <formula>0.475</formula>
    </cfRule>
    <cfRule type="cellIs" dxfId="10315" priority="13806" operator="between">
      <formula>0.2551</formula>
      <formula>0.3751</formula>
    </cfRule>
    <cfRule type="cellIs" dxfId="10314" priority="13807" operator="greaterThan">
      <formula>0.505</formula>
    </cfRule>
    <cfRule type="cellIs" dxfId="10313" priority="13808" operator="between">
      <formula>0.48</formula>
      <formula>0.5</formula>
    </cfRule>
    <cfRule type="cellIs" dxfId="10312" priority="13809" stopIfTrue="1" operator="between">
      <formula>0</formula>
      <formula>0.255</formula>
    </cfRule>
  </conditionalFormatting>
  <conditionalFormatting sqref="AH117:AI118 Y117:Y118 R117:R118 AF117:AF118">
    <cfRule type="cellIs" dxfId="10311" priority="13800" operator="between">
      <formula>0.76</formula>
      <formula>0.95</formula>
    </cfRule>
    <cfRule type="cellIs" dxfId="10310" priority="13801" operator="between">
      <formula>0.51</formula>
      <formula>0.75</formula>
    </cfRule>
    <cfRule type="cellIs" dxfId="10309" priority="13802" operator="greaterThan">
      <formula>1</formula>
    </cfRule>
    <cfRule type="cellIs" dxfId="10308" priority="13803" operator="between">
      <formula>0.95</formula>
      <formula>1</formula>
    </cfRule>
    <cfRule type="cellIs" dxfId="10307" priority="13804" stopIfTrue="1" operator="between">
      <formula>0</formula>
      <formula>0.5</formula>
    </cfRule>
  </conditionalFormatting>
  <conditionalFormatting sqref="T117:T118">
    <cfRule type="cellIs" dxfId="10306" priority="13795" operator="between">
      <formula>0.3751</formula>
      <formula>0.475</formula>
    </cfRule>
    <cfRule type="cellIs" dxfId="10305" priority="13796" operator="between">
      <formula>0.2551</formula>
      <formula>0.375</formula>
    </cfRule>
    <cfRule type="cellIs" dxfId="10304" priority="13797" operator="greaterThan">
      <formula>0.505</formula>
    </cfRule>
    <cfRule type="cellIs" dxfId="10303" priority="13798" operator="between">
      <formula>0.48</formula>
      <formula>0.5</formula>
    </cfRule>
    <cfRule type="cellIs" dxfId="10302" priority="13799" stopIfTrue="1" operator="between">
      <formula>0</formula>
      <formula>0.255</formula>
    </cfRule>
  </conditionalFormatting>
  <conditionalFormatting sqref="AA117:AB118">
    <cfRule type="cellIs" dxfId="10301" priority="13790" operator="between">
      <formula>0.56251</formula>
      <formula>0.7125</formula>
    </cfRule>
    <cfRule type="cellIs" dxfId="10300" priority="13791" operator="between">
      <formula>0.3751</formula>
      <formula>0.5625</formula>
    </cfRule>
    <cfRule type="cellIs" dxfId="10299" priority="13792" operator="greaterThan">
      <formula>0.751</formula>
    </cfRule>
    <cfRule type="cellIs" dxfId="10298" priority="13793" operator="between">
      <formula>0.71251</formula>
      <formula>0.75</formula>
    </cfRule>
    <cfRule type="cellIs" dxfId="10297" priority="13794" stopIfTrue="1" operator="between">
      <formula>0</formula>
      <formula>0.375</formula>
    </cfRule>
  </conditionalFormatting>
  <conditionalFormatting sqref="U117:U118">
    <cfRule type="cellIs" dxfId="10296" priority="13780" operator="between">
      <formula>0.376</formula>
      <formula>0.475</formula>
    </cfRule>
    <cfRule type="cellIs" dxfId="10295" priority="13781" operator="between">
      <formula>0.2551</formula>
      <formula>0.3751</formula>
    </cfRule>
    <cfRule type="cellIs" dxfId="10294" priority="13782" operator="greaterThan">
      <formula>0.505</formula>
    </cfRule>
    <cfRule type="cellIs" dxfId="10293" priority="13783" operator="between">
      <formula>0.48</formula>
      <formula>0.5</formula>
    </cfRule>
    <cfRule type="cellIs" dxfId="10292" priority="13784" stopIfTrue="1" operator="between">
      <formula>0</formula>
      <formula>0.255</formula>
    </cfRule>
  </conditionalFormatting>
  <conditionalFormatting sqref="Z118">
    <cfRule type="cellIs" dxfId="10291" priority="13760" operator="between">
      <formula>0.76</formula>
      <formula>0.95</formula>
    </cfRule>
    <cfRule type="cellIs" dxfId="10290" priority="13761" operator="between">
      <formula>0.51</formula>
      <formula>0.75</formula>
    </cfRule>
    <cfRule type="cellIs" dxfId="10289" priority="13762" operator="greaterThan">
      <formula>1</formula>
    </cfRule>
    <cfRule type="cellIs" dxfId="10288" priority="13763" operator="between">
      <formula>0.95</formula>
      <formula>1</formula>
    </cfRule>
    <cfRule type="cellIs" dxfId="10287" priority="13764" stopIfTrue="1" operator="between">
      <formula>0</formula>
      <formula>0.5</formula>
    </cfRule>
  </conditionalFormatting>
  <conditionalFormatting sqref="AC117:AC118">
    <cfRule type="cellIs" dxfId="10286" priority="13755" operator="between">
      <formula>0.56251</formula>
      <formula>0.7125</formula>
    </cfRule>
    <cfRule type="cellIs" dxfId="10285" priority="13756" operator="between">
      <formula>0.3751</formula>
      <formula>0.5625</formula>
    </cfRule>
    <cfRule type="cellIs" dxfId="10284" priority="13757" operator="greaterThan">
      <formula>0.751</formula>
    </cfRule>
    <cfRule type="cellIs" dxfId="10283" priority="13758" operator="between">
      <formula>0.71251</formula>
      <formula>0.75</formula>
    </cfRule>
    <cfRule type="cellIs" dxfId="10282" priority="13759" stopIfTrue="1" operator="between">
      <formula>0</formula>
      <formula>0.375</formula>
    </cfRule>
  </conditionalFormatting>
  <conditionalFormatting sqref="AG117">
    <cfRule type="cellIs" dxfId="10281" priority="13740" operator="between">
      <formula>0.76</formula>
      <formula>0.95</formula>
    </cfRule>
    <cfRule type="cellIs" dxfId="10280" priority="13741" operator="between">
      <formula>0.51</formula>
      <formula>0.75</formula>
    </cfRule>
    <cfRule type="cellIs" dxfId="10279" priority="13742" operator="greaterThan">
      <formula>1</formula>
    </cfRule>
    <cfRule type="cellIs" dxfId="10278" priority="13743" operator="between">
      <formula>0.95</formula>
      <formula>1</formula>
    </cfRule>
    <cfRule type="cellIs" dxfId="10277" priority="13744" stopIfTrue="1" operator="between">
      <formula>0</formula>
      <formula>0.5</formula>
    </cfRule>
  </conditionalFormatting>
  <conditionalFormatting sqref="S117:S118">
    <cfRule type="cellIs" dxfId="10276" priority="13735" operator="between">
      <formula>0.76</formula>
      <formula>0.95</formula>
    </cfRule>
    <cfRule type="cellIs" dxfId="10275" priority="13736" operator="between">
      <formula>0.51</formula>
      <formula>0.75</formula>
    </cfRule>
    <cfRule type="cellIs" dxfId="10274" priority="13737" operator="greaterThan">
      <formula>1</formula>
    </cfRule>
    <cfRule type="cellIs" dxfId="10273" priority="13738" operator="between">
      <formula>0.95</formula>
      <formula>1</formula>
    </cfRule>
    <cfRule type="cellIs" dxfId="10272" priority="13739" stopIfTrue="1" operator="between">
      <formula>0</formula>
      <formula>0.5</formula>
    </cfRule>
  </conditionalFormatting>
  <conditionalFormatting sqref="V117:V118">
    <cfRule type="cellIs" dxfId="10271" priority="13730" operator="between">
      <formula>0.376</formula>
      <formula>0.475</formula>
    </cfRule>
    <cfRule type="cellIs" dxfId="10270" priority="13731" operator="between">
      <formula>0.2551</formula>
      <formula>0.3751</formula>
    </cfRule>
    <cfRule type="cellIs" dxfId="10269" priority="13732" operator="greaterThan">
      <formula>0.505</formula>
    </cfRule>
    <cfRule type="cellIs" dxfId="10268" priority="13733" operator="between">
      <formula>0.48</formula>
      <formula>0.5</formula>
    </cfRule>
    <cfRule type="cellIs" dxfId="10267" priority="13734" stopIfTrue="1" operator="between">
      <formula>0</formula>
      <formula>0.255</formula>
    </cfRule>
  </conditionalFormatting>
  <conditionalFormatting sqref="Z117">
    <cfRule type="cellIs" dxfId="10266" priority="13700" operator="between">
      <formula>0.76</formula>
      <formula>0.95</formula>
    </cfRule>
    <cfRule type="cellIs" dxfId="10265" priority="13701" operator="between">
      <formula>0.51</formula>
      <formula>0.75</formula>
    </cfRule>
    <cfRule type="cellIs" dxfId="10264" priority="13702" operator="greaterThan">
      <formula>1</formula>
    </cfRule>
    <cfRule type="cellIs" dxfId="10263" priority="13703" operator="between">
      <formula>0.95</formula>
      <formula>1</formula>
    </cfRule>
    <cfRule type="cellIs" dxfId="10262" priority="13704" stopIfTrue="1" operator="between">
      <formula>0</formula>
      <formula>0.5</formula>
    </cfRule>
  </conditionalFormatting>
  <conditionalFormatting sqref="AG118">
    <cfRule type="cellIs" dxfId="10261" priority="13660" operator="between">
      <formula>0.76</formula>
      <formula>0.95</formula>
    </cfRule>
    <cfRule type="cellIs" dxfId="10260" priority="13661" operator="between">
      <formula>0.51</formula>
      <formula>0.75</formula>
    </cfRule>
    <cfRule type="cellIs" dxfId="10259" priority="13662" operator="greaterThan">
      <formula>1</formula>
    </cfRule>
    <cfRule type="cellIs" dxfId="10258" priority="13663" operator="between">
      <formula>0.95</formula>
      <formula>1</formula>
    </cfRule>
    <cfRule type="cellIs" dxfId="10257" priority="13664" stopIfTrue="1" operator="between">
      <formula>0</formula>
      <formula>0.5</formula>
    </cfRule>
  </conditionalFormatting>
  <conditionalFormatting sqref="Z121">
    <cfRule type="cellIs" dxfId="10256" priority="13465" operator="between">
      <formula>0.76</formula>
      <formula>0.95</formula>
    </cfRule>
    <cfRule type="cellIs" dxfId="10255" priority="13466" operator="between">
      <formula>0.51</formula>
      <formula>0.75</formula>
    </cfRule>
    <cfRule type="cellIs" dxfId="10254" priority="13467" operator="greaterThan">
      <formula>1</formula>
    </cfRule>
    <cfRule type="cellIs" dxfId="10253" priority="13468" operator="between">
      <formula>0.95</formula>
      <formula>1</formula>
    </cfRule>
    <cfRule type="cellIs" dxfId="10252" priority="13469" stopIfTrue="1" operator="between">
      <formula>0</formula>
      <formula>0.5</formula>
    </cfRule>
  </conditionalFormatting>
  <conditionalFormatting sqref="AF121 R121 Y121 AH121:AI121">
    <cfRule type="cellIs" dxfId="10251" priority="13550" operator="between">
      <formula>0.76</formula>
      <formula>0.95</formula>
    </cfRule>
    <cfRule type="cellIs" dxfId="10250" priority="13551" operator="between">
      <formula>0.51</formula>
      <formula>0.75</formula>
    </cfRule>
    <cfRule type="cellIs" dxfId="10249" priority="13552" operator="greaterThan">
      <formula>1</formula>
    </cfRule>
    <cfRule type="cellIs" dxfId="10248" priority="13553" operator="between">
      <formula>0.95</formula>
      <formula>1</formula>
    </cfRule>
    <cfRule type="cellIs" dxfId="10247" priority="13554" stopIfTrue="1" operator="between">
      <formula>0</formula>
      <formula>0.5</formula>
    </cfRule>
  </conditionalFormatting>
  <conditionalFormatting sqref="T121">
    <cfRule type="cellIs" dxfId="10246" priority="13545" operator="between">
      <formula>0.3751</formula>
      <formula>0.475</formula>
    </cfRule>
    <cfRule type="cellIs" dxfId="10245" priority="13546" operator="between">
      <formula>0.2551</formula>
      <formula>0.375</formula>
    </cfRule>
    <cfRule type="cellIs" dxfId="10244" priority="13547" operator="greaterThan">
      <formula>0.505</formula>
    </cfRule>
    <cfRule type="cellIs" dxfId="10243" priority="13548" operator="between">
      <formula>0.48</formula>
      <formula>0.5</formula>
    </cfRule>
    <cfRule type="cellIs" dxfId="10242" priority="13549" stopIfTrue="1" operator="between">
      <formula>0</formula>
      <formula>0.255</formula>
    </cfRule>
  </conditionalFormatting>
  <conditionalFormatting sqref="AA121:AB121">
    <cfRule type="cellIs" dxfId="10241" priority="13540" operator="between">
      <formula>0.56251</formula>
      <formula>0.7125</formula>
    </cfRule>
    <cfRule type="cellIs" dxfId="10240" priority="13541" operator="between">
      <formula>0.3751</formula>
      <formula>0.5625</formula>
    </cfRule>
    <cfRule type="cellIs" dxfId="10239" priority="13542" operator="greaterThan">
      <formula>0.751</formula>
    </cfRule>
    <cfRule type="cellIs" dxfId="10238" priority="13543" operator="between">
      <formula>0.71251</formula>
      <formula>0.75</formula>
    </cfRule>
    <cfRule type="cellIs" dxfId="10237" priority="13544" stopIfTrue="1" operator="between">
      <formula>0</formula>
      <formula>0.375</formula>
    </cfRule>
  </conditionalFormatting>
  <conditionalFormatting sqref="U121">
    <cfRule type="cellIs" dxfId="10236" priority="13530" operator="between">
      <formula>0.376</formula>
      <formula>0.475</formula>
    </cfRule>
    <cfRule type="cellIs" dxfId="10235" priority="13531" operator="between">
      <formula>0.2551</formula>
      <formula>0.3751</formula>
    </cfRule>
    <cfRule type="cellIs" dxfId="10234" priority="13532" operator="greaterThan">
      <formula>0.505</formula>
    </cfRule>
    <cfRule type="cellIs" dxfId="10233" priority="13533" operator="between">
      <formula>0.48</formula>
      <formula>0.5</formula>
    </cfRule>
    <cfRule type="cellIs" dxfId="10232" priority="13534" stopIfTrue="1" operator="between">
      <formula>0</formula>
      <formula>0.255</formula>
    </cfRule>
  </conditionalFormatting>
  <conditionalFormatting sqref="S121">
    <cfRule type="cellIs" dxfId="10231" priority="13485" operator="between">
      <formula>0.76</formula>
      <formula>0.95</formula>
    </cfRule>
    <cfRule type="cellIs" dxfId="10230" priority="13486" operator="between">
      <formula>0.51</formula>
      <formula>0.75</formula>
    </cfRule>
    <cfRule type="cellIs" dxfId="10229" priority="13487" operator="greaterThan">
      <formula>1</formula>
    </cfRule>
    <cfRule type="cellIs" dxfId="10228" priority="13488" operator="between">
      <formula>0.95</formula>
      <formula>1</formula>
    </cfRule>
    <cfRule type="cellIs" dxfId="10227" priority="13489" stopIfTrue="1" operator="between">
      <formula>0</formula>
      <formula>0.5</formula>
    </cfRule>
  </conditionalFormatting>
  <conditionalFormatting sqref="V121">
    <cfRule type="cellIs" dxfId="10226" priority="13490" operator="between">
      <formula>0.376</formula>
      <formula>0.475</formula>
    </cfRule>
    <cfRule type="cellIs" dxfId="10225" priority="13491" operator="between">
      <formula>0.2551</formula>
      <formula>0.3751</formula>
    </cfRule>
    <cfRule type="cellIs" dxfId="10224" priority="13492" operator="greaterThan">
      <formula>0.505</formula>
    </cfRule>
    <cfRule type="cellIs" dxfId="10223" priority="13493" operator="between">
      <formula>0.48</formula>
      <formula>0.5</formula>
    </cfRule>
    <cfRule type="cellIs" dxfId="10222" priority="13494" stopIfTrue="1" operator="between">
      <formula>0</formula>
      <formula>0.255</formula>
    </cfRule>
  </conditionalFormatting>
  <conditionalFormatting sqref="AC121">
    <cfRule type="cellIs" dxfId="10221" priority="13480" operator="between">
      <formula>0.56251</formula>
      <formula>0.7125</formula>
    </cfRule>
    <cfRule type="cellIs" dxfId="10220" priority="13481" operator="between">
      <formula>0.3751</formula>
      <formula>0.5625</formula>
    </cfRule>
    <cfRule type="cellIs" dxfId="10219" priority="13482" operator="greaterThan">
      <formula>0.751</formula>
    </cfRule>
    <cfRule type="cellIs" dxfId="10218" priority="13483" operator="between">
      <formula>0.71251</formula>
      <formula>0.75</formula>
    </cfRule>
    <cfRule type="cellIs" dxfId="10217" priority="13484" stopIfTrue="1" operator="between">
      <formula>0</formula>
      <formula>0.375</formula>
    </cfRule>
  </conditionalFormatting>
  <conditionalFormatting sqref="AG121">
    <cfRule type="cellIs" dxfId="10216" priority="13460" operator="between">
      <formula>0.76</formula>
      <formula>0.95</formula>
    </cfRule>
    <cfRule type="cellIs" dxfId="10215" priority="13461" operator="between">
      <formula>0.51</formula>
      <formula>0.75</formula>
    </cfRule>
    <cfRule type="cellIs" dxfId="10214" priority="13462" operator="greaterThan">
      <formula>1</formula>
    </cfRule>
    <cfRule type="cellIs" dxfId="10213" priority="13463" operator="between">
      <formula>0.95</formula>
      <formula>1</formula>
    </cfRule>
    <cfRule type="cellIs" dxfId="10212" priority="13464" stopIfTrue="1" operator="between">
      <formula>0</formula>
      <formula>0.5</formula>
    </cfRule>
  </conditionalFormatting>
  <conditionalFormatting sqref="Z122">
    <cfRule type="cellIs" dxfId="10211" priority="13390" operator="between">
      <formula>0.76</formula>
      <formula>0.95</formula>
    </cfRule>
    <cfRule type="cellIs" dxfId="10210" priority="13391" operator="between">
      <formula>0.51</formula>
      <formula>0.75</formula>
    </cfRule>
    <cfRule type="cellIs" dxfId="10209" priority="13392" operator="greaterThan">
      <formula>1</formula>
    </cfRule>
    <cfRule type="cellIs" dxfId="10208" priority="13393" operator="between">
      <formula>0.95</formula>
      <formula>1</formula>
    </cfRule>
    <cfRule type="cellIs" dxfId="10207" priority="13394" stopIfTrue="1" operator="between">
      <formula>0</formula>
      <formula>0.5</formula>
    </cfRule>
  </conditionalFormatting>
  <conditionalFormatting sqref="AF122 R122 Y122 AH122:AI122">
    <cfRule type="cellIs" dxfId="10206" priority="13455" operator="between">
      <formula>0.76</formula>
      <formula>0.95</formula>
    </cfRule>
    <cfRule type="cellIs" dxfId="10205" priority="13456" operator="between">
      <formula>0.51</formula>
      <formula>0.75</formula>
    </cfRule>
    <cfRule type="cellIs" dxfId="10204" priority="13457" operator="greaterThan">
      <formula>1</formula>
    </cfRule>
    <cfRule type="cellIs" dxfId="10203" priority="13458" operator="between">
      <formula>0.95</formula>
      <formula>1</formula>
    </cfRule>
    <cfRule type="cellIs" dxfId="10202" priority="13459" stopIfTrue="1" operator="between">
      <formula>0</formula>
      <formula>0.5</formula>
    </cfRule>
  </conditionalFormatting>
  <conditionalFormatting sqref="T122">
    <cfRule type="cellIs" dxfId="10201" priority="13450" operator="between">
      <formula>0.3751</formula>
      <formula>0.475</formula>
    </cfRule>
    <cfRule type="cellIs" dxfId="10200" priority="13451" operator="between">
      <formula>0.2551</formula>
      <formula>0.375</formula>
    </cfRule>
    <cfRule type="cellIs" dxfId="10199" priority="13452" operator="greaterThan">
      <formula>0.505</formula>
    </cfRule>
    <cfRule type="cellIs" dxfId="10198" priority="13453" operator="between">
      <formula>0.48</formula>
      <formula>0.5</formula>
    </cfRule>
    <cfRule type="cellIs" dxfId="10197" priority="13454" stopIfTrue="1" operator="between">
      <formula>0</formula>
      <formula>0.255</formula>
    </cfRule>
  </conditionalFormatting>
  <conditionalFormatting sqref="AA122:AB122">
    <cfRule type="cellIs" dxfId="10196" priority="13445" operator="between">
      <formula>0.56251</formula>
      <formula>0.7125</formula>
    </cfRule>
    <cfRule type="cellIs" dxfId="10195" priority="13446" operator="between">
      <formula>0.3751</formula>
      <formula>0.5625</formula>
    </cfRule>
    <cfRule type="cellIs" dxfId="10194" priority="13447" operator="greaterThan">
      <formula>0.751</formula>
    </cfRule>
    <cfRule type="cellIs" dxfId="10193" priority="13448" operator="between">
      <formula>0.71251</formula>
      <formula>0.75</formula>
    </cfRule>
    <cfRule type="cellIs" dxfId="10192" priority="13449" stopIfTrue="1" operator="between">
      <formula>0</formula>
      <formula>0.375</formula>
    </cfRule>
  </conditionalFormatting>
  <conditionalFormatting sqref="U122">
    <cfRule type="cellIs" dxfId="10191" priority="13435" operator="between">
      <formula>0.376</formula>
      <formula>0.475</formula>
    </cfRule>
    <cfRule type="cellIs" dxfId="10190" priority="13436" operator="between">
      <formula>0.2551</formula>
      <formula>0.3751</formula>
    </cfRule>
    <cfRule type="cellIs" dxfId="10189" priority="13437" operator="greaterThan">
      <formula>0.505</formula>
    </cfRule>
    <cfRule type="cellIs" dxfId="10188" priority="13438" operator="between">
      <formula>0.48</formula>
      <formula>0.5</formula>
    </cfRule>
    <cfRule type="cellIs" dxfId="10187" priority="13439" stopIfTrue="1" operator="between">
      <formula>0</formula>
      <formula>0.255</formula>
    </cfRule>
  </conditionalFormatting>
  <conditionalFormatting sqref="S122">
    <cfRule type="cellIs" dxfId="10186" priority="13410" operator="between">
      <formula>0.76</formula>
      <formula>0.95</formula>
    </cfRule>
    <cfRule type="cellIs" dxfId="10185" priority="13411" operator="between">
      <formula>0.51</formula>
      <formula>0.75</formula>
    </cfRule>
    <cfRule type="cellIs" dxfId="10184" priority="13412" operator="greaterThan">
      <formula>1</formula>
    </cfRule>
    <cfRule type="cellIs" dxfId="10183" priority="13413" operator="between">
      <formula>0.95</formula>
      <formula>1</formula>
    </cfRule>
    <cfRule type="cellIs" dxfId="10182" priority="13414" stopIfTrue="1" operator="between">
      <formula>0</formula>
      <formula>0.5</formula>
    </cfRule>
  </conditionalFormatting>
  <conditionalFormatting sqref="V122">
    <cfRule type="cellIs" dxfId="10181" priority="13415" operator="between">
      <formula>0.376</formula>
      <formula>0.475</formula>
    </cfRule>
    <cfRule type="cellIs" dxfId="10180" priority="13416" operator="between">
      <formula>0.2551</formula>
      <formula>0.3751</formula>
    </cfRule>
    <cfRule type="cellIs" dxfId="10179" priority="13417" operator="greaterThan">
      <formula>0.505</formula>
    </cfRule>
    <cfRule type="cellIs" dxfId="10178" priority="13418" operator="between">
      <formula>0.48</formula>
      <formula>0.5</formula>
    </cfRule>
    <cfRule type="cellIs" dxfId="10177" priority="13419" stopIfTrue="1" operator="between">
      <formula>0</formula>
      <formula>0.255</formula>
    </cfRule>
  </conditionalFormatting>
  <conditionalFormatting sqref="AC122">
    <cfRule type="cellIs" dxfId="10176" priority="13405" operator="between">
      <formula>0.56251</formula>
      <formula>0.7125</formula>
    </cfRule>
    <cfRule type="cellIs" dxfId="10175" priority="13406" operator="between">
      <formula>0.3751</formula>
      <formula>0.5625</formula>
    </cfRule>
    <cfRule type="cellIs" dxfId="10174" priority="13407" operator="greaterThan">
      <formula>0.751</formula>
    </cfRule>
    <cfRule type="cellIs" dxfId="10173" priority="13408" operator="between">
      <formula>0.71251</formula>
      <formula>0.75</formula>
    </cfRule>
    <cfRule type="cellIs" dxfId="10172" priority="13409" stopIfTrue="1" operator="between">
      <formula>0</formula>
      <formula>0.375</formula>
    </cfRule>
  </conditionalFormatting>
  <conditionalFormatting sqref="AG122">
    <cfRule type="cellIs" dxfId="10171" priority="13385" operator="between">
      <formula>0.76</formula>
      <formula>0.95</formula>
    </cfRule>
    <cfRule type="cellIs" dxfId="10170" priority="13386" operator="between">
      <formula>0.51</formula>
      <formula>0.75</formula>
    </cfRule>
    <cfRule type="cellIs" dxfId="10169" priority="13387" operator="greaterThan">
      <formula>1</formula>
    </cfRule>
    <cfRule type="cellIs" dxfId="10168" priority="13388" operator="between">
      <formula>0.95</formula>
      <formula>1</formula>
    </cfRule>
    <cfRule type="cellIs" dxfId="10167" priority="13389" stopIfTrue="1" operator="between">
      <formula>0</formula>
      <formula>0.5</formula>
    </cfRule>
  </conditionalFormatting>
  <conditionalFormatting sqref="AI311 Z311">
    <cfRule type="cellIs" dxfId="10166" priority="13380" operator="between">
      <formula>0.76</formula>
      <formula>0.95</formula>
    </cfRule>
    <cfRule type="cellIs" dxfId="10165" priority="13381" operator="between">
      <formula>0.51</formula>
      <formula>0.75</formula>
    </cfRule>
    <cfRule type="cellIs" dxfId="10164" priority="13382" operator="greaterThan">
      <formula>1</formula>
    </cfRule>
    <cfRule type="cellIs" dxfId="10163" priority="13383" operator="between">
      <formula>0.95</formula>
      <formula>1</formula>
    </cfRule>
    <cfRule type="cellIs" dxfId="10162" priority="13384" stopIfTrue="1" operator="between">
      <formula>0</formula>
      <formula>0.5</formula>
    </cfRule>
  </conditionalFormatting>
  <conditionalFormatting sqref="R311">
    <cfRule type="cellIs" dxfId="10161" priority="13370" operator="between">
      <formula>0.76</formula>
      <formula>0.95</formula>
    </cfRule>
    <cfRule type="cellIs" dxfId="10160" priority="13371" operator="between">
      <formula>0.51</formula>
      <formula>0.75</formula>
    </cfRule>
    <cfRule type="cellIs" dxfId="10159" priority="13372" operator="greaterThan">
      <formula>1</formula>
    </cfRule>
    <cfRule type="cellIs" dxfId="10158" priority="13373" operator="between">
      <formula>0.95</formula>
      <formula>1</formula>
    </cfRule>
    <cfRule type="cellIs" dxfId="10157" priority="13374" stopIfTrue="1" operator="between">
      <formula>0</formula>
      <formula>0.5</formula>
    </cfRule>
  </conditionalFormatting>
  <conditionalFormatting sqref="Y311">
    <cfRule type="cellIs" dxfId="10156" priority="13365" operator="between">
      <formula>0.76</formula>
      <formula>0.95</formula>
    </cfRule>
    <cfRule type="cellIs" dxfId="10155" priority="13366" operator="between">
      <formula>0.51</formula>
      <formula>0.75</formula>
    </cfRule>
    <cfRule type="cellIs" dxfId="10154" priority="13367" operator="greaterThan">
      <formula>1</formula>
    </cfRule>
    <cfRule type="cellIs" dxfId="10153" priority="13368" operator="between">
      <formula>0.95</formula>
      <formula>1</formula>
    </cfRule>
    <cfRule type="cellIs" dxfId="10152" priority="13369" stopIfTrue="1" operator="between">
      <formula>0</formula>
      <formula>0.5</formula>
    </cfRule>
  </conditionalFormatting>
  <conditionalFormatting sqref="AF311">
    <cfRule type="cellIs" dxfId="10151" priority="13360" operator="between">
      <formula>0.76</formula>
      <formula>0.95</formula>
    </cfRule>
    <cfRule type="cellIs" dxfId="10150" priority="13361" operator="between">
      <formula>0.51</formula>
      <formula>0.75</formula>
    </cfRule>
    <cfRule type="cellIs" dxfId="10149" priority="13362" operator="greaterThan">
      <formula>1</formula>
    </cfRule>
    <cfRule type="cellIs" dxfId="10148" priority="13363" operator="between">
      <formula>0.95</formula>
      <formula>1</formula>
    </cfRule>
    <cfRule type="cellIs" dxfId="10147" priority="13364" stopIfTrue="1" operator="between">
      <formula>0</formula>
      <formula>0.5</formula>
    </cfRule>
  </conditionalFormatting>
  <conditionalFormatting sqref="AH311">
    <cfRule type="cellIs" dxfId="10146" priority="13355" operator="between">
      <formula>0.76</formula>
      <formula>0.95</formula>
    </cfRule>
    <cfRule type="cellIs" dxfId="10145" priority="13356" operator="between">
      <formula>0.51</formula>
      <formula>0.75</formula>
    </cfRule>
    <cfRule type="cellIs" dxfId="10144" priority="13357" operator="greaterThan">
      <formula>1</formula>
    </cfRule>
    <cfRule type="cellIs" dxfId="10143" priority="13358" operator="between">
      <formula>0.95</formula>
      <formula>1</formula>
    </cfRule>
    <cfRule type="cellIs" dxfId="10142" priority="13359" stopIfTrue="1" operator="between">
      <formula>0</formula>
      <formula>0.5</formula>
    </cfRule>
  </conditionalFormatting>
  <conditionalFormatting sqref="T311">
    <cfRule type="cellIs" dxfId="10141" priority="13340" operator="between">
      <formula>0.3751</formula>
      <formula>0.475</formula>
    </cfRule>
    <cfRule type="cellIs" dxfId="10140" priority="13341" operator="between">
      <formula>0.2551</formula>
      <formula>0.375</formula>
    </cfRule>
    <cfRule type="cellIs" dxfId="10139" priority="13342" operator="greaterThan">
      <formula>0.505</formula>
    </cfRule>
    <cfRule type="cellIs" dxfId="10138" priority="13343" operator="between">
      <formula>0.48</formula>
      <formula>0.5</formula>
    </cfRule>
    <cfRule type="cellIs" dxfId="10137" priority="13344" stopIfTrue="1" operator="between">
      <formula>0</formula>
      <formula>0.255</formula>
    </cfRule>
  </conditionalFormatting>
  <conditionalFormatting sqref="U311:V311">
    <cfRule type="cellIs" dxfId="10136" priority="13335" operator="between">
      <formula>0.376</formula>
      <formula>0.475</formula>
    </cfRule>
    <cfRule type="cellIs" dxfId="10135" priority="13336" operator="between">
      <formula>0.2551</formula>
      <formula>0.3751</formula>
    </cfRule>
    <cfRule type="cellIs" dxfId="10134" priority="13337" operator="greaterThan">
      <formula>0.505</formula>
    </cfRule>
    <cfRule type="cellIs" dxfId="10133" priority="13338" operator="between">
      <formula>0.48</formula>
      <formula>0.5</formula>
    </cfRule>
    <cfRule type="cellIs" dxfId="10132" priority="13339" stopIfTrue="1" operator="between">
      <formula>0</formula>
      <formula>0.255</formula>
    </cfRule>
  </conditionalFormatting>
  <conditionalFormatting sqref="AA311">
    <cfRule type="cellIs" dxfId="10131" priority="13330" operator="between">
      <formula>0.56251</formula>
      <formula>0.7125</formula>
    </cfRule>
    <cfRule type="cellIs" dxfId="10130" priority="13331" operator="between">
      <formula>0.3751</formula>
      <formula>0.5625</formula>
    </cfRule>
    <cfRule type="cellIs" dxfId="10129" priority="13332" operator="greaterThan">
      <formula>0.751</formula>
    </cfRule>
    <cfRule type="cellIs" dxfId="10128" priority="13333" operator="between">
      <formula>0.71251</formula>
      <formula>0.75</formula>
    </cfRule>
    <cfRule type="cellIs" dxfId="10127" priority="13334" stopIfTrue="1" operator="between">
      <formula>0</formula>
      <formula>0.375</formula>
    </cfRule>
  </conditionalFormatting>
  <conditionalFormatting sqref="AC311">
    <cfRule type="cellIs" dxfId="10126" priority="13325" operator="between">
      <formula>0.56251</formula>
      <formula>0.7125</formula>
    </cfRule>
    <cfRule type="cellIs" dxfId="10125" priority="13326" operator="between">
      <formula>0.3751</formula>
      <formula>0.5625</formula>
    </cfRule>
    <cfRule type="cellIs" dxfId="10124" priority="13327" operator="greaterThan">
      <formula>0.751</formula>
    </cfRule>
    <cfRule type="cellIs" dxfId="10123" priority="13328" operator="between">
      <formula>0.71251</formula>
      <formula>0.75</formula>
    </cfRule>
    <cfRule type="cellIs" dxfId="10122" priority="13329" stopIfTrue="1" operator="between">
      <formula>0</formula>
      <formula>0.375</formula>
    </cfRule>
  </conditionalFormatting>
  <conditionalFormatting sqref="AB311">
    <cfRule type="cellIs" dxfId="10121" priority="13320" operator="between">
      <formula>0.56251</formula>
      <formula>0.7125</formula>
    </cfRule>
    <cfRule type="cellIs" dxfId="10120" priority="13321" operator="between">
      <formula>0.3751</formula>
      <formula>0.5625</formula>
    </cfRule>
    <cfRule type="cellIs" dxfId="10119" priority="13322" operator="greaterThan">
      <formula>0.751</formula>
    </cfRule>
    <cfRule type="cellIs" dxfId="10118" priority="13323" operator="between">
      <formula>0.71251</formula>
      <formula>0.75</formula>
    </cfRule>
    <cfRule type="cellIs" dxfId="10117" priority="13324" stopIfTrue="1" operator="between">
      <formula>0</formula>
      <formula>0.375</formula>
    </cfRule>
  </conditionalFormatting>
  <conditionalFormatting sqref="R312">
    <cfRule type="cellIs" dxfId="10116" priority="13288" operator="between">
      <formula>0.76</formula>
      <formula>0.95</formula>
    </cfRule>
    <cfRule type="cellIs" dxfId="10115" priority="13289" operator="between">
      <formula>0.51</formula>
      <formula>0.75</formula>
    </cfRule>
    <cfRule type="cellIs" dxfId="10114" priority="13290" operator="greaterThan">
      <formula>1</formula>
    </cfRule>
    <cfRule type="cellIs" dxfId="10113" priority="13291" operator="between">
      <formula>0.95</formula>
      <formula>1</formula>
    </cfRule>
    <cfRule type="cellIs" dxfId="10112" priority="13292" stopIfTrue="1" operator="between">
      <formula>0</formula>
      <formula>0.5</formula>
    </cfRule>
  </conditionalFormatting>
  <conditionalFormatting sqref="Y312">
    <cfRule type="cellIs" dxfId="10111" priority="13283" operator="between">
      <formula>0.76</formula>
      <formula>0.95</formula>
    </cfRule>
    <cfRule type="cellIs" dxfId="10110" priority="13284" operator="between">
      <formula>0.51</formula>
      <formula>0.75</formula>
    </cfRule>
    <cfRule type="cellIs" dxfId="10109" priority="13285" operator="greaterThan">
      <formula>1</formula>
    </cfRule>
    <cfRule type="cellIs" dxfId="10108" priority="13286" operator="between">
      <formula>0.95</formula>
      <formula>1</formula>
    </cfRule>
    <cfRule type="cellIs" dxfId="10107" priority="13287" stopIfTrue="1" operator="between">
      <formula>0</formula>
      <formula>0.5</formula>
    </cfRule>
  </conditionalFormatting>
  <conditionalFormatting sqref="AF312">
    <cfRule type="cellIs" dxfId="10106" priority="13278" operator="between">
      <formula>0.76</formula>
      <formula>0.95</formula>
    </cfRule>
    <cfRule type="cellIs" dxfId="10105" priority="13279" operator="between">
      <formula>0.51</formula>
      <formula>0.75</formula>
    </cfRule>
    <cfRule type="cellIs" dxfId="10104" priority="13280" operator="greaterThan">
      <formula>1</formula>
    </cfRule>
    <cfRule type="cellIs" dxfId="10103" priority="13281" operator="between">
      <formula>0.95</formula>
      <formula>1</formula>
    </cfRule>
    <cfRule type="cellIs" dxfId="10102" priority="13282" stopIfTrue="1" operator="between">
      <formula>0</formula>
      <formula>0.5</formula>
    </cfRule>
  </conditionalFormatting>
  <conditionalFormatting sqref="S312">
    <cfRule type="cellIs" dxfId="10101" priority="13216" operator="between">
      <formula>0.76</formula>
      <formula>0.95</formula>
    </cfRule>
    <cfRule type="cellIs" dxfId="10100" priority="13217" operator="between">
      <formula>0.51</formula>
      <formula>0.75</formula>
    </cfRule>
    <cfRule type="cellIs" dxfId="10099" priority="13218" operator="greaterThan">
      <formula>1</formula>
    </cfRule>
    <cfRule type="cellIs" dxfId="10098" priority="13219" operator="between">
      <formula>0.95</formula>
      <formula>1</formula>
    </cfRule>
    <cfRule type="cellIs" dxfId="10097" priority="13220" stopIfTrue="1" operator="between">
      <formula>0</formula>
      <formula>0.5</formula>
    </cfRule>
  </conditionalFormatting>
  <conditionalFormatting sqref="Z312">
    <cfRule type="cellIs" dxfId="10096" priority="13211" operator="between">
      <formula>0.76</formula>
      <formula>0.95</formula>
    </cfRule>
    <cfRule type="cellIs" dxfId="10095" priority="13212" operator="between">
      <formula>0.51</formula>
      <formula>0.75</formula>
    </cfRule>
    <cfRule type="cellIs" dxfId="10094" priority="13213" operator="greaterThan">
      <formula>1</formula>
    </cfRule>
    <cfRule type="cellIs" dxfId="10093" priority="13214" operator="between">
      <formula>0.95</formula>
      <formula>1</formula>
    </cfRule>
    <cfRule type="cellIs" dxfId="10092" priority="13215" stopIfTrue="1" operator="between">
      <formula>0</formula>
      <formula>0.5</formula>
    </cfRule>
  </conditionalFormatting>
  <conditionalFormatting sqref="AG312">
    <cfRule type="cellIs" dxfId="10091" priority="13206" operator="between">
      <formula>0.76</formula>
      <formula>0.95</formula>
    </cfRule>
    <cfRule type="cellIs" dxfId="10090" priority="13207" operator="between">
      <formula>0.51</formula>
      <formula>0.75</formula>
    </cfRule>
    <cfRule type="cellIs" dxfId="10089" priority="13208" operator="greaterThan">
      <formula>1</formula>
    </cfRule>
    <cfRule type="cellIs" dxfId="10088" priority="13209" operator="between">
      <formula>0.95</formula>
      <formula>1</formula>
    </cfRule>
    <cfRule type="cellIs" dxfId="10087" priority="13210" stopIfTrue="1" operator="between">
      <formula>0</formula>
      <formula>0.5</formula>
    </cfRule>
  </conditionalFormatting>
  <conditionalFormatting sqref="R262 Y262:Z262 AF262:AI262">
    <cfRule type="cellIs" dxfId="10086" priority="13201" operator="between">
      <formula>0.76</formula>
      <formula>0.95</formula>
    </cfRule>
    <cfRule type="cellIs" dxfId="10085" priority="13202" operator="between">
      <formula>0.51</formula>
      <formula>0.75</formula>
    </cfRule>
    <cfRule type="cellIs" dxfId="10084" priority="13203" operator="greaterThan">
      <formula>1</formula>
    </cfRule>
    <cfRule type="cellIs" dxfId="10083" priority="13204" operator="between">
      <formula>0.95</formula>
      <formula>1</formula>
    </cfRule>
    <cfRule type="cellIs" dxfId="10082" priority="13205" stopIfTrue="1" operator="between">
      <formula>0</formula>
      <formula>0.5</formula>
    </cfRule>
  </conditionalFormatting>
  <conditionalFormatting sqref="T262">
    <cfRule type="cellIs" dxfId="10081" priority="13196" operator="between">
      <formula>0.3751</formula>
      <formula>0.475</formula>
    </cfRule>
    <cfRule type="cellIs" dxfId="10080" priority="13197" operator="between">
      <formula>0.2551</formula>
      <formula>0.375</formula>
    </cfRule>
    <cfRule type="cellIs" dxfId="10079" priority="13198" operator="greaterThan">
      <formula>0.505</formula>
    </cfRule>
    <cfRule type="cellIs" dxfId="10078" priority="13199" operator="between">
      <formula>0.48</formula>
      <formula>0.5</formula>
    </cfRule>
    <cfRule type="cellIs" dxfId="10077" priority="13200" stopIfTrue="1" operator="between">
      <formula>0</formula>
      <formula>0.255</formula>
    </cfRule>
  </conditionalFormatting>
  <conditionalFormatting sqref="AA262:AC262">
    <cfRule type="cellIs" dxfId="10076" priority="13191" operator="between">
      <formula>0.56251</formula>
      <formula>0.7125</formula>
    </cfRule>
    <cfRule type="cellIs" dxfId="10075" priority="13192" operator="between">
      <formula>0.3751</formula>
      <formula>0.5625</formula>
    </cfRule>
    <cfRule type="cellIs" dxfId="10074" priority="13193" operator="greaterThan">
      <formula>0.751</formula>
    </cfRule>
    <cfRule type="cellIs" dxfId="10073" priority="13194" operator="between">
      <formula>0.71251</formula>
      <formula>0.75</formula>
    </cfRule>
    <cfRule type="cellIs" dxfId="10072" priority="13195" stopIfTrue="1" operator="between">
      <formula>0</formula>
      <formula>0.375</formula>
    </cfRule>
  </conditionalFormatting>
  <conditionalFormatting sqref="U262">
    <cfRule type="cellIs" dxfId="10071" priority="13181" operator="between">
      <formula>0.376</formula>
      <formula>0.475</formula>
    </cfRule>
    <cfRule type="cellIs" dxfId="10070" priority="13182" operator="between">
      <formula>0.2551</formula>
      <formula>0.3751</formula>
    </cfRule>
    <cfRule type="cellIs" dxfId="10069" priority="13183" operator="greaterThan">
      <formula>0.505</formula>
    </cfRule>
    <cfRule type="cellIs" dxfId="10068" priority="13184" operator="between">
      <formula>0.48</formula>
      <formula>0.5</formula>
    </cfRule>
    <cfRule type="cellIs" dxfId="10067" priority="13185" stopIfTrue="1" operator="between">
      <formula>0</formula>
      <formula>0.255</formula>
    </cfRule>
  </conditionalFormatting>
  <conditionalFormatting sqref="R263:S266 Y266:Z266 AF264:AI267 AF263 AH263:AI263 R267 Y263:Y265 Y267">
    <cfRule type="cellIs" dxfId="10066" priority="13173" operator="between">
      <formula>0.76</formula>
      <formula>0.95</formula>
    </cfRule>
    <cfRule type="cellIs" dxfId="10065" priority="13174" operator="between">
      <formula>0.51</formula>
      <formula>0.75</formula>
    </cfRule>
    <cfRule type="cellIs" dxfId="10064" priority="13175" operator="greaterThan">
      <formula>1</formula>
    </cfRule>
    <cfRule type="cellIs" dxfId="10063" priority="13176" operator="between">
      <formula>0.95</formula>
      <formula>1</formula>
    </cfRule>
    <cfRule type="cellIs" dxfId="10062" priority="13177" stopIfTrue="1" operator="between">
      <formula>0</formula>
      <formula>0.5</formula>
    </cfRule>
  </conditionalFormatting>
  <conditionalFormatting sqref="T263:T267">
    <cfRule type="cellIs" dxfId="10061" priority="13168" operator="between">
      <formula>0.3751</formula>
      <formula>0.475</formula>
    </cfRule>
    <cfRule type="cellIs" dxfId="10060" priority="13169" operator="between">
      <formula>0.2551</formula>
      <formula>0.375</formula>
    </cfRule>
    <cfRule type="cellIs" dxfId="10059" priority="13170" operator="greaterThan">
      <formula>0.505</formula>
    </cfRule>
    <cfRule type="cellIs" dxfId="10058" priority="13171" operator="between">
      <formula>0.48</formula>
      <formula>0.5</formula>
    </cfRule>
    <cfRule type="cellIs" dxfId="10057" priority="13172" stopIfTrue="1" operator="between">
      <formula>0</formula>
      <formula>0.255</formula>
    </cfRule>
  </conditionalFormatting>
  <conditionalFormatting sqref="AA263:AC266">
    <cfRule type="cellIs" dxfId="10056" priority="13163" operator="between">
      <formula>0.56251</formula>
      <formula>0.7125</formula>
    </cfRule>
    <cfRule type="cellIs" dxfId="10055" priority="13164" operator="between">
      <formula>0.3751</formula>
      <formula>0.5625</formula>
    </cfRule>
    <cfRule type="cellIs" dxfId="10054" priority="13165" operator="greaterThan">
      <formula>0.751</formula>
    </cfRule>
    <cfRule type="cellIs" dxfId="10053" priority="13166" operator="between">
      <formula>0.71251</formula>
      <formula>0.75</formula>
    </cfRule>
    <cfRule type="cellIs" dxfId="10052" priority="13167" stopIfTrue="1" operator="between">
      <formula>0</formula>
      <formula>0.375</formula>
    </cfRule>
  </conditionalFormatting>
  <conditionalFormatting sqref="U266:V266 U263:U265 U267">
    <cfRule type="cellIs" dxfId="10051" priority="13153" operator="between">
      <formula>0.376</formula>
      <formula>0.475</formula>
    </cfRule>
    <cfRule type="cellIs" dxfId="10050" priority="13154" operator="between">
      <formula>0.2551</formula>
      <formula>0.3751</formula>
    </cfRule>
    <cfRule type="cellIs" dxfId="10049" priority="13155" operator="greaterThan">
      <formula>0.505</formula>
    </cfRule>
    <cfRule type="cellIs" dxfId="10048" priority="13156" operator="between">
      <formula>0.48</formula>
      <formula>0.5</formula>
    </cfRule>
    <cfRule type="cellIs" dxfId="10047" priority="13157" stopIfTrue="1" operator="between">
      <formula>0</formula>
      <formula>0.255</formula>
    </cfRule>
  </conditionalFormatting>
  <conditionalFormatting sqref="V261">
    <cfRule type="cellIs" dxfId="10046" priority="13125" operator="between">
      <formula>0.376</formula>
      <formula>0.475</formula>
    </cfRule>
    <cfRule type="cellIs" dxfId="10045" priority="13126" operator="between">
      <formula>0.2551</formula>
      <formula>0.3751</formula>
    </cfRule>
    <cfRule type="cellIs" dxfId="10044" priority="13127" operator="greaterThan">
      <formula>0.505</formula>
    </cfRule>
    <cfRule type="cellIs" dxfId="10043" priority="13128" operator="between">
      <formula>0.48</formula>
      <formula>0.5</formula>
    </cfRule>
    <cfRule type="cellIs" dxfId="10042" priority="13129" stopIfTrue="1" operator="between">
      <formula>0</formula>
      <formula>0.255</formula>
    </cfRule>
  </conditionalFormatting>
  <conditionalFormatting sqref="AC261">
    <cfRule type="cellIs" dxfId="10041" priority="13120" operator="between">
      <formula>0.56251</formula>
      <formula>0.7125</formula>
    </cfRule>
    <cfRule type="cellIs" dxfId="10040" priority="13121" operator="between">
      <formula>0.3751</formula>
      <formula>0.5625</formula>
    </cfRule>
    <cfRule type="cellIs" dxfId="10039" priority="13122" operator="greaterThan">
      <formula>0.751</formula>
    </cfRule>
    <cfRule type="cellIs" dxfId="10038" priority="13123" operator="between">
      <formula>0.71251</formula>
      <formula>0.75</formula>
    </cfRule>
    <cfRule type="cellIs" dxfId="10037" priority="13124" stopIfTrue="1" operator="between">
      <formula>0</formula>
      <formula>0.375</formula>
    </cfRule>
  </conditionalFormatting>
  <conditionalFormatting sqref="V263:V265">
    <cfRule type="cellIs" dxfId="10036" priority="13115" operator="between">
      <formula>0.376</formula>
      <formula>0.475</formula>
    </cfRule>
    <cfRule type="cellIs" dxfId="10035" priority="13116" operator="between">
      <formula>0.2551</formula>
      <formula>0.3751</formula>
    </cfRule>
    <cfRule type="cellIs" dxfId="10034" priority="13117" operator="greaterThan">
      <formula>0.505</formula>
    </cfRule>
    <cfRule type="cellIs" dxfId="10033" priority="13118" operator="between">
      <formula>0.48</formula>
      <formula>0.5</formula>
    </cfRule>
    <cfRule type="cellIs" dxfId="10032" priority="13119" stopIfTrue="1" operator="between">
      <formula>0</formula>
      <formula>0.255</formula>
    </cfRule>
  </conditionalFormatting>
  <conditionalFormatting sqref="AG263">
    <cfRule type="cellIs" dxfId="10031" priority="13110" operator="between">
      <formula>0.76</formula>
      <formula>0.95</formula>
    </cfRule>
    <cfRule type="cellIs" dxfId="10030" priority="13111" operator="between">
      <formula>0.51</formula>
      <formula>0.75</formula>
    </cfRule>
    <cfRule type="cellIs" dxfId="10029" priority="13112" operator="greaterThan">
      <formula>1</formula>
    </cfRule>
    <cfRule type="cellIs" dxfId="10028" priority="13113" operator="between">
      <formula>0.95</formula>
      <formula>1</formula>
    </cfRule>
    <cfRule type="cellIs" dxfId="10027" priority="13114" stopIfTrue="1" operator="between">
      <formula>0</formula>
      <formula>0.5</formula>
    </cfRule>
  </conditionalFormatting>
  <conditionalFormatting sqref="S267">
    <cfRule type="cellIs" dxfId="10026" priority="13105" operator="between">
      <formula>0.76</formula>
      <formula>0.95</formula>
    </cfRule>
    <cfRule type="cellIs" dxfId="10025" priority="13106" operator="between">
      <formula>0.51</formula>
      <formula>0.75</formula>
    </cfRule>
    <cfRule type="cellIs" dxfId="10024" priority="13107" operator="greaterThan">
      <formula>1</formula>
    </cfRule>
    <cfRule type="cellIs" dxfId="10023" priority="13108" operator="between">
      <formula>0.95</formula>
      <formula>1</formula>
    </cfRule>
    <cfRule type="cellIs" dxfId="10022" priority="13109" stopIfTrue="1" operator="between">
      <formula>0</formula>
      <formula>0.5</formula>
    </cfRule>
  </conditionalFormatting>
  <conditionalFormatting sqref="V267">
    <cfRule type="cellIs" dxfId="10021" priority="13100" operator="between">
      <formula>0.376</formula>
      <formula>0.475</formula>
    </cfRule>
    <cfRule type="cellIs" dxfId="10020" priority="13101" operator="between">
      <formula>0.2551</formula>
      <formula>0.3751</formula>
    </cfRule>
    <cfRule type="cellIs" dxfId="10019" priority="13102" operator="greaterThan">
      <formula>0.505</formula>
    </cfRule>
    <cfRule type="cellIs" dxfId="10018" priority="13103" operator="between">
      <formula>0.48</formula>
      <formula>0.5</formula>
    </cfRule>
    <cfRule type="cellIs" dxfId="10017" priority="13104" stopIfTrue="1" operator="between">
      <formula>0</formula>
      <formula>0.255</formula>
    </cfRule>
  </conditionalFormatting>
  <conditionalFormatting sqref="R183:S183 Y183:Z183 AF183:AI183">
    <cfRule type="cellIs" dxfId="10016" priority="13095" operator="between">
      <formula>0.76</formula>
      <formula>0.95</formula>
    </cfRule>
    <cfRule type="cellIs" dxfId="10015" priority="13096" operator="between">
      <formula>0.51</formula>
      <formula>0.75</formula>
    </cfRule>
    <cfRule type="cellIs" dxfId="10014" priority="13097" operator="greaterThan">
      <formula>1</formula>
    </cfRule>
    <cfRule type="cellIs" dxfId="10013" priority="13098" operator="between">
      <formula>0.95</formula>
      <formula>1</formula>
    </cfRule>
    <cfRule type="cellIs" dxfId="10012" priority="13099" stopIfTrue="1" operator="between">
      <formula>0</formula>
      <formula>0.5</formula>
    </cfRule>
  </conditionalFormatting>
  <conditionalFormatting sqref="T183">
    <cfRule type="cellIs" dxfId="10011" priority="13090" operator="between">
      <formula>0.3751</formula>
      <formula>0.475</formula>
    </cfRule>
    <cfRule type="cellIs" dxfId="10010" priority="13091" operator="between">
      <formula>0.2551</formula>
      <formula>0.375</formula>
    </cfRule>
    <cfRule type="cellIs" dxfId="10009" priority="13092" operator="greaterThan">
      <formula>0.505</formula>
    </cfRule>
    <cfRule type="cellIs" dxfId="10008" priority="13093" operator="between">
      <formula>0.48</formula>
      <formula>0.5</formula>
    </cfRule>
    <cfRule type="cellIs" dxfId="10007" priority="13094" stopIfTrue="1" operator="between">
      <formula>0</formula>
      <formula>0.255</formula>
    </cfRule>
  </conditionalFormatting>
  <conditionalFormatting sqref="AA183:AC183">
    <cfRule type="cellIs" dxfId="10006" priority="13085" operator="between">
      <formula>0.56251</formula>
      <formula>0.7125</formula>
    </cfRule>
    <cfRule type="cellIs" dxfId="10005" priority="13086" operator="between">
      <formula>0.3751</formula>
      <formula>0.5625</formula>
    </cfRule>
    <cfRule type="cellIs" dxfId="10004" priority="13087" operator="greaterThan">
      <formula>0.751</formula>
    </cfRule>
    <cfRule type="cellIs" dxfId="10003" priority="13088" operator="between">
      <formula>0.71251</formula>
      <formula>0.75</formula>
    </cfRule>
    <cfRule type="cellIs" dxfId="10002" priority="13089" stopIfTrue="1" operator="between">
      <formula>0</formula>
      <formula>0.375</formula>
    </cfRule>
  </conditionalFormatting>
  <conditionalFormatting sqref="U183:V183">
    <cfRule type="cellIs" dxfId="10001" priority="13075" operator="between">
      <formula>0.376</formula>
      <formula>0.475</formula>
    </cfRule>
    <cfRule type="cellIs" dxfId="10000" priority="13076" operator="between">
      <formula>0.2551</formula>
      <formula>0.3751</formula>
    </cfRule>
    <cfRule type="cellIs" dxfId="9999" priority="13077" operator="greaterThan">
      <formula>0.505</formula>
    </cfRule>
    <cfRule type="cellIs" dxfId="9998" priority="13078" operator="between">
      <formula>0.48</formula>
      <formula>0.5</formula>
    </cfRule>
    <cfRule type="cellIs" dxfId="9997" priority="13079" stopIfTrue="1" operator="between">
      <formula>0</formula>
      <formula>0.255</formula>
    </cfRule>
  </conditionalFormatting>
  <conditionalFormatting sqref="Y268:Z268 AF268:AI268 R268">
    <cfRule type="cellIs" dxfId="9996" priority="13052" operator="between">
      <formula>0.76</formula>
      <formula>0.95</formula>
    </cfRule>
    <cfRule type="cellIs" dxfId="9995" priority="13053" operator="between">
      <formula>0.51</formula>
      <formula>0.75</formula>
    </cfRule>
    <cfRule type="cellIs" dxfId="9994" priority="13054" operator="greaterThan">
      <formula>1</formula>
    </cfRule>
    <cfRule type="cellIs" dxfId="9993" priority="13055" operator="between">
      <formula>0.95</formula>
      <formula>1</formula>
    </cfRule>
    <cfRule type="cellIs" dxfId="9992" priority="13056" stopIfTrue="1" operator="between">
      <formula>0</formula>
      <formula>0.5</formula>
    </cfRule>
  </conditionalFormatting>
  <conditionalFormatting sqref="T268">
    <cfRule type="cellIs" dxfId="9991" priority="13047" operator="between">
      <formula>0.3751</formula>
      <formula>0.475</formula>
    </cfRule>
    <cfRule type="cellIs" dxfId="9990" priority="13048" operator="between">
      <formula>0.2551</formula>
      <formula>0.375</formula>
    </cfRule>
    <cfRule type="cellIs" dxfId="9989" priority="13049" operator="greaterThan">
      <formula>0.505</formula>
    </cfRule>
    <cfRule type="cellIs" dxfId="9988" priority="13050" operator="between">
      <formula>0.48</formula>
      <formula>0.5</formula>
    </cfRule>
    <cfRule type="cellIs" dxfId="9987" priority="13051" stopIfTrue="1" operator="between">
      <formula>0</formula>
      <formula>0.255</formula>
    </cfRule>
  </conditionalFormatting>
  <conditionalFormatting sqref="AA268:AC268">
    <cfRule type="cellIs" dxfId="9986" priority="13042" operator="between">
      <formula>0.56251</formula>
      <formula>0.7125</formula>
    </cfRule>
    <cfRule type="cellIs" dxfId="9985" priority="13043" operator="between">
      <formula>0.3751</formula>
      <formula>0.5625</formula>
    </cfRule>
    <cfRule type="cellIs" dxfId="9984" priority="13044" operator="greaterThan">
      <formula>0.751</formula>
    </cfRule>
    <cfRule type="cellIs" dxfId="9983" priority="13045" operator="between">
      <formula>0.71251</formula>
      <formula>0.75</formula>
    </cfRule>
    <cfRule type="cellIs" dxfId="9982" priority="13046" stopIfTrue="1" operator="between">
      <formula>0</formula>
      <formula>0.375</formula>
    </cfRule>
  </conditionalFormatting>
  <conditionalFormatting sqref="U268">
    <cfRule type="cellIs" dxfId="9981" priority="13032" operator="between">
      <formula>0.376</formula>
      <formula>0.475</formula>
    </cfRule>
    <cfRule type="cellIs" dxfId="9980" priority="13033" operator="between">
      <formula>0.2551</formula>
      <formula>0.3751</formula>
    </cfRule>
    <cfRule type="cellIs" dxfId="9979" priority="13034" operator="greaterThan">
      <formula>0.505</formula>
    </cfRule>
    <cfRule type="cellIs" dxfId="9978" priority="13035" operator="between">
      <formula>0.48</formula>
      <formula>0.5</formula>
    </cfRule>
    <cfRule type="cellIs" dxfId="9977" priority="13036" stopIfTrue="1" operator="between">
      <formula>0</formula>
      <formula>0.255</formula>
    </cfRule>
  </conditionalFormatting>
  <conditionalFormatting sqref="S268">
    <cfRule type="cellIs" dxfId="9976" priority="13024" operator="between">
      <formula>0.76</formula>
      <formula>0.95</formula>
    </cfRule>
    <cfRule type="cellIs" dxfId="9975" priority="13025" operator="between">
      <formula>0.51</formula>
      <formula>0.75</formula>
    </cfRule>
    <cfRule type="cellIs" dxfId="9974" priority="13026" operator="greaterThan">
      <formula>1</formula>
    </cfRule>
    <cfRule type="cellIs" dxfId="9973" priority="13027" operator="between">
      <formula>0.95</formula>
      <formula>1</formula>
    </cfRule>
    <cfRule type="cellIs" dxfId="9972" priority="13028" stopIfTrue="1" operator="between">
      <formula>0</formula>
      <formula>0.5</formula>
    </cfRule>
  </conditionalFormatting>
  <conditionalFormatting sqref="V268">
    <cfRule type="cellIs" dxfId="9971" priority="13019" operator="between">
      <formula>0.376</formula>
      <formula>0.475</formula>
    </cfRule>
    <cfRule type="cellIs" dxfId="9970" priority="13020" operator="between">
      <formula>0.2551</formula>
      <formula>0.3751</formula>
    </cfRule>
    <cfRule type="cellIs" dxfId="9969" priority="13021" operator="greaterThan">
      <formula>0.505</formula>
    </cfRule>
    <cfRule type="cellIs" dxfId="9968" priority="13022" operator="between">
      <formula>0.48</formula>
      <formula>0.5</formula>
    </cfRule>
    <cfRule type="cellIs" dxfId="9967" priority="13023" stopIfTrue="1" operator="between">
      <formula>0</formula>
      <formula>0.255</formula>
    </cfRule>
  </conditionalFormatting>
  <conditionalFormatting sqref="Y272:Z275 R270:R275 Y270:Y271 AF272:AI272 AF270:AF271 AH270:AI271 AF273:AF275 AH273:AI275">
    <cfRule type="cellIs" dxfId="9966" priority="13014" operator="between">
      <formula>0.76</formula>
      <formula>0.95</formula>
    </cfRule>
    <cfRule type="cellIs" dxfId="9965" priority="13015" operator="between">
      <formula>0.51</formula>
      <formula>0.75</formula>
    </cfRule>
    <cfRule type="cellIs" dxfId="9964" priority="13016" operator="greaterThan">
      <formula>1</formula>
    </cfRule>
    <cfRule type="cellIs" dxfId="9963" priority="13017" operator="between">
      <formula>0.95</formula>
      <formula>1</formula>
    </cfRule>
    <cfRule type="cellIs" dxfId="9962" priority="13018" stopIfTrue="1" operator="between">
      <formula>0</formula>
      <formula>0.5</formula>
    </cfRule>
  </conditionalFormatting>
  <conditionalFormatting sqref="T270:T275">
    <cfRule type="cellIs" dxfId="9961" priority="13009" operator="between">
      <formula>0.3751</formula>
      <formula>0.475</formula>
    </cfRule>
    <cfRule type="cellIs" dxfId="9960" priority="13010" operator="between">
      <formula>0.2551</formula>
      <formula>0.375</formula>
    </cfRule>
    <cfRule type="cellIs" dxfId="9959" priority="13011" operator="greaterThan">
      <formula>0.505</formula>
    </cfRule>
    <cfRule type="cellIs" dxfId="9958" priority="13012" operator="between">
      <formula>0.48</formula>
      <formula>0.5</formula>
    </cfRule>
    <cfRule type="cellIs" dxfId="9957" priority="13013" stopIfTrue="1" operator="between">
      <formula>0</formula>
      <formula>0.255</formula>
    </cfRule>
  </conditionalFormatting>
  <conditionalFormatting sqref="AA270:AC275">
    <cfRule type="cellIs" dxfId="9956" priority="13004" operator="between">
      <formula>0.56251</formula>
      <formula>0.7125</formula>
    </cfRule>
    <cfRule type="cellIs" dxfId="9955" priority="13005" operator="between">
      <formula>0.3751</formula>
      <formula>0.5625</formula>
    </cfRule>
    <cfRule type="cellIs" dxfId="9954" priority="13006" operator="greaterThan">
      <formula>0.751</formula>
    </cfRule>
    <cfRule type="cellIs" dxfId="9953" priority="13007" operator="between">
      <formula>0.71251</formula>
      <formula>0.75</formula>
    </cfRule>
    <cfRule type="cellIs" dxfId="9952" priority="13008" stopIfTrue="1" operator="between">
      <formula>0</formula>
      <formula>0.375</formula>
    </cfRule>
  </conditionalFormatting>
  <conditionalFormatting sqref="U270:U275">
    <cfRule type="cellIs" dxfId="9951" priority="12994" operator="between">
      <formula>0.376</formula>
      <formula>0.475</formula>
    </cfRule>
    <cfRule type="cellIs" dxfId="9950" priority="12995" operator="between">
      <formula>0.2551</formula>
      <formula>0.3751</formula>
    </cfRule>
    <cfRule type="cellIs" dxfId="9949" priority="12996" operator="greaterThan">
      <formula>0.505</formula>
    </cfRule>
    <cfRule type="cellIs" dxfId="9948" priority="12997" operator="between">
      <formula>0.48</formula>
      <formula>0.5</formula>
    </cfRule>
    <cfRule type="cellIs" dxfId="9947" priority="12998" stopIfTrue="1" operator="between">
      <formula>0</formula>
      <formula>0.255</formula>
    </cfRule>
  </conditionalFormatting>
  <conditionalFormatting sqref="S270:S275">
    <cfRule type="cellIs" dxfId="9946" priority="12986" operator="between">
      <formula>0.76</formula>
      <formula>0.95</formula>
    </cfRule>
    <cfRule type="cellIs" dxfId="9945" priority="12987" operator="between">
      <formula>0.51</formula>
      <formula>0.75</formula>
    </cfRule>
    <cfRule type="cellIs" dxfId="9944" priority="12988" operator="greaterThan">
      <formula>1</formula>
    </cfRule>
    <cfRule type="cellIs" dxfId="9943" priority="12989" operator="between">
      <formula>0.95</formula>
      <formula>1</formula>
    </cfRule>
    <cfRule type="cellIs" dxfId="9942" priority="12990" stopIfTrue="1" operator="between">
      <formula>0</formula>
      <formula>0.5</formula>
    </cfRule>
  </conditionalFormatting>
  <conditionalFormatting sqref="V270:V275">
    <cfRule type="cellIs" dxfId="9941" priority="12981" operator="between">
      <formula>0.376</formula>
      <formula>0.475</formula>
    </cfRule>
    <cfRule type="cellIs" dxfId="9940" priority="12982" operator="between">
      <formula>0.2551</formula>
      <formula>0.3751</formula>
    </cfRule>
    <cfRule type="cellIs" dxfId="9939" priority="12983" operator="greaterThan">
      <formula>0.505</formula>
    </cfRule>
    <cfRule type="cellIs" dxfId="9938" priority="12984" operator="between">
      <formula>0.48</formula>
      <formula>0.5</formula>
    </cfRule>
    <cfRule type="cellIs" dxfId="9937" priority="12985" stopIfTrue="1" operator="between">
      <formula>0</formula>
      <formula>0.255</formula>
    </cfRule>
  </conditionalFormatting>
  <conditionalFormatting sqref="Y276 AF276:AI276 R276">
    <cfRule type="cellIs" dxfId="9936" priority="12976" operator="between">
      <formula>0.76</formula>
      <formula>0.95</formula>
    </cfRule>
    <cfRule type="cellIs" dxfId="9935" priority="12977" operator="between">
      <formula>0.51</formula>
      <formula>0.75</formula>
    </cfRule>
    <cfRule type="cellIs" dxfId="9934" priority="12978" operator="greaterThan">
      <formula>1</formula>
    </cfRule>
    <cfRule type="cellIs" dxfId="9933" priority="12979" operator="between">
      <formula>0.95</formula>
      <formula>1</formula>
    </cfRule>
    <cfRule type="cellIs" dxfId="9932" priority="12980" stopIfTrue="1" operator="between">
      <formula>0</formula>
      <formula>0.5</formula>
    </cfRule>
  </conditionalFormatting>
  <conditionalFormatting sqref="T276">
    <cfRule type="cellIs" dxfId="9931" priority="12971" operator="between">
      <formula>0.3751</formula>
      <formula>0.475</formula>
    </cfRule>
    <cfRule type="cellIs" dxfId="9930" priority="12972" operator="between">
      <formula>0.2551</formula>
      <formula>0.375</formula>
    </cfRule>
    <cfRule type="cellIs" dxfId="9929" priority="12973" operator="greaterThan">
      <formula>0.505</formula>
    </cfRule>
    <cfRule type="cellIs" dxfId="9928" priority="12974" operator="between">
      <formula>0.48</formula>
      <formula>0.5</formula>
    </cfRule>
    <cfRule type="cellIs" dxfId="9927" priority="12975" stopIfTrue="1" operator="between">
      <formula>0</formula>
      <formula>0.255</formula>
    </cfRule>
  </conditionalFormatting>
  <conditionalFormatting sqref="AA276:AC276">
    <cfRule type="cellIs" dxfId="9926" priority="12966" operator="between">
      <formula>0.56251</formula>
      <formula>0.7125</formula>
    </cfRule>
    <cfRule type="cellIs" dxfId="9925" priority="12967" operator="between">
      <formula>0.3751</formula>
      <formula>0.5625</formula>
    </cfRule>
    <cfRule type="cellIs" dxfId="9924" priority="12968" operator="greaterThan">
      <formula>0.751</formula>
    </cfRule>
    <cfRule type="cellIs" dxfId="9923" priority="12969" operator="between">
      <formula>0.71251</formula>
      <formula>0.75</formula>
    </cfRule>
    <cfRule type="cellIs" dxfId="9922" priority="12970" stopIfTrue="1" operator="between">
      <formula>0</formula>
      <formula>0.375</formula>
    </cfRule>
  </conditionalFormatting>
  <conditionalFormatting sqref="U276">
    <cfRule type="cellIs" dxfId="9921" priority="12956" operator="between">
      <formula>0.376</formula>
      <formula>0.475</formula>
    </cfRule>
    <cfRule type="cellIs" dxfId="9920" priority="12957" operator="between">
      <formula>0.2551</formula>
      <formula>0.3751</formula>
    </cfRule>
    <cfRule type="cellIs" dxfId="9919" priority="12958" operator="greaterThan">
      <formula>0.505</formula>
    </cfRule>
    <cfRule type="cellIs" dxfId="9918" priority="12959" operator="between">
      <formula>0.48</formula>
      <formula>0.5</formula>
    </cfRule>
    <cfRule type="cellIs" dxfId="9917" priority="12960" stopIfTrue="1" operator="between">
      <formula>0</formula>
      <formula>0.255</formula>
    </cfRule>
  </conditionalFormatting>
  <conditionalFormatting sqref="S276">
    <cfRule type="cellIs" dxfId="9916" priority="12948" operator="between">
      <formula>0.76</formula>
      <formula>0.95</formula>
    </cfRule>
    <cfRule type="cellIs" dxfId="9915" priority="12949" operator="between">
      <formula>0.51</formula>
      <formula>0.75</formula>
    </cfRule>
    <cfRule type="cellIs" dxfId="9914" priority="12950" operator="greaterThan">
      <formula>1</formula>
    </cfRule>
    <cfRule type="cellIs" dxfId="9913" priority="12951" operator="between">
      <formula>0.95</formula>
      <formula>1</formula>
    </cfRule>
    <cfRule type="cellIs" dxfId="9912" priority="12952" stopIfTrue="1" operator="between">
      <formula>0</formula>
      <formula>0.5</formula>
    </cfRule>
  </conditionalFormatting>
  <conditionalFormatting sqref="V276">
    <cfRule type="cellIs" dxfId="9911" priority="12943" operator="between">
      <formula>0.376</formula>
      <formula>0.475</formula>
    </cfRule>
    <cfRule type="cellIs" dxfId="9910" priority="12944" operator="between">
      <formula>0.2551</formula>
      <formula>0.3751</formula>
    </cfRule>
    <cfRule type="cellIs" dxfId="9909" priority="12945" operator="greaterThan">
      <formula>0.505</formula>
    </cfRule>
    <cfRule type="cellIs" dxfId="9908" priority="12946" operator="between">
      <formula>0.48</formula>
      <formula>0.5</formula>
    </cfRule>
    <cfRule type="cellIs" dxfId="9907" priority="12947" stopIfTrue="1" operator="between">
      <formula>0</formula>
      <formula>0.255</formula>
    </cfRule>
  </conditionalFormatting>
  <conditionalFormatting sqref="AI313">
    <cfRule type="cellIs" dxfId="9906" priority="12938" operator="between">
      <formula>0.76</formula>
      <formula>0.95</formula>
    </cfRule>
    <cfRule type="cellIs" dxfId="9905" priority="12939" operator="between">
      <formula>0.51</formula>
      <formula>0.75</formula>
    </cfRule>
    <cfRule type="cellIs" dxfId="9904" priority="12940" operator="greaterThan">
      <formula>1</formula>
    </cfRule>
    <cfRule type="cellIs" dxfId="9903" priority="12941" operator="between">
      <formula>0.95</formula>
      <formula>1</formula>
    </cfRule>
    <cfRule type="cellIs" dxfId="9902" priority="12942" stopIfTrue="1" operator="between">
      <formula>0</formula>
      <formula>0.5</formula>
    </cfRule>
  </conditionalFormatting>
  <conditionalFormatting sqref="R313">
    <cfRule type="cellIs" dxfId="9901" priority="12928" operator="between">
      <formula>0.76</formula>
      <formula>0.95</formula>
    </cfRule>
    <cfRule type="cellIs" dxfId="9900" priority="12929" operator="between">
      <formula>0.51</formula>
      <formula>0.75</formula>
    </cfRule>
    <cfRule type="cellIs" dxfId="9899" priority="12930" operator="greaterThan">
      <formula>1</formula>
    </cfRule>
    <cfRule type="cellIs" dxfId="9898" priority="12931" operator="between">
      <formula>0.95</formula>
      <formula>1</formula>
    </cfRule>
    <cfRule type="cellIs" dxfId="9897" priority="12932" stopIfTrue="1" operator="between">
      <formula>0</formula>
      <formula>0.5</formula>
    </cfRule>
  </conditionalFormatting>
  <conditionalFormatting sqref="Y313">
    <cfRule type="cellIs" dxfId="9896" priority="12923" operator="between">
      <formula>0.76</formula>
      <formula>0.95</formula>
    </cfRule>
    <cfRule type="cellIs" dxfId="9895" priority="12924" operator="between">
      <formula>0.51</formula>
      <formula>0.75</formula>
    </cfRule>
    <cfRule type="cellIs" dxfId="9894" priority="12925" operator="greaterThan">
      <formula>1</formula>
    </cfRule>
    <cfRule type="cellIs" dxfId="9893" priority="12926" operator="between">
      <formula>0.95</formula>
      <formula>1</formula>
    </cfRule>
    <cfRule type="cellIs" dxfId="9892" priority="12927" stopIfTrue="1" operator="between">
      <formula>0</formula>
      <formula>0.5</formula>
    </cfRule>
  </conditionalFormatting>
  <conditionalFormatting sqref="AF313">
    <cfRule type="cellIs" dxfId="9891" priority="12918" operator="between">
      <formula>0.76</formula>
      <formula>0.95</formula>
    </cfRule>
    <cfRule type="cellIs" dxfId="9890" priority="12919" operator="between">
      <formula>0.51</formula>
      <formula>0.75</formula>
    </cfRule>
    <cfRule type="cellIs" dxfId="9889" priority="12920" operator="greaterThan">
      <formula>1</formula>
    </cfRule>
    <cfRule type="cellIs" dxfId="9888" priority="12921" operator="between">
      <formula>0.95</formula>
      <formula>1</formula>
    </cfRule>
    <cfRule type="cellIs" dxfId="9887" priority="12922" stopIfTrue="1" operator="between">
      <formula>0</formula>
      <formula>0.5</formula>
    </cfRule>
  </conditionalFormatting>
  <conditionalFormatting sqref="AH313">
    <cfRule type="cellIs" dxfId="9886" priority="12913" operator="between">
      <formula>0.76</formula>
      <formula>0.95</formula>
    </cfRule>
    <cfRule type="cellIs" dxfId="9885" priority="12914" operator="between">
      <formula>0.51</formula>
      <formula>0.75</formula>
    </cfRule>
    <cfRule type="cellIs" dxfId="9884" priority="12915" operator="greaterThan">
      <formula>1</formula>
    </cfRule>
    <cfRule type="cellIs" dxfId="9883" priority="12916" operator="between">
      <formula>0.95</formula>
      <formula>1</formula>
    </cfRule>
    <cfRule type="cellIs" dxfId="9882" priority="12917" stopIfTrue="1" operator="between">
      <formula>0</formula>
      <formula>0.5</formula>
    </cfRule>
  </conditionalFormatting>
  <conditionalFormatting sqref="T313">
    <cfRule type="cellIs" dxfId="9881" priority="12898" operator="between">
      <formula>0.3751</formula>
      <formula>0.475</formula>
    </cfRule>
    <cfRule type="cellIs" dxfId="9880" priority="12899" operator="between">
      <formula>0.2551</formula>
      <formula>0.375</formula>
    </cfRule>
    <cfRule type="cellIs" dxfId="9879" priority="12900" operator="greaterThan">
      <formula>0.505</formula>
    </cfRule>
    <cfRule type="cellIs" dxfId="9878" priority="12901" operator="between">
      <formula>0.48</formula>
      <formula>0.5</formula>
    </cfRule>
    <cfRule type="cellIs" dxfId="9877" priority="12902" stopIfTrue="1" operator="between">
      <formula>0</formula>
      <formula>0.255</formula>
    </cfRule>
  </conditionalFormatting>
  <conditionalFormatting sqref="U313:V313">
    <cfRule type="cellIs" dxfId="9876" priority="12893" operator="between">
      <formula>0.376</formula>
      <formula>0.475</formula>
    </cfRule>
    <cfRule type="cellIs" dxfId="9875" priority="12894" operator="between">
      <formula>0.2551</formula>
      <formula>0.3751</formula>
    </cfRule>
    <cfRule type="cellIs" dxfId="9874" priority="12895" operator="greaterThan">
      <formula>0.505</formula>
    </cfRule>
    <cfRule type="cellIs" dxfId="9873" priority="12896" operator="between">
      <formula>0.48</formula>
      <formula>0.5</formula>
    </cfRule>
    <cfRule type="cellIs" dxfId="9872" priority="12897" stopIfTrue="1" operator="between">
      <formula>0</formula>
      <formula>0.255</formula>
    </cfRule>
  </conditionalFormatting>
  <conditionalFormatting sqref="AA313">
    <cfRule type="cellIs" dxfId="9871" priority="12888" operator="between">
      <formula>0.56251</formula>
      <formula>0.7125</formula>
    </cfRule>
    <cfRule type="cellIs" dxfId="9870" priority="12889" operator="between">
      <formula>0.3751</formula>
      <formula>0.5625</formula>
    </cfRule>
    <cfRule type="cellIs" dxfId="9869" priority="12890" operator="greaterThan">
      <formula>0.751</formula>
    </cfRule>
    <cfRule type="cellIs" dxfId="9868" priority="12891" operator="between">
      <formula>0.71251</formula>
      <formula>0.75</formula>
    </cfRule>
    <cfRule type="cellIs" dxfId="9867" priority="12892" stopIfTrue="1" operator="between">
      <formula>0</formula>
      <formula>0.375</formula>
    </cfRule>
  </conditionalFormatting>
  <conditionalFormatting sqref="AC313">
    <cfRule type="cellIs" dxfId="9866" priority="12883" operator="between">
      <formula>0.56251</formula>
      <formula>0.7125</formula>
    </cfRule>
    <cfRule type="cellIs" dxfId="9865" priority="12884" operator="between">
      <formula>0.3751</formula>
      <formula>0.5625</formula>
    </cfRule>
    <cfRule type="cellIs" dxfId="9864" priority="12885" operator="greaterThan">
      <formula>0.751</formula>
    </cfRule>
    <cfRule type="cellIs" dxfId="9863" priority="12886" operator="between">
      <formula>0.71251</formula>
      <formula>0.75</formula>
    </cfRule>
    <cfRule type="cellIs" dxfId="9862" priority="12887" stopIfTrue="1" operator="between">
      <formula>0</formula>
      <formula>0.375</formula>
    </cfRule>
  </conditionalFormatting>
  <conditionalFormatting sqref="AB313">
    <cfRule type="cellIs" dxfId="9861" priority="12878" operator="between">
      <formula>0.56251</formula>
      <formula>0.7125</formula>
    </cfRule>
    <cfRule type="cellIs" dxfId="9860" priority="12879" operator="between">
      <formula>0.3751</formula>
      <formula>0.5625</formula>
    </cfRule>
    <cfRule type="cellIs" dxfId="9859" priority="12880" operator="greaterThan">
      <formula>0.751</formula>
    </cfRule>
    <cfRule type="cellIs" dxfId="9858" priority="12881" operator="between">
      <formula>0.71251</formula>
      <formula>0.75</formula>
    </cfRule>
    <cfRule type="cellIs" dxfId="9857" priority="12882" stopIfTrue="1" operator="between">
      <formula>0</formula>
      <formula>0.375</formula>
    </cfRule>
  </conditionalFormatting>
  <conditionalFormatting sqref="S313">
    <cfRule type="cellIs" dxfId="9856" priority="12856" operator="between">
      <formula>0.76</formula>
      <formula>0.95</formula>
    </cfRule>
    <cfRule type="cellIs" dxfId="9855" priority="12857" operator="between">
      <formula>0.51</formula>
      <formula>0.75</formula>
    </cfRule>
    <cfRule type="cellIs" dxfId="9854" priority="12858" operator="greaterThan">
      <formula>1</formula>
    </cfRule>
    <cfRule type="cellIs" dxfId="9853" priority="12859" operator="between">
      <formula>0.95</formula>
      <formula>1</formula>
    </cfRule>
    <cfRule type="cellIs" dxfId="9852" priority="12860" stopIfTrue="1" operator="between">
      <formula>0</formula>
      <formula>0.5</formula>
    </cfRule>
  </conditionalFormatting>
  <conditionalFormatting sqref="Z313">
    <cfRule type="cellIs" dxfId="9851" priority="12851" operator="between">
      <formula>0.76</formula>
      <formula>0.95</formula>
    </cfRule>
    <cfRule type="cellIs" dxfId="9850" priority="12852" operator="between">
      <formula>0.51</formula>
      <formula>0.75</formula>
    </cfRule>
    <cfRule type="cellIs" dxfId="9849" priority="12853" operator="greaterThan">
      <formula>1</formula>
    </cfRule>
    <cfRule type="cellIs" dxfId="9848" priority="12854" operator="between">
      <formula>0.95</formula>
      <formula>1</formula>
    </cfRule>
    <cfRule type="cellIs" dxfId="9847" priority="12855" stopIfTrue="1" operator="between">
      <formula>0</formula>
      <formula>0.5</formula>
    </cfRule>
  </conditionalFormatting>
  <conditionalFormatting sqref="AG313">
    <cfRule type="cellIs" dxfId="9846" priority="12846" operator="between">
      <formula>0.76</formula>
      <formula>0.95</formula>
    </cfRule>
    <cfRule type="cellIs" dxfId="9845" priority="12847" operator="between">
      <formula>0.51</formula>
      <formula>0.75</formula>
    </cfRule>
    <cfRule type="cellIs" dxfId="9844" priority="12848" operator="greaterThan">
      <formula>1</formula>
    </cfRule>
    <cfRule type="cellIs" dxfId="9843" priority="12849" operator="between">
      <formula>0.95</formula>
      <formula>1</formula>
    </cfRule>
    <cfRule type="cellIs" dxfId="9842" priority="12850" stopIfTrue="1" operator="between">
      <formula>0</formula>
      <formula>0.5</formula>
    </cfRule>
  </conditionalFormatting>
  <conditionalFormatting sqref="AI314:AI316">
    <cfRule type="cellIs" dxfId="9841" priority="12841" operator="between">
      <formula>0.76</formula>
      <formula>0.95</formula>
    </cfRule>
    <cfRule type="cellIs" dxfId="9840" priority="12842" operator="between">
      <formula>0.51</formula>
      <formula>0.75</formula>
    </cfRule>
    <cfRule type="cellIs" dxfId="9839" priority="12843" operator="greaterThan">
      <formula>1</formula>
    </cfRule>
    <cfRule type="cellIs" dxfId="9838" priority="12844" operator="between">
      <formula>0.95</formula>
      <formula>1</formula>
    </cfRule>
    <cfRule type="cellIs" dxfId="9837" priority="12845" stopIfTrue="1" operator="between">
      <formula>0</formula>
      <formula>0.5</formula>
    </cfRule>
  </conditionalFormatting>
  <conditionalFormatting sqref="R314:R316">
    <cfRule type="cellIs" dxfId="9836" priority="12831" operator="between">
      <formula>0.76</formula>
      <formula>0.95</formula>
    </cfRule>
    <cfRule type="cellIs" dxfId="9835" priority="12832" operator="between">
      <formula>0.51</formula>
      <formula>0.75</formula>
    </cfRule>
    <cfRule type="cellIs" dxfId="9834" priority="12833" operator="greaterThan">
      <formula>1</formula>
    </cfRule>
    <cfRule type="cellIs" dxfId="9833" priority="12834" operator="between">
      <formula>0.95</formula>
      <formula>1</formula>
    </cfRule>
    <cfRule type="cellIs" dxfId="9832" priority="12835" stopIfTrue="1" operator="between">
      <formula>0</formula>
      <formula>0.5</formula>
    </cfRule>
  </conditionalFormatting>
  <conditionalFormatting sqref="Y314:Y316">
    <cfRule type="cellIs" dxfId="9831" priority="12826" operator="between">
      <formula>0.76</formula>
      <formula>0.95</formula>
    </cfRule>
    <cfRule type="cellIs" dxfId="9830" priority="12827" operator="between">
      <formula>0.51</formula>
      <formula>0.75</formula>
    </cfRule>
    <cfRule type="cellIs" dxfId="9829" priority="12828" operator="greaterThan">
      <formula>1</formula>
    </cfRule>
    <cfRule type="cellIs" dxfId="9828" priority="12829" operator="between">
      <formula>0.95</formula>
      <formula>1</formula>
    </cfRule>
    <cfRule type="cellIs" dxfId="9827" priority="12830" stopIfTrue="1" operator="between">
      <formula>0</formula>
      <formula>0.5</formula>
    </cfRule>
  </conditionalFormatting>
  <conditionalFormatting sqref="AF314:AF316">
    <cfRule type="cellIs" dxfId="9826" priority="12821" operator="between">
      <formula>0.76</formula>
      <formula>0.95</formula>
    </cfRule>
    <cfRule type="cellIs" dxfId="9825" priority="12822" operator="between">
      <formula>0.51</formula>
      <formula>0.75</formula>
    </cfRule>
    <cfRule type="cellIs" dxfId="9824" priority="12823" operator="greaterThan">
      <formula>1</formula>
    </cfRule>
    <cfRule type="cellIs" dxfId="9823" priority="12824" operator="between">
      <formula>0.95</formula>
      <formula>1</formula>
    </cfRule>
    <cfRule type="cellIs" dxfId="9822" priority="12825" stopIfTrue="1" operator="between">
      <formula>0</formula>
      <formula>0.5</formula>
    </cfRule>
  </conditionalFormatting>
  <conditionalFormatting sqref="AH314:AH316">
    <cfRule type="cellIs" dxfId="9821" priority="12816" operator="between">
      <formula>0.76</formula>
      <formula>0.95</formula>
    </cfRule>
    <cfRule type="cellIs" dxfId="9820" priority="12817" operator="between">
      <formula>0.51</formula>
      <formula>0.75</formula>
    </cfRule>
    <cfRule type="cellIs" dxfId="9819" priority="12818" operator="greaterThan">
      <formula>1</formula>
    </cfRule>
    <cfRule type="cellIs" dxfId="9818" priority="12819" operator="between">
      <formula>0.95</formula>
      <formula>1</formula>
    </cfRule>
    <cfRule type="cellIs" dxfId="9817" priority="12820" stopIfTrue="1" operator="between">
      <formula>0</formula>
      <formula>0.5</formula>
    </cfRule>
  </conditionalFormatting>
  <conditionalFormatting sqref="T314:T316">
    <cfRule type="cellIs" dxfId="9816" priority="12801" operator="between">
      <formula>0.3751</formula>
      <formula>0.475</formula>
    </cfRule>
    <cfRule type="cellIs" dxfId="9815" priority="12802" operator="between">
      <formula>0.2551</formula>
      <formula>0.375</formula>
    </cfRule>
    <cfRule type="cellIs" dxfId="9814" priority="12803" operator="greaterThan">
      <formula>0.505</formula>
    </cfRule>
    <cfRule type="cellIs" dxfId="9813" priority="12804" operator="between">
      <formula>0.48</formula>
      <formula>0.5</formula>
    </cfRule>
    <cfRule type="cellIs" dxfId="9812" priority="12805" stopIfTrue="1" operator="between">
      <formula>0</formula>
      <formula>0.255</formula>
    </cfRule>
  </conditionalFormatting>
  <conditionalFormatting sqref="U314:V316">
    <cfRule type="cellIs" dxfId="9811" priority="12796" operator="between">
      <formula>0.376</formula>
      <formula>0.475</formula>
    </cfRule>
    <cfRule type="cellIs" dxfId="9810" priority="12797" operator="between">
      <formula>0.2551</formula>
      <formula>0.3751</formula>
    </cfRule>
    <cfRule type="cellIs" dxfId="9809" priority="12798" operator="greaterThan">
      <formula>0.505</formula>
    </cfRule>
    <cfRule type="cellIs" dxfId="9808" priority="12799" operator="between">
      <formula>0.48</formula>
      <formula>0.5</formula>
    </cfRule>
    <cfRule type="cellIs" dxfId="9807" priority="12800" stopIfTrue="1" operator="between">
      <formula>0</formula>
      <formula>0.255</formula>
    </cfRule>
  </conditionalFormatting>
  <conditionalFormatting sqref="AA314:AA316">
    <cfRule type="cellIs" dxfId="9806" priority="12791" operator="between">
      <formula>0.56251</formula>
      <formula>0.7125</formula>
    </cfRule>
    <cfRule type="cellIs" dxfId="9805" priority="12792" operator="between">
      <formula>0.3751</formula>
      <formula>0.5625</formula>
    </cfRule>
    <cfRule type="cellIs" dxfId="9804" priority="12793" operator="greaterThan">
      <formula>0.751</formula>
    </cfRule>
    <cfRule type="cellIs" dxfId="9803" priority="12794" operator="between">
      <formula>0.71251</formula>
      <formula>0.75</formula>
    </cfRule>
    <cfRule type="cellIs" dxfId="9802" priority="12795" stopIfTrue="1" operator="between">
      <formula>0</formula>
      <formula>0.375</formula>
    </cfRule>
  </conditionalFormatting>
  <conditionalFormatting sqref="AC314:AC316">
    <cfRule type="cellIs" dxfId="9801" priority="12786" operator="between">
      <formula>0.56251</formula>
      <formula>0.7125</formula>
    </cfRule>
    <cfRule type="cellIs" dxfId="9800" priority="12787" operator="between">
      <formula>0.3751</formula>
      <formula>0.5625</formula>
    </cfRule>
    <cfRule type="cellIs" dxfId="9799" priority="12788" operator="greaterThan">
      <formula>0.751</formula>
    </cfRule>
    <cfRule type="cellIs" dxfId="9798" priority="12789" operator="between">
      <formula>0.71251</formula>
      <formula>0.75</formula>
    </cfRule>
    <cfRule type="cellIs" dxfId="9797" priority="12790" stopIfTrue="1" operator="between">
      <formula>0</formula>
      <formula>0.375</formula>
    </cfRule>
  </conditionalFormatting>
  <conditionalFormatting sqref="AB314:AB316">
    <cfRule type="cellIs" dxfId="9796" priority="12781" operator="between">
      <formula>0.56251</formula>
      <formula>0.7125</formula>
    </cfRule>
    <cfRule type="cellIs" dxfId="9795" priority="12782" operator="between">
      <formula>0.3751</formula>
      <formula>0.5625</formula>
    </cfRule>
    <cfRule type="cellIs" dxfId="9794" priority="12783" operator="greaterThan">
      <formula>0.751</formula>
    </cfRule>
    <cfRule type="cellIs" dxfId="9793" priority="12784" operator="between">
      <formula>0.71251</formula>
      <formula>0.75</formula>
    </cfRule>
    <cfRule type="cellIs" dxfId="9792" priority="12785" stopIfTrue="1" operator="between">
      <formula>0</formula>
      <formula>0.375</formula>
    </cfRule>
  </conditionalFormatting>
  <conditionalFormatting sqref="S315 S326 S322:S324">
    <cfRule type="cellIs" dxfId="9791" priority="12759" operator="between">
      <formula>0.76</formula>
      <formula>0.95</formula>
    </cfRule>
    <cfRule type="cellIs" dxfId="9790" priority="12760" operator="between">
      <formula>0.51</formula>
      <formula>0.75</formula>
    </cfRule>
    <cfRule type="cellIs" dxfId="9789" priority="12761" operator="greaterThan">
      <formula>1</formula>
    </cfRule>
    <cfRule type="cellIs" dxfId="9788" priority="12762" operator="between">
      <formula>0.95</formula>
      <formula>1</formula>
    </cfRule>
    <cfRule type="cellIs" dxfId="9787" priority="12763" stopIfTrue="1" operator="between">
      <formula>0</formula>
      <formula>0.5</formula>
    </cfRule>
  </conditionalFormatting>
  <conditionalFormatting sqref="Z314 Z316 Z323 Z325">
    <cfRule type="cellIs" dxfId="9786" priority="12754" operator="between">
      <formula>0.76</formula>
      <formula>0.95</formula>
    </cfRule>
    <cfRule type="cellIs" dxfId="9785" priority="12755" operator="between">
      <formula>0.51</formula>
      <formula>0.75</formula>
    </cfRule>
    <cfRule type="cellIs" dxfId="9784" priority="12756" operator="greaterThan">
      <formula>1</formula>
    </cfRule>
    <cfRule type="cellIs" dxfId="9783" priority="12757" operator="between">
      <formula>0.95</formula>
      <formula>1</formula>
    </cfRule>
    <cfRule type="cellIs" dxfId="9782" priority="12758" stopIfTrue="1" operator="between">
      <formula>0</formula>
      <formula>0.5</formula>
    </cfRule>
  </conditionalFormatting>
  <conditionalFormatting sqref="AG314:AG316">
    <cfRule type="cellIs" dxfId="9781" priority="12749" operator="between">
      <formula>0.76</formula>
      <formula>0.95</formula>
    </cfRule>
    <cfRule type="cellIs" dxfId="9780" priority="12750" operator="between">
      <formula>0.51</formula>
      <formula>0.75</formula>
    </cfRule>
    <cfRule type="cellIs" dxfId="9779" priority="12751" operator="greaterThan">
      <formula>1</formula>
    </cfRule>
    <cfRule type="cellIs" dxfId="9778" priority="12752" operator="between">
      <formula>0.95</formula>
      <formula>1</formula>
    </cfRule>
    <cfRule type="cellIs" dxfId="9777" priority="12753" stopIfTrue="1" operator="between">
      <formula>0</formula>
      <formula>0.5</formula>
    </cfRule>
  </conditionalFormatting>
  <conditionalFormatting sqref="AI327:AI331">
    <cfRule type="cellIs" dxfId="9776" priority="12744" operator="between">
      <formula>0.76</formula>
      <formula>0.95</formula>
    </cfRule>
    <cfRule type="cellIs" dxfId="9775" priority="12745" operator="between">
      <formula>0.51</formula>
      <formula>0.75</formula>
    </cfRule>
    <cfRule type="cellIs" dxfId="9774" priority="12746" operator="greaterThan">
      <formula>1</formula>
    </cfRule>
    <cfRule type="cellIs" dxfId="9773" priority="12747" operator="between">
      <formula>0.95</formula>
      <formula>1</formula>
    </cfRule>
    <cfRule type="cellIs" dxfId="9772" priority="12748" stopIfTrue="1" operator="between">
      <formula>0</formula>
      <formula>0.5</formula>
    </cfRule>
  </conditionalFormatting>
  <conditionalFormatting sqref="R327:R331">
    <cfRule type="cellIs" dxfId="9771" priority="12734" operator="between">
      <formula>0.76</formula>
      <formula>0.95</formula>
    </cfRule>
    <cfRule type="cellIs" dxfId="9770" priority="12735" operator="between">
      <formula>0.51</formula>
      <formula>0.75</formula>
    </cfRule>
    <cfRule type="cellIs" dxfId="9769" priority="12736" operator="greaterThan">
      <formula>1</formula>
    </cfRule>
    <cfRule type="cellIs" dxfId="9768" priority="12737" operator="between">
      <formula>0.95</formula>
      <formula>1</formula>
    </cfRule>
    <cfRule type="cellIs" dxfId="9767" priority="12738" stopIfTrue="1" operator="between">
      <formula>0</formula>
      <formula>0.5</formula>
    </cfRule>
  </conditionalFormatting>
  <conditionalFormatting sqref="Y327:Y331">
    <cfRule type="cellIs" dxfId="9766" priority="12729" operator="between">
      <formula>0.76</formula>
      <formula>0.95</formula>
    </cfRule>
    <cfRule type="cellIs" dxfId="9765" priority="12730" operator="between">
      <formula>0.51</formula>
      <formula>0.75</formula>
    </cfRule>
    <cfRule type="cellIs" dxfId="9764" priority="12731" operator="greaterThan">
      <formula>1</formula>
    </cfRule>
    <cfRule type="cellIs" dxfId="9763" priority="12732" operator="between">
      <formula>0.95</formula>
      <formula>1</formula>
    </cfRule>
    <cfRule type="cellIs" dxfId="9762" priority="12733" stopIfTrue="1" operator="between">
      <formula>0</formula>
      <formula>0.5</formula>
    </cfRule>
  </conditionalFormatting>
  <conditionalFormatting sqref="AF327:AF331">
    <cfRule type="cellIs" dxfId="9761" priority="12724" operator="between">
      <formula>0.76</formula>
      <formula>0.95</formula>
    </cfRule>
    <cfRule type="cellIs" dxfId="9760" priority="12725" operator="between">
      <formula>0.51</formula>
      <formula>0.75</formula>
    </cfRule>
    <cfRule type="cellIs" dxfId="9759" priority="12726" operator="greaterThan">
      <formula>1</formula>
    </cfRule>
    <cfRule type="cellIs" dxfId="9758" priority="12727" operator="between">
      <formula>0.95</formula>
      <formula>1</formula>
    </cfRule>
    <cfRule type="cellIs" dxfId="9757" priority="12728" stopIfTrue="1" operator="between">
      <formula>0</formula>
      <formula>0.5</formula>
    </cfRule>
  </conditionalFormatting>
  <conditionalFormatting sqref="AH327:AH331">
    <cfRule type="cellIs" dxfId="9756" priority="12719" operator="between">
      <formula>0.76</formula>
      <formula>0.95</formula>
    </cfRule>
    <cfRule type="cellIs" dxfId="9755" priority="12720" operator="between">
      <formula>0.51</formula>
      <formula>0.75</formula>
    </cfRule>
    <cfRule type="cellIs" dxfId="9754" priority="12721" operator="greaterThan">
      <formula>1</formula>
    </cfRule>
    <cfRule type="cellIs" dxfId="9753" priority="12722" operator="between">
      <formula>0.95</formula>
      <formula>1</formula>
    </cfRule>
    <cfRule type="cellIs" dxfId="9752" priority="12723" stopIfTrue="1" operator="between">
      <formula>0</formula>
      <formula>0.5</formula>
    </cfRule>
  </conditionalFormatting>
  <conditionalFormatting sqref="T327:T331">
    <cfRule type="cellIs" dxfId="9751" priority="12704" operator="between">
      <formula>0.3751</formula>
      <formula>0.475</formula>
    </cfRule>
    <cfRule type="cellIs" dxfId="9750" priority="12705" operator="between">
      <formula>0.2551</formula>
      <formula>0.375</formula>
    </cfRule>
    <cfRule type="cellIs" dxfId="9749" priority="12706" operator="greaterThan">
      <formula>0.505</formula>
    </cfRule>
    <cfRule type="cellIs" dxfId="9748" priority="12707" operator="between">
      <formula>0.48</formula>
      <formula>0.5</formula>
    </cfRule>
    <cfRule type="cellIs" dxfId="9747" priority="12708" stopIfTrue="1" operator="between">
      <formula>0</formula>
      <formula>0.255</formula>
    </cfRule>
  </conditionalFormatting>
  <conditionalFormatting sqref="U327:V331">
    <cfRule type="cellIs" dxfId="9746" priority="12699" operator="between">
      <formula>0.376</formula>
      <formula>0.475</formula>
    </cfRule>
    <cfRule type="cellIs" dxfId="9745" priority="12700" operator="between">
      <formula>0.2551</formula>
      <formula>0.3751</formula>
    </cfRule>
    <cfRule type="cellIs" dxfId="9744" priority="12701" operator="greaterThan">
      <formula>0.505</formula>
    </cfRule>
    <cfRule type="cellIs" dxfId="9743" priority="12702" operator="between">
      <formula>0.48</formula>
      <formula>0.5</formula>
    </cfRule>
    <cfRule type="cellIs" dxfId="9742" priority="12703" stopIfTrue="1" operator="between">
      <formula>0</formula>
      <formula>0.255</formula>
    </cfRule>
  </conditionalFormatting>
  <conditionalFormatting sqref="AA327:AA331">
    <cfRule type="cellIs" dxfId="9741" priority="12694" operator="between">
      <formula>0.56251</formula>
      <formula>0.7125</formula>
    </cfRule>
    <cfRule type="cellIs" dxfId="9740" priority="12695" operator="between">
      <formula>0.3751</formula>
      <formula>0.5625</formula>
    </cfRule>
    <cfRule type="cellIs" dxfId="9739" priority="12696" operator="greaterThan">
      <formula>0.751</formula>
    </cfRule>
    <cfRule type="cellIs" dxfId="9738" priority="12697" operator="between">
      <formula>0.71251</formula>
      <formula>0.75</formula>
    </cfRule>
    <cfRule type="cellIs" dxfId="9737" priority="12698" stopIfTrue="1" operator="between">
      <formula>0</formula>
      <formula>0.375</formula>
    </cfRule>
  </conditionalFormatting>
  <conditionalFormatting sqref="AC327:AC331">
    <cfRule type="cellIs" dxfId="9736" priority="12689" operator="between">
      <formula>0.56251</formula>
      <formula>0.7125</formula>
    </cfRule>
    <cfRule type="cellIs" dxfId="9735" priority="12690" operator="between">
      <formula>0.3751</formula>
      <formula>0.5625</formula>
    </cfRule>
    <cfRule type="cellIs" dxfId="9734" priority="12691" operator="greaterThan">
      <formula>0.751</formula>
    </cfRule>
    <cfRule type="cellIs" dxfId="9733" priority="12692" operator="between">
      <formula>0.71251</formula>
      <formula>0.75</formula>
    </cfRule>
    <cfRule type="cellIs" dxfId="9732" priority="12693" stopIfTrue="1" operator="between">
      <formula>0</formula>
      <formula>0.375</formula>
    </cfRule>
  </conditionalFormatting>
  <conditionalFormatting sqref="AB327:AB331">
    <cfRule type="cellIs" dxfId="9731" priority="12684" operator="between">
      <formula>0.56251</formula>
      <formula>0.7125</formula>
    </cfRule>
    <cfRule type="cellIs" dxfId="9730" priority="12685" operator="between">
      <formula>0.3751</formula>
      <formula>0.5625</formula>
    </cfRule>
    <cfRule type="cellIs" dxfId="9729" priority="12686" operator="greaterThan">
      <formula>0.751</formula>
    </cfRule>
    <cfRule type="cellIs" dxfId="9728" priority="12687" operator="between">
      <formula>0.71251</formula>
      <formula>0.75</formula>
    </cfRule>
    <cfRule type="cellIs" dxfId="9727" priority="12688" stopIfTrue="1" operator="between">
      <formula>0</formula>
      <formula>0.375</formula>
    </cfRule>
  </conditionalFormatting>
  <conditionalFormatting sqref="S327:S329 S331">
    <cfRule type="cellIs" dxfId="9726" priority="12662" operator="between">
      <formula>0.76</formula>
      <formula>0.95</formula>
    </cfRule>
    <cfRule type="cellIs" dxfId="9725" priority="12663" operator="between">
      <formula>0.51</formula>
      <formula>0.75</formula>
    </cfRule>
    <cfRule type="cellIs" dxfId="9724" priority="12664" operator="greaterThan">
      <formula>1</formula>
    </cfRule>
    <cfRule type="cellIs" dxfId="9723" priority="12665" operator="between">
      <formula>0.95</formula>
      <formula>1</formula>
    </cfRule>
    <cfRule type="cellIs" dxfId="9722" priority="12666" stopIfTrue="1" operator="between">
      <formula>0</formula>
      <formula>0.5</formula>
    </cfRule>
  </conditionalFormatting>
  <conditionalFormatting sqref="Z327:Z328">
    <cfRule type="cellIs" dxfId="9721" priority="12657" operator="between">
      <formula>0.76</formula>
      <formula>0.95</formula>
    </cfRule>
    <cfRule type="cellIs" dxfId="9720" priority="12658" operator="between">
      <formula>0.51</formula>
      <formula>0.75</formula>
    </cfRule>
    <cfRule type="cellIs" dxfId="9719" priority="12659" operator="greaterThan">
      <formula>1</formula>
    </cfRule>
    <cfRule type="cellIs" dxfId="9718" priority="12660" operator="between">
      <formula>0.95</formula>
      <formula>1</formula>
    </cfRule>
    <cfRule type="cellIs" dxfId="9717" priority="12661" stopIfTrue="1" operator="between">
      <formula>0</formula>
      <formula>0.5</formula>
    </cfRule>
  </conditionalFormatting>
  <conditionalFormatting sqref="AG327:AG331">
    <cfRule type="cellIs" dxfId="9716" priority="12652" operator="between">
      <formula>0.76</formula>
      <formula>0.95</formula>
    </cfRule>
    <cfRule type="cellIs" dxfId="9715" priority="12653" operator="between">
      <formula>0.51</formula>
      <formula>0.75</formula>
    </cfRule>
    <cfRule type="cellIs" dxfId="9714" priority="12654" operator="greaterThan">
      <formula>1</formula>
    </cfRule>
    <cfRule type="cellIs" dxfId="9713" priority="12655" operator="between">
      <formula>0.95</formula>
      <formula>1</formula>
    </cfRule>
    <cfRule type="cellIs" dxfId="9712" priority="12656" stopIfTrue="1" operator="between">
      <formula>0</formula>
      <formula>0.5</formula>
    </cfRule>
  </conditionalFormatting>
  <conditionalFormatting sqref="S314">
    <cfRule type="cellIs" dxfId="9711" priority="12637" operator="between">
      <formula>0.76</formula>
      <formula>0.95</formula>
    </cfRule>
    <cfRule type="cellIs" dxfId="9710" priority="12638" operator="between">
      <formula>0.51</formula>
      <formula>0.75</formula>
    </cfRule>
    <cfRule type="cellIs" dxfId="9709" priority="12639" operator="greaterThan">
      <formula>1</formula>
    </cfRule>
    <cfRule type="cellIs" dxfId="9708" priority="12640" operator="between">
      <formula>0.95</formula>
      <formula>1</formula>
    </cfRule>
    <cfRule type="cellIs" dxfId="9707" priority="12641" stopIfTrue="1" operator="between">
      <formula>0</formula>
      <formula>0.5</formula>
    </cfRule>
  </conditionalFormatting>
  <conditionalFormatting sqref="S316">
    <cfRule type="cellIs" dxfId="9706" priority="12632" operator="between">
      <formula>0.76</formula>
      <formula>0.95</formula>
    </cfRule>
    <cfRule type="cellIs" dxfId="9705" priority="12633" operator="between">
      <formula>0.51</formula>
      <formula>0.75</formula>
    </cfRule>
    <cfRule type="cellIs" dxfId="9704" priority="12634" operator="greaterThan">
      <formula>1</formula>
    </cfRule>
    <cfRule type="cellIs" dxfId="9703" priority="12635" operator="between">
      <formula>0.95</formula>
      <formula>1</formula>
    </cfRule>
    <cfRule type="cellIs" dxfId="9702" priority="12636" stopIfTrue="1" operator="between">
      <formula>0</formula>
      <formula>0.5</formula>
    </cfRule>
  </conditionalFormatting>
  <conditionalFormatting sqref="S325">
    <cfRule type="cellIs" dxfId="9701" priority="12622" operator="between">
      <formula>0.76</formula>
      <formula>0.95</formula>
    </cfRule>
    <cfRule type="cellIs" dxfId="9700" priority="12623" operator="between">
      <formula>0.51</formula>
      <formula>0.75</formula>
    </cfRule>
    <cfRule type="cellIs" dxfId="9699" priority="12624" operator="greaterThan">
      <formula>1</formula>
    </cfRule>
    <cfRule type="cellIs" dxfId="9698" priority="12625" operator="between">
      <formula>0.95</formula>
      <formula>1</formula>
    </cfRule>
    <cfRule type="cellIs" dxfId="9697" priority="12626" stopIfTrue="1" operator="between">
      <formula>0</formula>
      <formula>0.5</formula>
    </cfRule>
  </conditionalFormatting>
  <conditionalFormatting sqref="S330">
    <cfRule type="cellIs" dxfId="9696" priority="12617" operator="between">
      <formula>0.76</formula>
      <formula>0.95</formula>
    </cfRule>
    <cfRule type="cellIs" dxfId="9695" priority="12618" operator="between">
      <formula>0.51</formula>
      <formula>0.75</formula>
    </cfRule>
    <cfRule type="cellIs" dxfId="9694" priority="12619" operator="greaterThan">
      <formula>1</formula>
    </cfRule>
    <cfRule type="cellIs" dxfId="9693" priority="12620" operator="between">
      <formula>0.95</formula>
      <formula>1</formula>
    </cfRule>
    <cfRule type="cellIs" dxfId="9692" priority="12621" stopIfTrue="1" operator="between">
      <formula>0</formula>
      <formula>0.5</formula>
    </cfRule>
  </conditionalFormatting>
  <conditionalFormatting sqref="Z315">
    <cfRule type="cellIs" dxfId="9691" priority="12612" operator="between">
      <formula>0.76</formula>
      <formula>0.95</formula>
    </cfRule>
    <cfRule type="cellIs" dxfId="9690" priority="12613" operator="between">
      <formula>0.51</formula>
      <formula>0.75</formula>
    </cfRule>
    <cfRule type="cellIs" dxfId="9689" priority="12614" operator="greaterThan">
      <formula>1</formula>
    </cfRule>
    <cfRule type="cellIs" dxfId="9688" priority="12615" operator="between">
      <formula>0.95</formula>
      <formula>1</formula>
    </cfRule>
    <cfRule type="cellIs" dxfId="9687" priority="12616" stopIfTrue="1" operator="between">
      <formula>0</formula>
      <formula>0.5</formula>
    </cfRule>
  </conditionalFormatting>
  <conditionalFormatting sqref="Z322">
    <cfRule type="cellIs" dxfId="9686" priority="12602" operator="between">
      <formula>0.76</formula>
      <formula>0.95</formula>
    </cfRule>
    <cfRule type="cellIs" dxfId="9685" priority="12603" operator="between">
      <formula>0.51</formula>
      <formula>0.75</formula>
    </cfRule>
    <cfRule type="cellIs" dxfId="9684" priority="12604" operator="greaterThan">
      <formula>1</formula>
    </cfRule>
    <cfRule type="cellIs" dxfId="9683" priority="12605" operator="between">
      <formula>0.95</formula>
      <formula>1</formula>
    </cfRule>
    <cfRule type="cellIs" dxfId="9682" priority="12606" stopIfTrue="1" operator="between">
      <formula>0</formula>
      <formula>0.5</formula>
    </cfRule>
  </conditionalFormatting>
  <conditionalFormatting sqref="Z324">
    <cfRule type="cellIs" dxfId="9681" priority="12597" operator="between">
      <formula>0.76</formula>
      <formula>0.95</formula>
    </cfRule>
    <cfRule type="cellIs" dxfId="9680" priority="12598" operator="between">
      <formula>0.51</formula>
      <formula>0.75</formula>
    </cfRule>
    <cfRule type="cellIs" dxfId="9679" priority="12599" operator="greaterThan">
      <formula>1</formula>
    </cfRule>
    <cfRule type="cellIs" dxfId="9678" priority="12600" operator="between">
      <formula>0.95</formula>
      <formula>1</formula>
    </cfRule>
    <cfRule type="cellIs" dxfId="9677" priority="12601" stopIfTrue="1" operator="between">
      <formula>0</formula>
      <formula>0.5</formula>
    </cfRule>
  </conditionalFormatting>
  <conditionalFormatting sqref="Z326">
    <cfRule type="cellIs" dxfId="9676" priority="12592" operator="between">
      <formula>0.76</formula>
      <formula>0.95</formula>
    </cfRule>
    <cfRule type="cellIs" dxfId="9675" priority="12593" operator="between">
      <formula>0.51</formula>
      <formula>0.75</formula>
    </cfRule>
    <cfRule type="cellIs" dxfId="9674" priority="12594" operator="greaterThan">
      <formula>1</formula>
    </cfRule>
    <cfRule type="cellIs" dxfId="9673" priority="12595" operator="between">
      <formula>0.95</formula>
      <formula>1</formula>
    </cfRule>
    <cfRule type="cellIs" dxfId="9672" priority="12596" stopIfTrue="1" operator="between">
      <formula>0</formula>
      <formula>0.5</formula>
    </cfRule>
  </conditionalFormatting>
  <conditionalFormatting sqref="Z329">
    <cfRule type="cellIs" dxfId="9671" priority="12587" operator="between">
      <formula>0.76</formula>
      <formula>0.95</formula>
    </cfRule>
    <cfRule type="cellIs" dxfId="9670" priority="12588" operator="between">
      <formula>0.51</formula>
      <formula>0.75</formula>
    </cfRule>
    <cfRule type="cellIs" dxfId="9669" priority="12589" operator="greaterThan">
      <formula>1</formula>
    </cfRule>
    <cfRule type="cellIs" dxfId="9668" priority="12590" operator="between">
      <formula>0.95</formula>
      <formula>1</formula>
    </cfRule>
    <cfRule type="cellIs" dxfId="9667" priority="12591" stopIfTrue="1" operator="between">
      <formula>0</formula>
      <formula>0.5</formula>
    </cfRule>
  </conditionalFormatting>
  <conditionalFormatting sqref="Z330">
    <cfRule type="cellIs" dxfId="9666" priority="12582" operator="between">
      <formula>0.76</formula>
      <formula>0.95</formula>
    </cfRule>
    <cfRule type="cellIs" dxfId="9665" priority="12583" operator="between">
      <formula>0.51</formula>
      <formula>0.75</formula>
    </cfRule>
    <cfRule type="cellIs" dxfId="9664" priority="12584" operator="greaterThan">
      <formula>1</formula>
    </cfRule>
    <cfRule type="cellIs" dxfId="9663" priority="12585" operator="between">
      <formula>0.95</formula>
      <formula>1</formula>
    </cfRule>
    <cfRule type="cellIs" dxfId="9662" priority="12586" stopIfTrue="1" operator="between">
      <formula>0</formula>
      <formula>0.5</formula>
    </cfRule>
  </conditionalFormatting>
  <conditionalFormatting sqref="Z331">
    <cfRule type="cellIs" dxfId="9661" priority="12577" operator="between">
      <formula>0.76</formula>
      <formula>0.95</formula>
    </cfRule>
    <cfRule type="cellIs" dxfId="9660" priority="12578" operator="between">
      <formula>0.51</formula>
      <formula>0.75</formula>
    </cfRule>
    <cfRule type="cellIs" dxfId="9659" priority="12579" operator="greaterThan">
      <formula>1</formula>
    </cfRule>
    <cfRule type="cellIs" dxfId="9658" priority="12580" operator="between">
      <formula>0.95</formula>
      <formula>1</formula>
    </cfRule>
    <cfRule type="cellIs" dxfId="9657" priority="12581" stopIfTrue="1" operator="between">
      <formula>0</formula>
      <formula>0.5</formula>
    </cfRule>
  </conditionalFormatting>
  <conditionalFormatting sqref="AI353">
    <cfRule type="cellIs" dxfId="9656" priority="12572" operator="between">
      <formula>0.76</formula>
      <formula>0.95</formula>
    </cfRule>
    <cfRule type="cellIs" dxfId="9655" priority="12573" operator="between">
      <formula>0.51</formula>
      <formula>0.75</formula>
    </cfRule>
    <cfRule type="cellIs" dxfId="9654" priority="12574" operator="greaterThan">
      <formula>1</formula>
    </cfRule>
    <cfRule type="cellIs" dxfId="9653" priority="12575" operator="between">
      <formula>0.95</formula>
      <formula>1</formula>
    </cfRule>
    <cfRule type="cellIs" dxfId="9652" priority="12576" stopIfTrue="1" operator="between">
      <formula>0</formula>
      <formula>0.5</formula>
    </cfRule>
  </conditionalFormatting>
  <conditionalFormatting sqref="R353">
    <cfRule type="cellIs" dxfId="9651" priority="12562" operator="between">
      <formula>0.76</formula>
      <formula>0.95</formula>
    </cfRule>
    <cfRule type="cellIs" dxfId="9650" priority="12563" operator="between">
      <formula>0.51</formula>
      <formula>0.75</formula>
    </cfRule>
    <cfRule type="cellIs" dxfId="9649" priority="12564" operator="greaterThan">
      <formula>1</formula>
    </cfRule>
    <cfRule type="cellIs" dxfId="9648" priority="12565" operator="between">
      <formula>0.95</formula>
      <formula>1</formula>
    </cfRule>
    <cfRule type="cellIs" dxfId="9647" priority="12566" stopIfTrue="1" operator="between">
      <formula>0</formula>
      <formula>0.5</formula>
    </cfRule>
  </conditionalFormatting>
  <conditionalFormatting sqref="Y353">
    <cfRule type="cellIs" dxfId="9646" priority="12557" operator="between">
      <formula>0.76</formula>
      <formula>0.95</formula>
    </cfRule>
    <cfRule type="cellIs" dxfId="9645" priority="12558" operator="between">
      <formula>0.51</formula>
      <formula>0.75</formula>
    </cfRule>
    <cfRule type="cellIs" dxfId="9644" priority="12559" operator="greaterThan">
      <formula>1</formula>
    </cfRule>
    <cfRule type="cellIs" dxfId="9643" priority="12560" operator="between">
      <formula>0.95</formula>
      <formula>1</formula>
    </cfRule>
    <cfRule type="cellIs" dxfId="9642" priority="12561" stopIfTrue="1" operator="between">
      <formula>0</formula>
      <formula>0.5</formula>
    </cfRule>
  </conditionalFormatting>
  <conditionalFormatting sqref="AF353">
    <cfRule type="cellIs" dxfId="9641" priority="12552" operator="between">
      <formula>0.76</formula>
      <formula>0.95</formula>
    </cfRule>
    <cfRule type="cellIs" dxfId="9640" priority="12553" operator="between">
      <formula>0.51</formula>
      <formula>0.75</formula>
    </cfRule>
    <cfRule type="cellIs" dxfId="9639" priority="12554" operator="greaterThan">
      <formula>1</formula>
    </cfRule>
    <cfRule type="cellIs" dxfId="9638" priority="12555" operator="between">
      <formula>0.95</formula>
      <formula>1</formula>
    </cfRule>
    <cfRule type="cellIs" dxfId="9637" priority="12556" stopIfTrue="1" operator="between">
      <formula>0</formula>
      <formula>0.5</formula>
    </cfRule>
  </conditionalFormatting>
  <conditionalFormatting sqref="AH353">
    <cfRule type="cellIs" dxfId="9636" priority="12547" operator="between">
      <formula>0.76</formula>
      <formula>0.95</formula>
    </cfRule>
    <cfRule type="cellIs" dxfId="9635" priority="12548" operator="between">
      <formula>0.51</formula>
      <formula>0.75</formula>
    </cfRule>
    <cfRule type="cellIs" dxfId="9634" priority="12549" operator="greaterThan">
      <formula>1</formula>
    </cfRule>
    <cfRule type="cellIs" dxfId="9633" priority="12550" operator="between">
      <formula>0.95</formula>
      <formula>1</formula>
    </cfRule>
    <cfRule type="cellIs" dxfId="9632" priority="12551" stopIfTrue="1" operator="between">
      <formula>0</formula>
      <formula>0.5</formula>
    </cfRule>
  </conditionalFormatting>
  <conditionalFormatting sqref="T353">
    <cfRule type="cellIs" dxfId="9631" priority="12532" operator="between">
      <formula>0.3751</formula>
      <formula>0.475</formula>
    </cfRule>
    <cfRule type="cellIs" dxfId="9630" priority="12533" operator="between">
      <formula>0.2551</formula>
      <formula>0.375</formula>
    </cfRule>
    <cfRule type="cellIs" dxfId="9629" priority="12534" operator="greaterThan">
      <formula>0.505</formula>
    </cfRule>
    <cfRule type="cellIs" dxfId="9628" priority="12535" operator="between">
      <formula>0.48</formula>
      <formula>0.5</formula>
    </cfRule>
    <cfRule type="cellIs" dxfId="9627" priority="12536" stopIfTrue="1" operator="between">
      <formula>0</formula>
      <formula>0.255</formula>
    </cfRule>
  </conditionalFormatting>
  <conditionalFormatting sqref="U332 U351:V351 U353">
    <cfRule type="cellIs" dxfId="9626" priority="12527" operator="between">
      <formula>0.376</formula>
      <formula>0.475</formula>
    </cfRule>
    <cfRule type="cellIs" dxfId="9625" priority="12528" operator="between">
      <formula>0.2551</formula>
      <formula>0.3751</formula>
    </cfRule>
    <cfRule type="cellIs" dxfId="9624" priority="12529" operator="greaterThan">
      <formula>0.505</formula>
    </cfRule>
    <cfRule type="cellIs" dxfId="9623" priority="12530" operator="between">
      <formula>0.48</formula>
      <formula>0.5</formula>
    </cfRule>
    <cfRule type="cellIs" dxfId="9622" priority="12531" stopIfTrue="1" operator="between">
      <formula>0</formula>
      <formula>0.255</formula>
    </cfRule>
  </conditionalFormatting>
  <conditionalFormatting sqref="AA353">
    <cfRule type="cellIs" dxfId="9621" priority="12522" operator="between">
      <formula>0.56251</formula>
      <formula>0.7125</formula>
    </cfRule>
    <cfRule type="cellIs" dxfId="9620" priority="12523" operator="between">
      <formula>0.3751</formula>
      <formula>0.5625</formula>
    </cfRule>
    <cfRule type="cellIs" dxfId="9619" priority="12524" operator="greaterThan">
      <formula>0.751</formula>
    </cfRule>
    <cfRule type="cellIs" dxfId="9618" priority="12525" operator="between">
      <formula>0.71251</formula>
      <formula>0.75</formula>
    </cfRule>
    <cfRule type="cellIs" dxfId="9617" priority="12526" stopIfTrue="1" operator="between">
      <formula>0</formula>
      <formula>0.375</formula>
    </cfRule>
  </conditionalFormatting>
  <conditionalFormatting sqref="AC353">
    <cfRule type="cellIs" dxfId="9616" priority="12517" operator="between">
      <formula>0.56251</formula>
      <formula>0.7125</formula>
    </cfRule>
    <cfRule type="cellIs" dxfId="9615" priority="12518" operator="between">
      <formula>0.3751</formula>
      <formula>0.5625</formula>
    </cfRule>
    <cfRule type="cellIs" dxfId="9614" priority="12519" operator="greaterThan">
      <formula>0.751</formula>
    </cfRule>
    <cfRule type="cellIs" dxfId="9613" priority="12520" operator="between">
      <formula>0.71251</formula>
      <formula>0.75</formula>
    </cfRule>
    <cfRule type="cellIs" dxfId="9612" priority="12521" stopIfTrue="1" operator="between">
      <formula>0</formula>
      <formula>0.375</formula>
    </cfRule>
  </conditionalFormatting>
  <conditionalFormatting sqref="AB353">
    <cfRule type="cellIs" dxfId="9611" priority="12512" operator="between">
      <formula>0.56251</formula>
      <formula>0.7125</formula>
    </cfRule>
    <cfRule type="cellIs" dxfId="9610" priority="12513" operator="between">
      <formula>0.3751</formula>
      <formula>0.5625</formula>
    </cfRule>
    <cfRule type="cellIs" dxfId="9609" priority="12514" operator="greaterThan">
      <formula>0.751</formula>
    </cfRule>
    <cfRule type="cellIs" dxfId="9608" priority="12515" operator="between">
      <formula>0.71251</formula>
      <formula>0.75</formula>
    </cfRule>
    <cfRule type="cellIs" dxfId="9607" priority="12516" stopIfTrue="1" operator="between">
      <formula>0</formula>
      <formula>0.375</formula>
    </cfRule>
  </conditionalFormatting>
  <conditionalFormatting sqref="S351">
    <cfRule type="cellIs" dxfId="9606" priority="12490" operator="between">
      <formula>0.76</formula>
      <formula>0.95</formula>
    </cfRule>
    <cfRule type="cellIs" dxfId="9605" priority="12491" operator="between">
      <formula>0.51</formula>
      <formula>0.75</formula>
    </cfRule>
    <cfRule type="cellIs" dxfId="9604" priority="12492" operator="greaterThan">
      <formula>1</formula>
    </cfRule>
    <cfRule type="cellIs" dxfId="9603" priority="12493" operator="between">
      <formula>0.95</formula>
      <formula>1</formula>
    </cfRule>
    <cfRule type="cellIs" dxfId="9602" priority="12494" stopIfTrue="1" operator="between">
      <formula>0</formula>
      <formula>0.5</formula>
    </cfRule>
  </conditionalFormatting>
  <conditionalFormatting sqref="AG351">
    <cfRule type="cellIs" dxfId="9601" priority="12485" operator="between">
      <formula>0.76</formula>
      <formula>0.95</formula>
    </cfRule>
    <cfRule type="cellIs" dxfId="9600" priority="12486" operator="between">
      <formula>0.51</formula>
      <formula>0.75</formula>
    </cfRule>
    <cfRule type="cellIs" dxfId="9599" priority="12487" operator="greaterThan">
      <formula>1</formula>
    </cfRule>
    <cfRule type="cellIs" dxfId="9598" priority="12488" operator="between">
      <formula>0.95</formula>
      <formula>1</formula>
    </cfRule>
    <cfRule type="cellIs" dxfId="9597" priority="12489" stopIfTrue="1" operator="between">
      <formula>0</formula>
      <formula>0.5</formula>
    </cfRule>
  </conditionalFormatting>
  <conditionalFormatting sqref="Z353">
    <cfRule type="cellIs" dxfId="9596" priority="12480" operator="between">
      <formula>0.76</formula>
      <formula>0.95</formula>
    </cfRule>
    <cfRule type="cellIs" dxfId="9595" priority="12481" operator="between">
      <formula>0.51</formula>
      <formula>0.75</formula>
    </cfRule>
    <cfRule type="cellIs" dxfId="9594" priority="12482" operator="greaterThan">
      <formula>1</formula>
    </cfRule>
    <cfRule type="cellIs" dxfId="9593" priority="12483" operator="between">
      <formula>0.95</formula>
      <formula>1</formula>
    </cfRule>
    <cfRule type="cellIs" dxfId="9592" priority="12484" stopIfTrue="1" operator="between">
      <formula>0</formula>
      <formula>0.5</formula>
    </cfRule>
  </conditionalFormatting>
  <conditionalFormatting sqref="S332">
    <cfRule type="cellIs" dxfId="9591" priority="12475" operator="between">
      <formula>0.76</formula>
      <formula>0.95</formula>
    </cfRule>
    <cfRule type="cellIs" dxfId="9590" priority="12476" operator="between">
      <formula>0.51</formula>
      <formula>0.75</formula>
    </cfRule>
    <cfRule type="cellIs" dxfId="9589" priority="12477" operator="greaterThan">
      <formula>1</formula>
    </cfRule>
    <cfRule type="cellIs" dxfId="9588" priority="12478" operator="between">
      <formula>0.95</formula>
      <formula>1</formula>
    </cfRule>
    <cfRule type="cellIs" dxfId="9587" priority="12479" stopIfTrue="1" operator="between">
      <formula>0</formula>
      <formula>0.5</formula>
    </cfRule>
  </conditionalFormatting>
  <conditionalFormatting sqref="V332">
    <cfRule type="cellIs" dxfId="9586" priority="12465" operator="between">
      <formula>0.376</formula>
      <formula>0.475</formula>
    </cfRule>
    <cfRule type="cellIs" dxfId="9585" priority="12466" operator="between">
      <formula>0.2551</formula>
      <formula>0.3751</formula>
    </cfRule>
    <cfRule type="cellIs" dxfId="9584" priority="12467" operator="greaterThan">
      <formula>0.505</formula>
    </cfRule>
    <cfRule type="cellIs" dxfId="9583" priority="12468" operator="between">
      <formula>0.48</formula>
      <formula>0.5</formula>
    </cfRule>
    <cfRule type="cellIs" dxfId="9582" priority="12469" stopIfTrue="1" operator="between">
      <formula>0</formula>
      <formula>0.255</formula>
    </cfRule>
  </conditionalFormatting>
  <conditionalFormatting sqref="S353">
    <cfRule type="cellIs" dxfId="9581" priority="12410" operator="between">
      <formula>0.76</formula>
      <formula>0.95</formula>
    </cfRule>
    <cfRule type="cellIs" dxfId="9580" priority="12411" operator="between">
      <formula>0.51</formula>
      <formula>0.75</formula>
    </cfRule>
    <cfRule type="cellIs" dxfId="9579" priority="12412" operator="greaterThan">
      <formula>1</formula>
    </cfRule>
    <cfRule type="cellIs" dxfId="9578" priority="12413" operator="between">
      <formula>0.95</formula>
      <formula>1</formula>
    </cfRule>
    <cfRule type="cellIs" dxfId="9577" priority="12414" stopIfTrue="1" operator="between">
      <formula>0</formula>
      <formula>0.5</formula>
    </cfRule>
  </conditionalFormatting>
  <conditionalFormatting sqref="V353">
    <cfRule type="cellIs" dxfId="9576" priority="12405" operator="between">
      <formula>0.376</formula>
      <formula>0.475</formula>
    </cfRule>
    <cfRule type="cellIs" dxfId="9575" priority="12406" operator="between">
      <formula>0.2551</formula>
      <formula>0.3751</formula>
    </cfRule>
    <cfRule type="cellIs" dxfId="9574" priority="12407" operator="greaterThan">
      <formula>0.505</formula>
    </cfRule>
    <cfRule type="cellIs" dxfId="9573" priority="12408" operator="between">
      <formula>0.48</formula>
      <formula>0.5</formula>
    </cfRule>
    <cfRule type="cellIs" dxfId="9572" priority="12409" stopIfTrue="1" operator="between">
      <formula>0</formula>
      <formula>0.255</formula>
    </cfRule>
  </conditionalFormatting>
  <conditionalFormatting sqref="AG353">
    <cfRule type="cellIs" dxfId="9571" priority="12365" operator="between">
      <formula>0.76</formula>
      <formula>0.95</formula>
    </cfRule>
    <cfRule type="cellIs" dxfId="9570" priority="12366" operator="between">
      <formula>0.51</formula>
      <formula>0.75</formula>
    </cfRule>
    <cfRule type="cellIs" dxfId="9569" priority="12367" operator="greaterThan">
      <formula>1</formula>
    </cfRule>
    <cfRule type="cellIs" dxfId="9568" priority="12368" operator="between">
      <formula>0.95</formula>
      <formula>1</formula>
    </cfRule>
    <cfRule type="cellIs" dxfId="9567" priority="12369" stopIfTrue="1" operator="between">
      <formula>0</formula>
      <formula>0.5</formula>
    </cfRule>
  </conditionalFormatting>
  <conditionalFormatting sqref="Y277 AF277:AI277 R277">
    <cfRule type="cellIs" dxfId="9566" priority="12360" operator="between">
      <formula>0.76</formula>
      <formula>0.95</formula>
    </cfRule>
    <cfRule type="cellIs" dxfId="9565" priority="12361" operator="between">
      <formula>0.51</formula>
      <formula>0.75</formula>
    </cfRule>
    <cfRule type="cellIs" dxfId="9564" priority="12362" operator="greaterThan">
      <formula>1</formula>
    </cfRule>
    <cfRule type="cellIs" dxfId="9563" priority="12363" operator="between">
      <formula>0.95</formula>
      <formula>1</formula>
    </cfRule>
    <cfRule type="cellIs" dxfId="9562" priority="12364" stopIfTrue="1" operator="between">
      <formula>0</formula>
      <formula>0.5</formula>
    </cfRule>
  </conditionalFormatting>
  <conditionalFormatting sqref="T277">
    <cfRule type="cellIs" dxfId="9561" priority="12355" operator="between">
      <formula>0.3751</formula>
      <formula>0.475</formula>
    </cfRule>
    <cfRule type="cellIs" dxfId="9560" priority="12356" operator="between">
      <formula>0.2551</formula>
      <formula>0.375</formula>
    </cfRule>
    <cfRule type="cellIs" dxfId="9559" priority="12357" operator="greaterThan">
      <formula>0.505</formula>
    </cfRule>
    <cfRule type="cellIs" dxfId="9558" priority="12358" operator="between">
      <formula>0.48</formula>
      <formula>0.5</formula>
    </cfRule>
    <cfRule type="cellIs" dxfId="9557" priority="12359" stopIfTrue="1" operator="between">
      <formula>0</formula>
      <formula>0.255</formula>
    </cfRule>
  </conditionalFormatting>
  <conditionalFormatting sqref="AA277:AB277">
    <cfRule type="cellIs" dxfId="9556" priority="12350" operator="between">
      <formula>0.56251</formula>
      <formula>0.7125</formula>
    </cfRule>
    <cfRule type="cellIs" dxfId="9555" priority="12351" operator="between">
      <formula>0.3751</formula>
      <formula>0.5625</formula>
    </cfRule>
    <cfRule type="cellIs" dxfId="9554" priority="12352" operator="greaterThan">
      <formula>0.751</formula>
    </cfRule>
    <cfRule type="cellIs" dxfId="9553" priority="12353" operator="between">
      <formula>0.71251</formula>
      <formula>0.75</formula>
    </cfRule>
    <cfRule type="cellIs" dxfId="9552" priority="12354" stopIfTrue="1" operator="between">
      <formula>0</formula>
      <formula>0.375</formula>
    </cfRule>
  </conditionalFormatting>
  <conditionalFormatting sqref="U277">
    <cfRule type="cellIs" dxfId="9551" priority="12340" operator="between">
      <formula>0.376</formula>
      <formula>0.475</formula>
    </cfRule>
    <cfRule type="cellIs" dxfId="9550" priority="12341" operator="between">
      <formula>0.2551</formula>
      <formula>0.3751</formula>
    </cfRule>
    <cfRule type="cellIs" dxfId="9549" priority="12342" operator="greaterThan">
      <formula>0.505</formula>
    </cfRule>
    <cfRule type="cellIs" dxfId="9548" priority="12343" operator="between">
      <formula>0.48</formula>
      <formula>0.5</formula>
    </cfRule>
    <cfRule type="cellIs" dxfId="9547" priority="12344" stopIfTrue="1" operator="between">
      <formula>0</formula>
      <formula>0.255</formula>
    </cfRule>
  </conditionalFormatting>
  <conditionalFormatting sqref="S277">
    <cfRule type="cellIs" dxfId="9546" priority="12332" operator="between">
      <formula>0.76</formula>
      <formula>0.95</formula>
    </cfRule>
    <cfRule type="cellIs" dxfId="9545" priority="12333" operator="between">
      <formula>0.51</formula>
      <formula>0.75</formula>
    </cfRule>
    <cfRule type="cellIs" dxfId="9544" priority="12334" operator="greaterThan">
      <formula>1</formula>
    </cfRule>
    <cfRule type="cellIs" dxfId="9543" priority="12335" operator="between">
      <formula>0.95</formula>
      <formula>1</formula>
    </cfRule>
    <cfRule type="cellIs" dxfId="9542" priority="12336" stopIfTrue="1" operator="between">
      <formula>0</formula>
      <formula>0.5</formula>
    </cfRule>
  </conditionalFormatting>
  <conditionalFormatting sqref="V277">
    <cfRule type="cellIs" dxfId="9541" priority="12327" operator="between">
      <formula>0.376</formula>
      <formula>0.475</formula>
    </cfRule>
    <cfRule type="cellIs" dxfId="9540" priority="12328" operator="between">
      <formula>0.2551</formula>
      <formula>0.3751</formula>
    </cfRule>
    <cfRule type="cellIs" dxfId="9539" priority="12329" operator="greaterThan">
      <formula>0.505</formula>
    </cfRule>
    <cfRule type="cellIs" dxfId="9538" priority="12330" operator="between">
      <formula>0.48</formula>
      <formula>0.5</formula>
    </cfRule>
    <cfRule type="cellIs" dxfId="9537" priority="12331" stopIfTrue="1" operator="between">
      <formula>0</formula>
      <formula>0.255</formula>
    </cfRule>
  </conditionalFormatting>
  <conditionalFormatting sqref="Z270:Z271">
    <cfRule type="cellIs" dxfId="9536" priority="12322" operator="between">
      <formula>0.76</formula>
      <formula>0.95</formula>
    </cfRule>
    <cfRule type="cellIs" dxfId="9535" priority="12323" operator="between">
      <formula>0.51</formula>
      <formula>0.75</formula>
    </cfRule>
    <cfRule type="cellIs" dxfId="9534" priority="12324" operator="greaterThan">
      <formula>1</formula>
    </cfRule>
    <cfRule type="cellIs" dxfId="9533" priority="12325" operator="between">
      <formula>0.95</formula>
      <formula>1</formula>
    </cfRule>
    <cfRule type="cellIs" dxfId="9532" priority="12326" stopIfTrue="1" operator="between">
      <formula>0</formula>
      <formula>0.5</formula>
    </cfRule>
  </conditionalFormatting>
  <conditionalFormatting sqref="Z276">
    <cfRule type="cellIs" dxfId="9531" priority="12317" operator="between">
      <formula>0.76</formula>
      <formula>0.95</formula>
    </cfRule>
    <cfRule type="cellIs" dxfId="9530" priority="12318" operator="between">
      <formula>0.51</formula>
      <formula>0.75</formula>
    </cfRule>
    <cfRule type="cellIs" dxfId="9529" priority="12319" operator="greaterThan">
      <formula>1</formula>
    </cfRule>
    <cfRule type="cellIs" dxfId="9528" priority="12320" operator="between">
      <formula>0.95</formula>
      <formula>1</formula>
    </cfRule>
    <cfRule type="cellIs" dxfId="9527" priority="12321" stopIfTrue="1" operator="between">
      <formula>0</formula>
      <formula>0.5</formula>
    </cfRule>
  </conditionalFormatting>
  <conditionalFormatting sqref="Z277">
    <cfRule type="cellIs" dxfId="9526" priority="12312" operator="between">
      <formula>0.76</formula>
      <formula>0.95</formula>
    </cfRule>
    <cfRule type="cellIs" dxfId="9525" priority="12313" operator="between">
      <formula>0.51</formula>
      <formula>0.75</formula>
    </cfRule>
    <cfRule type="cellIs" dxfId="9524" priority="12314" operator="greaterThan">
      <formula>1</formula>
    </cfRule>
    <cfRule type="cellIs" dxfId="9523" priority="12315" operator="between">
      <formula>0.95</formula>
      <formula>1</formula>
    </cfRule>
    <cfRule type="cellIs" dxfId="9522" priority="12316" stopIfTrue="1" operator="between">
      <formula>0</formula>
      <formula>0.5</formula>
    </cfRule>
  </conditionalFormatting>
  <conditionalFormatting sqref="AC277">
    <cfRule type="cellIs" dxfId="9521" priority="12307" operator="between">
      <formula>0.56251</formula>
      <formula>0.7125</formula>
    </cfRule>
    <cfRule type="cellIs" dxfId="9520" priority="12308" operator="between">
      <formula>0.3751</formula>
      <formula>0.5625</formula>
    </cfRule>
    <cfRule type="cellIs" dxfId="9519" priority="12309" operator="greaterThan">
      <formula>0.751</formula>
    </cfRule>
    <cfRule type="cellIs" dxfId="9518" priority="12310" operator="between">
      <formula>0.71251</formula>
      <formula>0.75</formula>
    </cfRule>
    <cfRule type="cellIs" dxfId="9517" priority="12311" stopIfTrue="1" operator="between">
      <formula>0</formula>
      <formula>0.375</formula>
    </cfRule>
  </conditionalFormatting>
  <conditionalFormatting sqref="Y278:Y279 AF278:AI279 R278:R279">
    <cfRule type="cellIs" dxfId="9516" priority="12302" operator="between">
      <formula>0.76</formula>
      <formula>0.95</formula>
    </cfRule>
    <cfRule type="cellIs" dxfId="9515" priority="12303" operator="between">
      <formula>0.51</formula>
      <formula>0.75</formula>
    </cfRule>
    <cfRule type="cellIs" dxfId="9514" priority="12304" operator="greaterThan">
      <formula>1</formula>
    </cfRule>
    <cfRule type="cellIs" dxfId="9513" priority="12305" operator="between">
      <formula>0.95</formula>
      <formula>1</formula>
    </cfRule>
    <cfRule type="cellIs" dxfId="9512" priority="12306" stopIfTrue="1" operator="between">
      <formula>0</formula>
      <formula>0.5</formula>
    </cfRule>
  </conditionalFormatting>
  <conditionalFormatting sqref="T278:T279">
    <cfRule type="cellIs" dxfId="9511" priority="12297" operator="between">
      <formula>0.3751</formula>
      <formula>0.475</formula>
    </cfRule>
    <cfRule type="cellIs" dxfId="9510" priority="12298" operator="between">
      <formula>0.2551</formula>
      <formula>0.375</formula>
    </cfRule>
    <cfRule type="cellIs" dxfId="9509" priority="12299" operator="greaterThan">
      <formula>0.505</formula>
    </cfRule>
    <cfRule type="cellIs" dxfId="9508" priority="12300" operator="between">
      <formula>0.48</formula>
      <formula>0.5</formula>
    </cfRule>
    <cfRule type="cellIs" dxfId="9507" priority="12301" stopIfTrue="1" operator="between">
      <formula>0</formula>
      <formula>0.255</formula>
    </cfRule>
  </conditionalFormatting>
  <conditionalFormatting sqref="AA278:AB279">
    <cfRule type="cellIs" dxfId="9506" priority="12292" operator="between">
      <formula>0.56251</formula>
      <formula>0.7125</formula>
    </cfRule>
    <cfRule type="cellIs" dxfId="9505" priority="12293" operator="between">
      <formula>0.3751</formula>
      <formula>0.5625</formula>
    </cfRule>
    <cfRule type="cellIs" dxfId="9504" priority="12294" operator="greaterThan">
      <formula>0.751</formula>
    </cfRule>
    <cfRule type="cellIs" dxfId="9503" priority="12295" operator="between">
      <formula>0.71251</formula>
      <formula>0.75</formula>
    </cfRule>
    <cfRule type="cellIs" dxfId="9502" priority="12296" stopIfTrue="1" operator="between">
      <formula>0</formula>
      <formula>0.375</formula>
    </cfRule>
  </conditionalFormatting>
  <conditionalFormatting sqref="U278:U279">
    <cfRule type="cellIs" dxfId="9501" priority="12282" operator="between">
      <formula>0.376</formula>
      <formula>0.475</formula>
    </cfRule>
    <cfRule type="cellIs" dxfId="9500" priority="12283" operator="between">
      <formula>0.2551</formula>
      <formula>0.3751</formula>
    </cfRule>
    <cfRule type="cellIs" dxfId="9499" priority="12284" operator="greaterThan">
      <formula>0.505</formula>
    </cfRule>
    <cfRule type="cellIs" dxfId="9498" priority="12285" operator="between">
      <formula>0.48</formula>
      <formula>0.5</formula>
    </cfRule>
    <cfRule type="cellIs" dxfId="9497" priority="12286" stopIfTrue="1" operator="between">
      <formula>0</formula>
      <formula>0.255</formula>
    </cfRule>
  </conditionalFormatting>
  <conditionalFormatting sqref="S278:S279">
    <cfRule type="cellIs" dxfId="9496" priority="12274" operator="between">
      <formula>0.76</formula>
      <formula>0.95</formula>
    </cfRule>
    <cfRule type="cellIs" dxfId="9495" priority="12275" operator="between">
      <formula>0.51</formula>
      <formula>0.75</formula>
    </cfRule>
    <cfRule type="cellIs" dxfId="9494" priority="12276" operator="greaterThan">
      <formula>1</formula>
    </cfRule>
    <cfRule type="cellIs" dxfId="9493" priority="12277" operator="between">
      <formula>0.95</formula>
      <formula>1</formula>
    </cfRule>
    <cfRule type="cellIs" dxfId="9492" priority="12278" stopIfTrue="1" operator="between">
      <formula>0</formula>
      <formula>0.5</formula>
    </cfRule>
  </conditionalFormatting>
  <conditionalFormatting sqref="V278:V279">
    <cfRule type="cellIs" dxfId="9491" priority="12269" operator="between">
      <formula>0.376</formula>
      <formula>0.475</formula>
    </cfRule>
    <cfRule type="cellIs" dxfId="9490" priority="12270" operator="between">
      <formula>0.2551</formula>
      <formula>0.3751</formula>
    </cfRule>
    <cfRule type="cellIs" dxfId="9489" priority="12271" operator="greaterThan">
      <formula>0.505</formula>
    </cfRule>
    <cfRule type="cellIs" dxfId="9488" priority="12272" operator="between">
      <formula>0.48</formula>
      <formula>0.5</formula>
    </cfRule>
    <cfRule type="cellIs" dxfId="9487" priority="12273" stopIfTrue="1" operator="between">
      <formula>0</formula>
      <formula>0.255</formula>
    </cfRule>
  </conditionalFormatting>
  <conditionalFormatting sqref="Z278:Z279">
    <cfRule type="cellIs" dxfId="9486" priority="12264" operator="between">
      <formula>0.76</formula>
      <formula>0.95</formula>
    </cfRule>
    <cfRule type="cellIs" dxfId="9485" priority="12265" operator="between">
      <formula>0.51</formula>
      <formula>0.75</formula>
    </cfRule>
    <cfRule type="cellIs" dxfId="9484" priority="12266" operator="greaterThan">
      <formula>1</formula>
    </cfRule>
    <cfRule type="cellIs" dxfId="9483" priority="12267" operator="between">
      <formula>0.95</formula>
      <formula>1</formula>
    </cfRule>
    <cfRule type="cellIs" dxfId="9482" priority="12268" stopIfTrue="1" operator="between">
      <formula>0</formula>
      <formula>0.5</formula>
    </cfRule>
  </conditionalFormatting>
  <conditionalFormatting sqref="AC278:AC279">
    <cfRule type="cellIs" dxfId="9481" priority="12259" operator="between">
      <formula>0.56251</formula>
      <formula>0.7125</formula>
    </cfRule>
    <cfRule type="cellIs" dxfId="9480" priority="12260" operator="between">
      <formula>0.3751</formula>
      <formula>0.5625</formula>
    </cfRule>
    <cfRule type="cellIs" dxfId="9479" priority="12261" operator="greaterThan">
      <formula>0.751</formula>
    </cfRule>
    <cfRule type="cellIs" dxfId="9478" priority="12262" operator="between">
      <formula>0.71251</formula>
      <formula>0.75</formula>
    </cfRule>
    <cfRule type="cellIs" dxfId="9477" priority="12263" stopIfTrue="1" operator="between">
      <formula>0</formula>
      <formula>0.375</formula>
    </cfRule>
  </conditionalFormatting>
  <conditionalFormatting sqref="R184 Y184 AF184:AI184">
    <cfRule type="cellIs" dxfId="9476" priority="12254" operator="between">
      <formula>0.76</formula>
      <formula>0.95</formula>
    </cfRule>
    <cfRule type="cellIs" dxfId="9475" priority="12255" operator="between">
      <formula>0.51</formula>
      <formula>0.75</formula>
    </cfRule>
    <cfRule type="cellIs" dxfId="9474" priority="12256" operator="greaterThan">
      <formula>1</formula>
    </cfRule>
    <cfRule type="cellIs" dxfId="9473" priority="12257" operator="between">
      <formula>0.95</formula>
      <formula>1</formula>
    </cfRule>
    <cfRule type="cellIs" dxfId="9472" priority="12258" stopIfTrue="1" operator="between">
      <formula>0</formula>
      <formula>0.5</formula>
    </cfRule>
  </conditionalFormatting>
  <conditionalFormatting sqref="T184">
    <cfRule type="cellIs" dxfId="9471" priority="12249" operator="between">
      <formula>0.3751</formula>
      <formula>0.475</formula>
    </cfRule>
    <cfRule type="cellIs" dxfId="9470" priority="12250" operator="between">
      <formula>0.2551</formula>
      <formula>0.375</formula>
    </cfRule>
    <cfRule type="cellIs" dxfId="9469" priority="12251" operator="greaterThan">
      <formula>0.505</formula>
    </cfRule>
    <cfRule type="cellIs" dxfId="9468" priority="12252" operator="between">
      <formula>0.48</formula>
      <formula>0.5</formula>
    </cfRule>
    <cfRule type="cellIs" dxfId="9467" priority="12253" stopIfTrue="1" operator="between">
      <formula>0</formula>
      <formula>0.255</formula>
    </cfRule>
  </conditionalFormatting>
  <conditionalFormatting sqref="AA184:AB184">
    <cfRule type="cellIs" dxfId="9466" priority="12244" operator="between">
      <formula>0.56251</formula>
      <formula>0.7125</formula>
    </cfRule>
    <cfRule type="cellIs" dxfId="9465" priority="12245" operator="between">
      <formula>0.3751</formula>
      <formula>0.5625</formula>
    </cfRule>
    <cfRule type="cellIs" dxfId="9464" priority="12246" operator="greaterThan">
      <formula>0.751</formula>
    </cfRule>
    <cfRule type="cellIs" dxfId="9463" priority="12247" operator="between">
      <formula>0.71251</formula>
      <formula>0.75</formula>
    </cfRule>
    <cfRule type="cellIs" dxfId="9462" priority="12248" stopIfTrue="1" operator="between">
      <formula>0</formula>
      <formula>0.375</formula>
    </cfRule>
  </conditionalFormatting>
  <conditionalFormatting sqref="U184">
    <cfRule type="cellIs" dxfId="9461" priority="12234" operator="between">
      <formula>0.376</formula>
      <formula>0.475</formula>
    </cfRule>
    <cfRule type="cellIs" dxfId="9460" priority="12235" operator="between">
      <formula>0.2551</formula>
      <formula>0.3751</formula>
    </cfRule>
    <cfRule type="cellIs" dxfId="9459" priority="12236" operator="greaterThan">
      <formula>0.505</formula>
    </cfRule>
    <cfRule type="cellIs" dxfId="9458" priority="12237" operator="between">
      <formula>0.48</formula>
      <formula>0.5</formula>
    </cfRule>
    <cfRule type="cellIs" dxfId="9457" priority="12238" stopIfTrue="1" operator="between">
      <formula>0</formula>
      <formula>0.255</formula>
    </cfRule>
  </conditionalFormatting>
  <conditionalFormatting sqref="S184">
    <cfRule type="cellIs" dxfId="9456" priority="12211" operator="between">
      <formula>0.76</formula>
      <formula>0.95</formula>
    </cfRule>
    <cfRule type="cellIs" dxfId="9455" priority="12212" operator="between">
      <formula>0.51</formula>
      <formula>0.75</formula>
    </cfRule>
    <cfRule type="cellIs" dxfId="9454" priority="12213" operator="greaterThan">
      <formula>1</formula>
    </cfRule>
    <cfRule type="cellIs" dxfId="9453" priority="12214" operator="between">
      <formula>0.95</formula>
      <formula>1</formula>
    </cfRule>
    <cfRule type="cellIs" dxfId="9452" priority="12215" stopIfTrue="1" operator="between">
      <formula>0</formula>
      <formula>0.5</formula>
    </cfRule>
  </conditionalFormatting>
  <conditionalFormatting sqref="V184">
    <cfRule type="cellIs" dxfId="9451" priority="12206" operator="between">
      <formula>0.376</formula>
      <formula>0.475</formula>
    </cfRule>
    <cfRule type="cellIs" dxfId="9450" priority="12207" operator="between">
      <formula>0.2551</formula>
      <formula>0.3751</formula>
    </cfRule>
    <cfRule type="cellIs" dxfId="9449" priority="12208" operator="greaterThan">
      <formula>0.505</formula>
    </cfRule>
    <cfRule type="cellIs" dxfId="9448" priority="12209" operator="between">
      <formula>0.48</formula>
      <formula>0.5</formula>
    </cfRule>
    <cfRule type="cellIs" dxfId="9447" priority="12210" stopIfTrue="1" operator="between">
      <formula>0</formula>
      <formula>0.255</formula>
    </cfRule>
  </conditionalFormatting>
  <conditionalFormatting sqref="AC184">
    <cfRule type="cellIs" dxfId="9446" priority="12201" operator="between">
      <formula>0.56251</formula>
      <formula>0.7125</formula>
    </cfRule>
    <cfRule type="cellIs" dxfId="9445" priority="12202" operator="between">
      <formula>0.3751</formula>
      <formula>0.5625</formula>
    </cfRule>
    <cfRule type="cellIs" dxfId="9444" priority="12203" operator="greaterThan">
      <formula>0.751</formula>
    </cfRule>
    <cfRule type="cellIs" dxfId="9443" priority="12204" operator="between">
      <formula>0.71251</formula>
      <formula>0.75</formula>
    </cfRule>
    <cfRule type="cellIs" dxfId="9442" priority="12205" stopIfTrue="1" operator="between">
      <formula>0</formula>
      <formula>0.375</formula>
    </cfRule>
  </conditionalFormatting>
  <conditionalFormatting sqref="Y280 AF280:AI280 R280">
    <cfRule type="cellIs" dxfId="9441" priority="12138" operator="between">
      <formula>0.76</formula>
      <formula>0.95</formula>
    </cfRule>
    <cfRule type="cellIs" dxfId="9440" priority="12139" operator="between">
      <formula>0.51</formula>
      <formula>0.75</formula>
    </cfRule>
    <cfRule type="cellIs" dxfId="9439" priority="12140" operator="greaterThan">
      <formula>1</formula>
    </cfRule>
    <cfRule type="cellIs" dxfId="9438" priority="12141" operator="between">
      <formula>0.95</formula>
      <formula>1</formula>
    </cfRule>
    <cfRule type="cellIs" dxfId="9437" priority="12142" stopIfTrue="1" operator="between">
      <formula>0</formula>
      <formula>0.5</formula>
    </cfRule>
  </conditionalFormatting>
  <conditionalFormatting sqref="T280">
    <cfRule type="cellIs" dxfId="9436" priority="12133" operator="between">
      <formula>0.3751</formula>
      <formula>0.475</formula>
    </cfRule>
    <cfRule type="cellIs" dxfId="9435" priority="12134" operator="between">
      <formula>0.2551</formula>
      <formula>0.375</formula>
    </cfRule>
    <cfRule type="cellIs" dxfId="9434" priority="12135" operator="greaterThan">
      <formula>0.505</formula>
    </cfRule>
    <cfRule type="cellIs" dxfId="9433" priority="12136" operator="between">
      <formula>0.48</formula>
      <formula>0.5</formula>
    </cfRule>
    <cfRule type="cellIs" dxfId="9432" priority="12137" stopIfTrue="1" operator="between">
      <formula>0</formula>
      <formula>0.255</formula>
    </cfRule>
  </conditionalFormatting>
  <conditionalFormatting sqref="AA280:AB280">
    <cfRule type="cellIs" dxfId="9431" priority="12128" operator="between">
      <formula>0.56251</formula>
      <formula>0.7125</formula>
    </cfRule>
    <cfRule type="cellIs" dxfId="9430" priority="12129" operator="between">
      <formula>0.3751</formula>
      <formula>0.5625</formula>
    </cfRule>
    <cfRule type="cellIs" dxfId="9429" priority="12130" operator="greaterThan">
      <formula>0.751</formula>
    </cfRule>
    <cfRule type="cellIs" dxfId="9428" priority="12131" operator="between">
      <formula>0.71251</formula>
      <formula>0.75</formula>
    </cfRule>
    <cfRule type="cellIs" dxfId="9427" priority="12132" stopIfTrue="1" operator="between">
      <formula>0</formula>
      <formula>0.375</formula>
    </cfRule>
  </conditionalFormatting>
  <conditionalFormatting sqref="U280">
    <cfRule type="cellIs" dxfId="9426" priority="12118" operator="between">
      <formula>0.376</formula>
      <formula>0.475</formula>
    </cfRule>
    <cfRule type="cellIs" dxfId="9425" priority="12119" operator="between">
      <formula>0.2551</formula>
      <formula>0.3751</formula>
    </cfRule>
    <cfRule type="cellIs" dxfId="9424" priority="12120" operator="greaterThan">
      <formula>0.505</formula>
    </cfRule>
    <cfRule type="cellIs" dxfId="9423" priority="12121" operator="between">
      <formula>0.48</formula>
      <formula>0.5</formula>
    </cfRule>
    <cfRule type="cellIs" dxfId="9422" priority="12122" stopIfTrue="1" operator="between">
      <formula>0</formula>
      <formula>0.255</formula>
    </cfRule>
  </conditionalFormatting>
  <conditionalFormatting sqref="S280">
    <cfRule type="cellIs" dxfId="9421" priority="12110" operator="between">
      <formula>0.76</formula>
      <formula>0.95</formula>
    </cfRule>
    <cfRule type="cellIs" dxfId="9420" priority="12111" operator="between">
      <formula>0.51</formula>
      <formula>0.75</formula>
    </cfRule>
    <cfRule type="cellIs" dxfId="9419" priority="12112" operator="greaterThan">
      <formula>1</formula>
    </cfRule>
    <cfRule type="cellIs" dxfId="9418" priority="12113" operator="between">
      <formula>0.95</formula>
      <formula>1</formula>
    </cfRule>
    <cfRule type="cellIs" dxfId="9417" priority="12114" stopIfTrue="1" operator="between">
      <formula>0</formula>
      <formula>0.5</formula>
    </cfRule>
  </conditionalFormatting>
  <conditionalFormatting sqref="Z280">
    <cfRule type="cellIs" dxfId="9416" priority="12100" operator="between">
      <formula>0.76</formula>
      <formula>0.95</formula>
    </cfRule>
    <cfRule type="cellIs" dxfId="9415" priority="12101" operator="between">
      <formula>0.51</formula>
      <formula>0.75</formula>
    </cfRule>
    <cfRule type="cellIs" dxfId="9414" priority="12102" operator="greaterThan">
      <formula>1</formula>
    </cfRule>
    <cfRule type="cellIs" dxfId="9413" priority="12103" operator="between">
      <formula>0.95</formula>
      <formula>1</formula>
    </cfRule>
    <cfRule type="cellIs" dxfId="9412" priority="12104" stopIfTrue="1" operator="between">
      <formula>0</formula>
      <formula>0.5</formula>
    </cfRule>
  </conditionalFormatting>
  <conditionalFormatting sqref="AC280">
    <cfRule type="cellIs" dxfId="9411" priority="12095" operator="between">
      <formula>0.56251</formula>
      <formula>0.7125</formula>
    </cfRule>
    <cfRule type="cellIs" dxfId="9410" priority="12096" operator="between">
      <formula>0.3751</formula>
      <formula>0.5625</formula>
    </cfRule>
    <cfRule type="cellIs" dxfId="9409" priority="12097" operator="greaterThan">
      <formula>0.751</formula>
    </cfRule>
    <cfRule type="cellIs" dxfId="9408" priority="12098" operator="between">
      <formula>0.71251</formula>
      <formula>0.75</formula>
    </cfRule>
    <cfRule type="cellIs" dxfId="9407" priority="12099" stopIfTrue="1" operator="between">
      <formula>0</formula>
      <formula>0.375</formula>
    </cfRule>
  </conditionalFormatting>
  <conditionalFormatting sqref="V280">
    <cfRule type="cellIs" dxfId="9406" priority="12070" operator="between">
      <formula>0.376</formula>
      <formula>0.475</formula>
    </cfRule>
    <cfRule type="cellIs" dxfId="9405" priority="12071" operator="between">
      <formula>0.2551</formula>
      <formula>0.3751</formula>
    </cfRule>
    <cfRule type="cellIs" dxfId="9404" priority="12072" operator="greaterThan">
      <formula>0.505</formula>
    </cfRule>
    <cfRule type="cellIs" dxfId="9403" priority="12073" operator="between">
      <formula>0.48</formula>
      <formula>0.5</formula>
    </cfRule>
    <cfRule type="cellIs" dxfId="9402" priority="12074" stopIfTrue="1" operator="between">
      <formula>0</formula>
      <formula>0.255</formula>
    </cfRule>
  </conditionalFormatting>
  <conditionalFormatting sqref="AI357">
    <cfRule type="cellIs" dxfId="9401" priority="12065" operator="between">
      <formula>0.76</formula>
      <formula>0.95</formula>
    </cfRule>
    <cfRule type="cellIs" dxfId="9400" priority="12066" operator="between">
      <formula>0.51</formula>
      <formula>0.75</formula>
    </cfRule>
    <cfRule type="cellIs" dxfId="9399" priority="12067" operator="greaterThan">
      <formula>1</formula>
    </cfRule>
    <cfRule type="cellIs" dxfId="9398" priority="12068" operator="between">
      <formula>0.95</formula>
      <formula>1</formula>
    </cfRule>
    <cfRule type="cellIs" dxfId="9397" priority="12069" stopIfTrue="1" operator="between">
      <formula>0</formula>
      <formula>0.5</formula>
    </cfRule>
  </conditionalFormatting>
  <conditionalFormatting sqref="R357">
    <cfRule type="cellIs" dxfId="9396" priority="12055" operator="between">
      <formula>0.76</formula>
      <formula>0.95</formula>
    </cfRule>
    <cfRule type="cellIs" dxfId="9395" priority="12056" operator="between">
      <formula>0.51</formula>
      <formula>0.75</formula>
    </cfRule>
    <cfRule type="cellIs" dxfId="9394" priority="12057" operator="greaterThan">
      <formula>1</formula>
    </cfRule>
    <cfRule type="cellIs" dxfId="9393" priority="12058" operator="between">
      <formula>0.95</formula>
      <formula>1</formula>
    </cfRule>
    <cfRule type="cellIs" dxfId="9392" priority="12059" stopIfTrue="1" operator="between">
      <formula>0</formula>
      <formula>0.5</formula>
    </cfRule>
  </conditionalFormatting>
  <conditionalFormatting sqref="Y357">
    <cfRule type="cellIs" dxfId="9391" priority="12050" operator="between">
      <formula>0.76</formula>
      <formula>0.95</formula>
    </cfRule>
    <cfRule type="cellIs" dxfId="9390" priority="12051" operator="between">
      <formula>0.51</formula>
      <formula>0.75</formula>
    </cfRule>
    <cfRule type="cellIs" dxfId="9389" priority="12052" operator="greaterThan">
      <formula>1</formula>
    </cfRule>
    <cfRule type="cellIs" dxfId="9388" priority="12053" operator="between">
      <formula>0.95</formula>
      <formula>1</formula>
    </cfRule>
    <cfRule type="cellIs" dxfId="9387" priority="12054" stopIfTrue="1" operator="between">
      <formula>0</formula>
      <formula>0.5</formula>
    </cfRule>
  </conditionalFormatting>
  <conditionalFormatting sqref="AF357">
    <cfRule type="cellIs" dxfId="9386" priority="12045" operator="between">
      <formula>0.76</formula>
      <formula>0.95</formula>
    </cfRule>
    <cfRule type="cellIs" dxfId="9385" priority="12046" operator="between">
      <formula>0.51</formula>
      <formula>0.75</formula>
    </cfRule>
    <cfRule type="cellIs" dxfId="9384" priority="12047" operator="greaterThan">
      <formula>1</formula>
    </cfRule>
    <cfRule type="cellIs" dxfId="9383" priority="12048" operator="between">
      <formula>0.95</formula>
      <formula>1</formula>
    </cfRule>
    <cfRule type="cellIs" dxfId="9382" priority="12049" stopIfTrue="1" operator="between">
      <formula>0</formula>
      <formula>0.5</formula>
    </cfRule>
  </conditionalFormatting>
  <conditionalFormatting sqref="AH357">
    <cfRule type="cellIs" dxfId="9381" priority="12040" operator="between">
      <formula>0.76</formula>
      <formula>0.95</formula>
    </cfRule>
    <cfRule type="cellIs" dxfId="9380" priority="12041" operator="between">
      <formula>0.51</formula>
      <formula>0.75</formula>
    </cfRule>
    <cfRule type="cellIs" dxfId="9379" priority="12042" operator="greaterThan">
      <formula>1</formula>
    </cfRule>
    <cfRule type="cellIs" dxfId="9378" priority="12043" operator="between">
      <formula>0.95</formula>
      <formula>1</formula>
    </cfRule>
    <cfRule type="cellIs" dxfId="9377" priority="12044" stopIfTrue="1" operator="between">
      <formula>0</formula>
      <formula>0.5</formula>
    </cfRule>
  </conditionalFormatting>
  <conditionalFormatting sqref="T357">
    <cfRule type="cellIs" dxfId="9376" priority="12025" operator="between">
      <formula>0.3751</formula>
      <formula>0.475</formula>
    </cfRule>
    <cfRule type="cellIs" dxfId="9375" priority="12026" operator="between">
      <formula>0.2551</formula>
      <formula>0.375</formula>
    </cfRule>
    <cfRule type="cellIs" dxfId="9374" priority="12027" operator="greaterThan">
      <formula>0.505</formula>
    </cfRule>
    <cfRule type="cellIs" dxfId="9373" priority="12028" operator="between">
      <formula>0.48</formula>
      <formula>0.5</formula>
    </cfRule>
    <cfRule type="cellIs" dxfId="9372" priority="12029" stopIfTrue="1" operator="between">
      <formula>0</formula>
      <formula>0.255</formula>
    </cfRule>
  </conditionalFormatting>
  <conditionalFormatting sqref="U357">
    <cfRule type="cellIs" dxfId="9371" priority="12020" operator="between">
      <formula>0.376</formula>
      <formula>0.475</formula>
    </cfRule>
    <cfRule type="cellIs" dxfId="9370" priority="12021" operator="between">
      <formula>0.2551</formula>
      <formula>0.3751</formula>
    </cfRule>
    <cfRule type="cellIs" dxfId="9369" priority="12022" operator="greaterThan">
      <formula>0.505</formula>
    </cfRule>
    <cfRule type="cellIs" dxfId="9368" priority="12023" operator="between">
      <formula>0.48</formula>
      <formula>0.5</formula>
    </cfRule>
    <cfRule type="cellIs" dxfId="9367" priority="12024" stopIfTrue="1" operator="between">
      <formula>0</formula>
      <formula>0.255</formula>
    </cfRule>
  </conditionalFormatting>
  <conditionalFormatting sqref="AA357">
    <cfRule type="cellIs" dxfId="9366" priority="12015" operator="between">
      <formula>0.56251</formula>
      <formula>0.7125</formula>
    </cfRule>
    <cfRule type="cellIs" dxfId="9365" priority="12016" operator="between">
      <formula>0.3751</formula>
      <formula>0.5625</formula>
    </cfRule>
    <cfRule type="cellIs" dxfId="9364" priority="12017" operator="greaterThan">
      <formula>0.751</formula>
    </cfRule>
    <cfRule type="cellIs" dxfId="9363" priority="12018" operator="between">
      <formula>0.71251</formula>
      <formula>0.75</formula>
    </cfRule>
    <cfRule type="cellIs" dxfId="9362" priority="12019" stopIfTrue="1" operator="between">
      <formula>0</formula>
      <formula>0.375</formula>
    </cfRule>
  </conditionalFormatting>
  <conditionalFormatting sqref="AB357">
    <cfRule type="cellIs" dxfId="9361" priority="12005" operator="between">
      <formula>0.56251</formula>
      <formula>0.7125</formula>
    </cfRule>
    <cfRule type="cellIs" dxfId="9360" priority="12006" operator="between">
      <formula>0.3751</formula>
      <formula>0.5625</formula>
    </cfRule>
    <cfRule type="cellIs" dxfId="9359" priority="12007" operator="greaterThan">
      <formula>0.751</formula>
    </cfRule>
    <cfRule type="cellIs" dxfId="9358" priority="12008" operator="between">
      <formula>0.71251</formula>
      <formula>0.75</formula>
    </cfRule>
    <cfRule type="cellIs" dxfId="9357" priority="12009" stopIfTrue="1" operator="between">
      <formula>0</formula>
      <formula>0.375</formula>
    </cfRule>
  </conditionalFormatting>
  <conditionalFormatting sqref="S357">
    <cfRule type="cellIs" dxfId="9356" priority="11958" operator="between">
      <formula>0.76</formula>
      <formula>0.95</formula>
    </cfRule>
    <cfRule type="cellIs" dxfId="9355" priority="11959" operator="between">
      <formula>0.51</formula>
      <formula>0.75</formula>
    </cfRule>
    <cfRule type="cellIs" dxfId="9354" priority="11960" operator="greaterThan">
      <formula>1</formula>
    </cfRule>
    <cfRule type="cellIs" dxfId="9353" priority="11961" operator="between">
      <formula>0.95</formula>
      <formula>1</formula>
    </cfRule>
    <cfRule type="cellIs" dxfId="9352" priority="11962" stopIfTrue="1" operator="between">
      <formula>0</formula>
      <formula>0.5</formula>
    </cfRule>
  </conditionalFormatting>
  <conditionalFormatting sqref="AG357">
    <cfRule type="cellIs" dxfId="9351" priority="11973" operator="between">
      <formula>0.76</formula>
      <formula>0.95</formula>
    </cfRule>
    <cfRule type="cellIs" dxfId="9350" priority="11974" operator="between">
      <formula>0.51</formula>
      <formula>0.75</formula>
    </cfRule>
    <cfRule type="cellIs" dxfId="9349" priority="11975" operator="greaterThan">
      <formula>1</formula>
    </cfRule>
    <cfRule type="cellIs" dxfId="9348" priority="11976" operator="between">
      <formula>0.95</formula>
      <formula>1</formula>
    </cfRule>
    <cfRule type="cellIs" dxfId="9347" priority="11977" stopIfTrue="1" operator="between">
      <formula>0</formula>
      <formula>0.5</formula>
    </cfRule>
  </conditionalFormatting>
  <conditionalFormatting sqref="V357">
    <cfRule type="cellIs" dxfId="9346" priority="11953" operator="between">
      <formula>0.376</formula>
      <formula>0.475</formula>
    </cfRule>
    <cfRule type="cellIs" dxfId="9345" priority="11954" operator="between">
      <formula>0.2551</formula>
      <formula>0.3751</formula>
    </cfRule>
    <cfRule type="cellIs" dxfId="9344" priority="11955" operator="greaterThan">
      <formula>0.505</formula>
    </cfRule>
    <cfRule type="cellIs" dxfId="9343" priority="11956" operator="between">
      <formula>0.48</formula>
      <formula>0.5</formula>
    </cfRule>
    <cfRule type="cellIs" dxfId="9342" priority="11957" stopIfTrue="1" operator="between">
      <formula>0</formula>
      <formula>0.255</formula>
    </cfRule>
  </conditionalFormatting>
  <conditionalFormatting sqref="Z357">
    <cfRule type="cellIs" dxfId="9341" priority="11948" operator="between">
      <formula>0.76</formula>
      <formula>0.95</formula>
    </cfRule>
    <cfRule type="cellIs" dxfId="9340" priority="11949" operator="between">
      <formula>0.51</formula>
      <formula>0.75</formula>
    </cfRule>
    <cfRule type="cellIs" dxfId="9339" priority="11950" operator="greaterThan">
      <formula>1</formula>
    </cfRule>
    <cfRule type="cellIs" dxfId="9338" priority="11951" operator="between">
      <formula>0.95</formula>
      <formula>1</formula>
    </cfRule>
    <cfRule type="cellIs" dxfId="9337" priority="11952" stopIfTrue="1" operator="between">
      <formula>0</formula>
      <formula>0.5</formula>
    </cfRule>
  </conditionalFormatting>
  <conditionalFormatting sqref="AC357">
    <cfRule type="cellIs" dxfId="9336" priority="11943" operator="between">
      <formula>0.56251</formula>
      <formula>0.7125</formula>
    </cfRule>
    <cfRule type="cellIs" dxfId="9335" priority="11944" operator="between">
      <formula>0.3751</formula>
      <formula>0.5625</formula>
    </cfRule>
    <cfRule type="cellIs" dxfId="9334" priority="11945" operator="greaterThan">
      <formula>0.751</formula>
    </cfRule>
    <cfRule type="cellIs" dxfId="9333" priority="11946" operator="between">
      <formula>0.71251</formula>
      <formula>0.75</formula>
    </cfRule>
    <cfRule type="cellIs" dxfId="9332" priority="11947" stopIfTrue="1" operator="between">
      <formula>0</formula>
      <formula>0.375</formula>
    </cfRule>
  </conditionalFormatting>
  <conditionalFormatting sqref="R185 Y185 AF185 AH185:AI185">
    <cfRule type="cellIs" dxfId="9331" priority="11938" operator="between">
      <formula>0.76</formula>
      <formula>0.95</formula>
    </cfRule>
    <cfRule type="cellIs" dxfId="9330" priority="11939" operator="between">
      <formula>0.51</formula>
      <formula>0.75</formula>
    </cfRule>
    <cfRule type="cellIs" dxfId="9329" priority="11940" operator="greaterThan">
      <formula>1</formula>
    </cfRule>
    <cfRule type="cellIs" dxfId="9328" priority="11941" operator="between">
      <formula>0.95</formula>
      <formula>1</formula>
    </cfRule>
    <cfRule type="cellIs" dxfId="9327" priority="11942" stopIfTrue="1" operator="between">
      <formula>0</formula>
      <formula>0.5</formula>
    </cfRule>
  </conditionalFormatting>
  <conditionalFormatting sqref="T185">
    <cfRule type="cellIs" dxfId="9326" priority="11933" operator="between">
      <formula>0.3751</formula>
      <formula>0.475</formula>
    </cfRule>
    <cfRule type="cellIs" dxfId="9325" priority="11934" operator="between">
      <formula>0.2551</formula>
      <formula>0.375</formula>
    </cfRule>
    <cfRule type="cellIs" dxfId="9324" priority="11935" operator="greaterThan">
      <formula>0.505</formula>
    </cfRule>
    <cfRule type="cellIs" dxfId="9323" priority="11936" operator="between">
      <formula>0.48</formula>
      <formula>0.5</formula>
    </cfRule>
    <cfRule type="cellIs" dxfId="9322" priority="11937" stopIfTrue="1" operator="between">
      <formula>0</formula>
      <formula>0.255</formula>
    </cfRule>
  </conditionalFormatting>
  <conditionalFormatting sqref="AA185:AB185">
    <cfRule type="cellIs" dxfId="9321" priority="11928" operator="between">
      <formula>0.56251</formula>
      <formula>0.7125</formula>
    </cfRule>
    <cfRule type="cellIs" dxfId="9320" priority="11929" operator="between">
      <formula>0.3751</formula>
      <formula>0.5625</formula>
    </cfRule>
    <cfRule type="cellIs" dxfId="9319" priority="11930" operator="greaterThan">
      <formula>0.751</formula>
    </cfRule>
    <cfRule type="cellIs" dxfId="9318" priority="11931" operator="between">
      <formula>0.71251</formula>
      <formula>0.75</formula>
    </cfRule>
    <cfRule type="cellIs" dxfId="9317" priority="11932" stopIfTrue="1" operator="between">
      <formula>0</formula>
      <formula>0.375</formula>
    </cfRule>
  </conditionalFormatting>
  <conditionalFormatting sqref="U185">
    <cfRule type="cellIs" dxfId="9316" priority="11918" operator="between">
      <formula>0.376</formula>
      <formula>0.475</formula>
    </cfRule>
    <cfRule type="cellIs" dxfId="9315" priority="11919" operator="between">
      <formula>0.2551</formula>
      <formula>0.3751</formula>
    </cfRule>
    <cfRule type="cellIs" dxfId="9314" priority="11920" operator="greaterThan">
      <formula>0.505</formula>
    </cfRule>
    <cfRule type="cellIs" dxfId="9313" priority="11921" operator="between">
      <formula>0.48</formula>
      <formula>0.5</formula>
    </cfRule>
    <cfRule type="cellIs" dxfId="9312" priority="11922" stopIfTrue="1" operator="between">
      <formula>0</formula>
      <formula>0.255</formula>
    </cfRule>
  </conditionalFormatting>
  <conditionalFormatting sqref="S185">
    <cfRule type="cellIs" dxfId="9311" priority="11895" operator="between">
      <formula>0.76</formula>
      <formula>0.95</formula>
    </cfRule>
    <cfRule type="cellIs" dxfId="9310" priority="11896" operator="between">
      <formula>0.51</formula>
      <formula>0.75</formula>
    </cfRule>
    <cfRule type="cellIs" dxfId="9309" priority="11897" operator="greaterThan">
      <formula>1</formula>
    </cfRule>
    <cfRule type="cellIs" dxfId="9308" priority="11898" operator="between">
      <formula>0.95</formula>
      <formula>1</formula>
    </cfRule>
    <cfRule type="cellIs" dxfId="9307" priority="11899" stopIfTrue="1" operator="between">
      <formula>0</formula>
      <formula>0.5</formula>
    </cfRule>
  </conditionalFormatting>
  <conditionalFormatting sqref="V185">
    <cfRule type="cellIs" dxfId="9306" priority="11890" operator="between">
      <formula>0.376</formula>
      <formula>0.475</formula>
    </cfRule>
    <cfRule type="cellIs" dxfId="9305" priority="11891" operator="between">
      <formula>0.2551</formula>
      <formula>0.3751</formula>
    </cfRule>
    <cfRule type="cellIs" dxfId="9304" priority="11892" operator="greaterThan">
      <formula>0.505</formula>
    </cfRule>
    <cfRule type="cellIs" dxfId="9303" priority="11893" operator="between">
      <formula>0.48</formula>
      <formula>0.5</formula>
    </cfRule>
    <cfRule type="cellIs" dxfId="9302" priority="11894" stopIfTrue="1" operator="between">
      <formula>0</formula>
      <formula>0.255</formula>
    </cfRule>
  </conditionalFormatting>
  <conditionalFormatting sqref="AC185">
    <cfRule type="cellIs" dxfId="9301" priority="11885" operator="between">
      <formula>0.56251</formula>
      <formula>0.7125</formula>
    </cfRule>
    <cfRule type="cellIs" dxfId="9300" priority="11886" operator="between">
      <formula>0.3751</formula>
      <formula>0.5625</formula>
    </cfRule>
    <cfRule type="cellIs" dxfId="9299" priority="11887" operator="greaterThan">
      <formula>0.751</formula>
    </cfRule>
    <cfRule type="cellIs" dxfId="9298" priority="11888" operator="between">
      <formula>0.71251</formula>
      <formula>0.75</formula>
    </cfRule>
    <cfRule type="cellIs" dxfId="9297" priority="11889" stopIfTrue="1" operator="between">
      <formula>0</formula>
      <formula>0.375</formula>
    </cfRule>
  </conditionalFormatting>
  <conditionalFormatting sqref="R187 Y187 AF187 AH187:AI187">
    <cfRule type="cellIs" dxfId="9296" priority="11880" operator="between">
      <formula>0.76</formula>
      <formula>0.95</formula>
    </cfRule>
    <cfRule type="cellIs" dxfId="9295" priority="11881" operator="between">
      <formula>0.51</formula>
      <formula>0.75</formula>
    </cfRule>
    <cfRule type="cellIs" dxfId="9294" priority="11882" operator="greaterThan">
      <formula>1</formula>
    </cfRule>
    <cfRule type="cellIs" dxfId="9293" priority="11883" operator="between">
      <formula>0.95</formula>
      <formula>1</formula>
    </cfRule>
    <cfRule type="cellIs" dxfId="9292" priority="11884" stopIfTrue="1" operator="between">
      <formula>0</formula>
      <formula>0.5</formula>
    </cfRule>
  </conditionalFormatting>
  <conditionalFormatting sqref="T187">
    <cfRule type="cellIs" dxfId="9291" priority="11875" operator="between">
      <formula>0.3751</formula>
      <formula>0.475</formula>
    </cfRule>
    <cfRule type="cellIs" dxfId="9290" priority="11876" operator="between">
      <formula>0.2551</formula>
      <formula>0.375</formula>
    </cfRule>
    <cfRule type="cellIs" dxfId="9289" priority="11877" operator="greaterThan">
      <formula>0.505</formula>
    </cfRule>
    <cfRule type="cellIs" dxfId="9288" priority="11878" operator="between">
      <formula>0.48</formula>
      <formula>0.5</formula>
    </cfRule>
    <cfRule type="cellIs" dxfId="9287" priority="11879" stopIfTrue="1" operator="between">
      <formula>0</formula>
      <formula>0.255</formula>
    </cfRule>
  </conditionalFormatting>
  <conditionalFormatting sqref="AA187:AB187">
    <cfRule type="cellIs" dxfId="9286" priority="11870" operator="between">
      <formula>0.56251</formula>
      <formula>0.7125</formula>
    </cfRule>
    <cfRule type="cellIs" dxfId="9285" priority="11871" operator="between">
      <formula>0.3751</formula>
      <formula>0.5625</formula>
    </cfRule>
    <cfRule type="cellIs" dxfId="9284" priority="11872" operator="greaterThan">
      <formula>0.751</formula>
    </cfRule>
    <cfRule type="cellIs" dxfId="9283" priority="11873" operator="between">
      <formula>0.71251</formula>
      <formula>0.75</formula>
    </cfRule>
    <cfRule type="cellIs" dxfId="9282" priority="11874" stopIfTrue="1" operator="between">
      <formula>0</formula>
      <formula>0.375</formula>
    </cfRule>
  </conditionalFormatting>
  <conditionalFormatting sqref="U187">
    <cfRule type="cellIs" dxfId="9281" priority="11860" operator="between">
      <formula>0.376</formula>
      <formula>0.475</formula>
    </cfRule>
    <cfRule type="cellIs" dxfId="9280" priority="11861" operator="between">
      <formula>0.2551</formula>
      <formula>0.3751</formula>
    </cfRule>
    <cfRule type="cellIs" dxfId="9279" priority="11862" operator="greaterThan">
      <formula>0.505</formula>
    </cfRule>
    <cfRule type="cellIs" dxfId="9278" priority="11863" operator="between">
      <formula>0.48</formula>
      <formula>0.5</formula>
    </cfRule>
    <cfRule type="cellIs" dxfId="9277" priority="11864" stopIfTrue="1" operator="between">
      <formula>0</formula>
      <formula>0.255</formula>
    </cfRule>
  </conditionalFormatting>
  <conditionalFormatting sqref="V187">
    <cfRule type="cellIs" dxfId="9276" priority="11832" operator="between">
      <formula>0.376</formula>
      <formula>0.475</formula>
    </cfRule>
    <cfRule type="cellIs" dxfId="9275" priority="11833" operator="between">
      <formula>0.2551</formula>
      <formula>0.3751</formula>
    </cfRule>
    <cfRule type="cellIs" dxfId="9274" priority="11834" operator="greaterThan">
      <formula>0.505</formula>
    </cfRule>
    <cfRule type="cellIs" dxfId="9273" priority="11835" operator="between">
      <formula>0.48</formula>
      <formula>0.5</formula>
    </cfRule>
    <cfRule type="cellIs" dxfId="9272" priority="11836" stopIfTrue="1" operator="between">
      <formula>0</formula>
      <formula>0.255</formula>
    </cfRule>
  </conditionalFormatting>
  <conditionalFormatting sqref="AC187">
    <cfRule type="cellIs" dxfId="9271" priority="11827" operator="between">
      <formula>0.56251</formula>
      <formula>0.7125</formula>
    </cfRule>
    <cfRule type="cellIs" dxfId="9270" priority="11828" operator="between">
      <formula>0.3751</formula>
      <formula>0.5625</formula>
    </cfRule>
    <cfRule type="cellIs" dxfId="9269" priority="11829" operator="greaterThan">
      <formula>0.751</formula>
    </cfRule>
    <cfRule type="cellIs" dxfId="9268" priority="11830" operator="between">
      <formula>0.71251</formula>
      <formula>0.75</formula>
    </cfRule>
    <cfRule type="cellIs" dxfId="9267" priority="11831" stopIfTrue="1" operator="between">
      <formula>0</formula>
      <formula>0.375</formula>
    </cfRule>
  </conditionalFormatting>
  <conditionalFormatting sqref="S187">
    <cfRule type="cellIs" dxfId="9266" priority="11802" operator="between">
      <formula>0.76</formula>
      <formula>0.95</formula>
    </cfRule>
    <cfRule type="cellIs" dxfId="9265" priority="11803" operator="between">
      <formula>0.51</formula>
      <formula>0.75</formula>
    </cfRule>
    <cfRule type="cellIs" dxfId="9264" priority="11804" operator="greaterThan">
      <formula>1</formula>
    </cfRule>
    <cfRule type="cellIs" dxfId="9263" priority="11805" operator="between">
      <formula>0.95</formula>
      <formula>1</formula>
    </cfRule>
    <cfRule type="cellIs" dxfId="9262" priority="11806" stopIfTrue="1" operator="between">
      <formula>0</formula>
      <formula>0.5</formula>
    </cfRule>
  </conditionalFormatting>
  <conditionalFormatting sqref="Z185">
    <cfRule type="cellIs" dxfId="9261" priority="11797" operator="between">
      <formula>0.76</formula>
      <formula>0.95</formula>
    </cfRule>
    <cfRule type="cellIs" dxfId="9260" priority="11798" operator="between">
      <formula>0.51</formula>
      <formula>0.75</formula>
    </cfRule>
    <cfRule type="cellIs" dxfId="9259" priority="11799" operator="greaterThan">
      <formula>1</formula>
    </cfRule>
    <cfRule type="cellIs" dxfId="9258" priority="11800" operator="between">
      <formula>0.95</formula>
      <formula>1</formula>
    </cfRule>
    <cfRule type="cellIs" dxfId="9257" priority="11801" stopIfTrue="1" operator="between">
      <formula>0</formula>
      <formula>0.5</formula>
    </cfRule>
  </conditionalFormatting>
  <conditionalFormatting sqref="Z187">
    <cfRule type="cellIs" dxfId="9256" priority="11792" operator="between">
      <formula>0.76</formula>
      <formula>0.95</formula>
    </cfRule>
    <cfRule type="cellIs" dxfId="9255" priority="11793" operator="between">
      <formula>0.51</formula>
      <formula>0.75</formula>
    </cfRule>
    <cfRule type="cellIs" dxfId="9254" priority="11794" operator="greaterThan">
      <formula>1</formula>
    </cfRule>
    <cfRule type="cellIs" dxfId="9253" priority="11795" operator="between">
      <formula>0.95</formula>
      <formula>1</formula>
    </cfRule>
    <cfRule type="cellIs" dxfId="9252" priority="11796" stopIfTrue="1" operator="between">
      <formula>0</formula>
      <formula>0.5</formula>
    </cfRule>
  </conditionalFormatting>
  <conditionalFormatting sqref="AG185">
    <cfRule type="cellIs" dxfId="9251" priority="11787" operator="between">
      <formula>0.76</formula>
      <formula>0.95</formula>
    </cfRule>
    <cfRule type="cellIs" dxfId="9250" priority="11788" operator="between">
      <formula>0.51</formula>
      <formula>0.75</formula>
    </cfRule>
    <cfRule type="cellIs" dxfId="9249" priority="11789" operator="greaterThan">
      <formula>1</formula>
    </cfRule>
    <cfRule type="cellIs" dxfId="9248" priority="11790" operator="between">
      <formula>0.95</formula>
      <formula>1</formula>
    </cfRule>
    <cfRule type="cellIs" dxfId="9247" priority="11791" stopIfTrue="1" operator="between">
      <formula>0</formula>
      <formula>0.5</formula>
    </cfRule>
  </conditionalFormatting>
  <conditionalFormatting sqref="AG187">
    <cfRule type="cellIs" dxfId="9246" priority="11782" operator="between">
      <formula>0.76</formula>
      <formula>0.95</formula>
    </cfRule>
    <cfRule type="cellIs" dxfId="9245" priority="11783" operator="between">
      <formula>0.51</formula>
      <formula>0.75</formula>
    </cfRule>
    <cfRule type="cellIs" dxfId="9244" priority="11784" operator="greaterThan">
      <formula>1</formula>
    </cfRule>
    <cfRule type="cellIs" dxfId="9243" priority="11785" operator="between">
      <formula>0.95</formula>
      <formula>1</formula>
    </cfRule>
    <cfRule type="cellIs" dxfId="9242" priority="11786" stopIfTrue="1" operator="between">
      <formula>0</formula>
      <formula>0.5</formula>
    </cfRule>
  </conditionalFormatting>
  <conditionalFormatting sqref="R188:R195 Y188:Y195 AF188:AF195 AH188:AI195">
    <cfRule type="cellIs" dxfId="9241" priority="11777" operator="between">
      <formula>0.76</formula>
      <formula>0.95</formula>
    </cfRule>
    <cfRule type="cellIs" dxfId="9240" priority="11778" operator="between">
      <formula>0.51</formula>
      <formula>0.75</formula>
    </cfRule>
    <cfRule type="cellIs" dxfId="9239" priority="11779" operator="greaterThan">
      <formula>1</formula>
    </cfRule>
    <cfRule type="cellIs" dxfId="9238" priority="11780" operator="between">
      <formula>0.95</formula>
      <formula>1</formula>
    </cfRule>
    <cfRule type="cellIs" dxfId="9237" priority="11781" stopIfTrue="1" operator="between">
      <formula>0</formula>
      <formula>0.5</formula>
    </cfRule>
  </conditionalFormatting>
  <conditionalFormatting sqref="T188:T195">
    <cfRule type="cellIs" dxfId="9236" priority="11772" operator="between">
      <formula>0.3751</formula>
      <formula>0.475</formula>
    </cfRule>
    <cfRule type="cellIs" dxfId="9235" priority="11773" operator="between">
      <formula>0.2551</formula>
      <formula>0.375</formula>
    </cfRule>
    <cfRule type="cellIs" dxfId="9234" priority="11774" operator="greaterThan">
      <formula>0.505</formula>
    </cfRule>
    <cfRule type="cellIs" dxfId="9233" priority="11775" operator="between">
      <formula>0.48</formula>
      <formula>0.5</formula>
    </cfRule>
    <cfRule type="cellIs" dxfId="9232" priority="11776" stopIfTrue="1" operator="between">
      <formula>0</formula>
      <formula>0.255</formula>
    </cfRule>
  </conditionalFormatting>
  <conditionalFormatting sqref="AA188:AB195">
    <cfRule type="cellIs" dxfId="9231" priority="11767" operator="between">
      <formula>0.56251</formula>
      <formula>0.7125</formula>
    </cfRule>
    <cfRule type="cellIs" dxfId="9230" priority="11768" operator="between">
      <formula>0.3751</formula>
      <formula>0.5625</formula>
    </cfRule>
    <cfRule type="cellIs" dxfId="9229" priority="11769" operator="greaterThan">
      <formula>0.751</formula>
    </cfRule>
    <cfRule type="cellIs" dxfId="9228" priority="11770" operator="between">
      <formula>0.71251</formula>
      <formula>0.75</formula>
    </cfRule>
    <cfRule type="cellIs" dxfId="9227" priority="11771" stopIfTrue="1" operator="between">
      <formula>0</formula>
      <formula>0.375</formula>
    </cfRule>
  </conditionalFormatting>
  <conditionalFormatting sqref="U188:U195">
    <cfRule type="cellIs" dxfId="9226" priority="11757" operator="between">
      <formula>0.376</formula>
      <formula>0.475</formula>
    </cfRule>
    <cfRule type="cellIs" dxfId="9225" priority="11758" operator="between">
      <formula>0.2551</formula>
      <formula>0.3751</formula>
    </cfRule>
    <cfRule type="cellIs" dxfId="9224" priority="11759" operator="greaterThan">
      <formula>0.505</formula>
    </cfRule>
    <cfRule type="cellIs" dxfId="9223" priority="11760" operator="between">
      <formula>0.48</formula>
      <formula>0.5</formula>
    </cfRule>
    <cfRule type="cellIs" dxfId="9222" priority="11761" stopIfTrue="1" operator="between">
      <formula>0</formula>
      <formula>0.255</formula>
    </cfRule>
  </conditionalFormatting>
  <conditionalFormatting sqref="V188:V195">
    <cfRule type="cellIs" dxfId="9221" priority="11749" operator="between">
      <formula>0.376</formula>
      <formula>0.475</formula>
    </cfRule>
    <cfRule type="cellIs" dxfId="9220" priority="11750" operator="between">
      <formula>0.2551</formula>
      <formula>0.3751</formula>
    </cfRule>
    <cfRule type="cellIs" dxfId="9219" priority="11751" operator="greaterThan">
      <formula>0.505</formula>
    </cfRule>
    <cfRule type="cellIs" dxfId="9218" priority="11752" operator="between">
      <formula>0.48</formula>
      <formula>0.5</formula>
    </cfRule>
    <cfRule type="cellIs" dxfId="9217" priority="11753" stopIfTrue="1" operator="between">
      <formula>0</formula>
      <formula>0.255</formula>
    </cfRule>
  </conditionalFormatting>
  <conditionalFormatting sqref="AC188:AC195">
    <cfRule type="cellIs" dxfId="9216" priority="11744" operator="between">
      <formula>0.56251</formula>
      <formula>0.7125</formula>
    </cfRule>
    <cfRule type="cellIs" dxfId="9215" priority="11745" operator="between">
      <formula>0.3751</formula>
      <formula>0.5625</formula>
    </cfRule>
    <cfRule type="cellIs" dxfId="9214" priority="11746" operator="greaterThan">
      <formula>0.751</formula>
    </cfRule>
    <cfRule type="cellIs" dxfId="9213" priority="11747" operator="between">
      <formula>0.71251</formula>
      <formula>0.75</formula>
    </cfRule>
    <cfRule type="cellIs" dxfId="9212" priority="11748" stopIfTrue="1" operator="between">
      <formula>0</formula>
      <formula>0.375</formula>
    </cfRule>
  </conditionalFormatting>
  <conditionalFormatting sqref="S188:S195">
    <cfRule type="cellIs" dxfId="9211" priority="11724" operator="between">
      <formula>0.76</formula>
      <formula>0.95</formula>
    </cfRule>
    <cfRule type="cellIs" dxfId="9210" priority="11725" operator="between">
      <formula>0.51</formula>
      <formula>0.75</formula>
    </cfRule>
    <cfRule type="cellIs" dxfId="9209" priority="11726" operator="greaterThan">
      <formula>1</formula>
    </cfRule>
    <cfRule type="cellIs" dxfId="9208" priority="11727" operator="between">
      <formula>0.95</formula>
      <formula>1</formula>
    </cfRule>
    <cfRule type="cellIs" dxfId="9207" priority="11728" stopIfTrue="1" operator="between">
      <formula>0</formula>
      <formula>0.5</formula>
    </cfRule>
  </conditionalFormatting>
  <conditionalFormatting sqref="Z188:Z195">
    <cfRule type="cellIs" dxfId="9206" priority="11719" operator="between">
      <formula>0.76</formula>
      <formula>0.95</formula>
    </cfRule>
    <cfRule type="cellIs" dxfId="9205" priority="11720" operator="between">
      <formula>0.51</formula>
      <formula>0.75</formula>
    </cfRule>
    <cfRule type="cellIs" dxfId="9204" priority="11721" operator="greaterThan">
      <formula>1</formula>
    </cfRule>
    <cfRule type="cellIs" dxfId="9203" priority="11722" operator="between">
      <formula>0.95</formula>
      <formula>1</formula>
    </cfRule>
    <cfRule type="cellIs" dxfId="9202" priority="11723" stopIfTrue="1" operator="between">
      <formula>0</formula>
      <formula>0.5</formula>
    </cfRule>
  </conditionalFormatting>
  <conditionalFormatting sqref="AG188:AG195">
    <cfRule type="cellIs" dxfId="9201" priority="11714" operator="between">
      <formula>0.76</formula>
      <formula>0.95</formula>
    </cfRule>
    <cfRule type="cellIs" dxfId="9200" priority="11715" operator="between">
      <formula>0.51</formula>
      <formula>0.75</formula>
    </cfRule>
    <cfRule type="cellIs" dxfId="9199" priority="11716" operator="greaterThan">
      <formula>1</formula>
    </cfRule>
    <cfRule type="cellIs" dxfId="9198" priority="11717" operator="between">
      <formula>0.95</formula>
      <formula>1</formula>
    </cfRule>
    <cfRule type="cellIs" dxfId="9197" priority="11718" stopIfTrue="1" operator="between">
      <formula>0</formula>
      <formula>0.5</formula>
    </cfRule>
  </conditionalFormatting>
  <conditionalFormatting sqref="Y281 AF281 R281 AH281:AI281">
    <cfRule type="cellIs" dxfId="9196" priority="11709" operator="between">
      <formula>0.76</formula>
      <formula>0.95</formula>
    </cfRule>
    <cfRule type="cellIs" dxfId="9195" priority="11710" operator="between">
      <formula>0.51</formula>
      <formula>0.75</formula>
    </cfRule>
    <cfRule type="cellIs" dxfId="9194" priority="11711" operator="greaterThan">
      <formula>1</formula>
    </cfRule>
    <cfRule type="cellIs" dxfId="9193" priority="11712" operator="between">
      <formula>0.95</formula>
      <formula>1</formula>
    </cfRule>
    <cfRule type="cellIs" dxfId="9192" priority="11713" stopIfTrue="1" operator="between">
      <formula>0</formula>
      <formula>0.5</formula>
    </cfRule>
  </conditionalFormatting>
  <conditionalFormatting sqref="T281">
    <cfRule type="cellIs" dxfId="9191" priority="11704" operator="between">
      <formula>0.3751</formula>
      <formula>0.475</formula>
    </cfRule>
    <cfRule type="cellIs" dxfId="9190" priority="11705" operator="between">
      <formula>0.2551</formula>
      <formula>0.375</formula>
    </cfRule>
    <cfRule type="cellIs" dxfId="9189" priority="11706" operator="greaterThan">
      <formula>0.505</formula>
    </cfRule>
    <cfRule type="cellIs" dxfId="9188" priority="11707" operator="between">
      <formula>0.48</formula>
      <formula>0.5</formula>
    </cfRule>
    <cfRule type="cellIs" dxfId="9187" priority="11708" stopIfTrue="1" operator="between">
      <formula>0</formula>
      <formula>0.255</formula>
    </cfRule>
  </conditionalFormatting>
  <conditionalFormatting sqref="AA281:AB281">
    <cfRule type="cellIs" dxfId="9186" priority="11699" operator="between">
      <formula>0.56251</formula>
      <formula>0.7125</formula>
    </cfRule>
    <cfRule type="cellIs" dxfId="9185" priority="11700" operator="between">
      <formula>0.3751</formula>
      <formula>0.5625</formula>
    </cfRule>
    <cfRule type="cellIs" dxfId="9184" priority="11701" operator="greaterThan">
      <formula>0.751</formula>
    </cfRule>
    <cfRule type="cellIs" dxfId="9183" priority="11702" operator="between">
      <formula>0.71251</formula>
      <formula>0.75</formula>
    </cfRule>
    <cfRule type="cellIs" dxfId="9182" priority="11703" stopIfTrue="1" operator="between">
      <formula>0</formula>
      <formula>0.375</formula>
    </cfRule>
  </conditionalFormatting>
  <conditionalFormatting sqref="U281">
    <cfRule type="cellIs" dxfId="9181" priority="11689" operator="between">
      <formula>0.376</formula>
      <formula>0.475</formula>
    </cfRule>
    <cfRule type="cellIs" dxfId="9180" priority="11690" operator="between">
      <formula>0.2551</formula>
      <formula>0.3751</formula>
    </cfRule>
    <cfRule type="cellIs" dxfId="9179" priority="11691" operator="greaterThan">
      <formula>0.505</formula>
    </cfRule>
    <cfRule type="cellIs" dxfId="9178" priority="11692" operator="between">
      <formula>0.48</formula>
      <formula>0.5</formula>
    </cfRule>
    <cfRule type="cellIs" dxfId="9177" priority="11693" stopIfTrue="1" operator="between">
      <formula>0</formula>
      <formula>0.255</formula>
    </cfRule>
  </conditionalFormatting>
  <conditionalFormatting sqref="S128">
    <cfRule type="cellIs" dxfId="9176" priority="11295" operator="between">
      <formula>0.76</formula>
      <formula>0.95</formula>
    </cfRule>
    <cfRule type="cellIs" dxfId="9175" priority="11296" operator="between">
      <formula>0.51</formula>
      <formula>0.75</formula>
    </cfRule>
    <cfRule type="cellIs" dxfId="9174" priority="11297" operator="greaterThan">
      <formula>1</formula>
    </cfRule>
    <cfRule type="cellIs" dxfId="9173" priority="11298" operator="between">
      <formula>0.95</formula>
      <formula>1</formula>
    </cfRule>
    <cfRule type="cellIs" dxfId="9172" priority="11299" stopIfTrue="1" operator="between">
      <formula>0</formula>
      <formula>0.5</formula>
    </cfRule>
  </conditionalFormatting>
  <conditionalFormatting sqref="AC281">
    <cfRule type="cellIs" dxfId="9171" priority="11671" operator="between">
      <formula>0.56251</formula>
      <formula>0.7125</formula>
    </cfRule>
    <cfRule type="cellIs" dxfId="9170" priority="11672" operator="between">
      <formula>0.3751</formula>
      <formula>0.5625</formula>
    </cfRule>
    <cfRule type="cellIs" dxfId="9169" priority="11673" operator="greaterThan">
      <formula>0.751</formula>
    </cfRule>
    <cfRule type="cellIs" dxfId="9168" priority="11674" operator="between">
      <formula>0.71251</formula>
      <formula>0.75</formula>
    </cfRule>
    <cfRule type="cellIs" dxfId="9167" priority="11675" stopIfTrue="1" operator="between">
      <formula>0</formula>
      <formula>0.375</formula>
    </cfRule>
  </conditionalFormatting>
  <conditionalFormatting sqref="V281">
    <cfRule type="cellIs" dxfId="9166" priority="11656" operator="between">
      <formula>0.376</formula>
      <formula>0.475</formula>
    </cfRule>
    <cfRule type="cellIs" dxfId="9165" priority="11657" operator="between">
      <formula>0.2551</formula>
      <formula>0.3751</formula>
    </cfRule>
    <cfRule type="cellIs" dxfId="9164" priority="11658" operator="greaterThan">
      <formula>0.505</formula>
    </cfRule>
    <cfRule type="cellIs" dxfId="9163" priority="11659" operator="between">
      <formula>0.48</formula>
      <formula>0.5</formula>
    </cfRule>
    <cfRule type="cellIs" dxfId="9162" priority="11660" stopIfTrue="1" operator="between">
      <formula>0</formula>
      <formula>0.255</formula>
    </cfRule>
  </conditionalFormatting>
  <conditionalFormatting sqref="S281">
    <cfRule type="cellIs" dxfId="9161" priority="11651" operator="between">
      <formula>0.76</formula>
      <formula>0.95</formula>
    </cfRule>
    <cfRule type="cellIs" dxfId="9160" priority="11652" operator="between">
      <formula>0.51</formula>
      <formula>0.75</formula>
    </cfRule>
    <cfRule type="cellIs" dxfId="9159" priority="11653" operator="greaterThan">
      <formula>1</formula>
    </cfRule>
    <cfRule type="cellIs" dxfId="9158" priority="11654" operator="between">
      <formula>0.95</formula>
      <formula>1</formula>
    </cfRule>
    <cfRule type="cellIs" dxfId="9157" priority="11655" stopIfTrue="1" operator="between">
      <formula>0</formula>
      <formula>0.5</formula>
    </cfRule>
  </conditionalFormatting>
  <conditionalFormatting sqref="Z281">
    <cfRule type="cellIs" dxfId="9156" priority="11646" operator="between">
      <formula>0.76</formula>
      <formula>0.95</formula>
    </cfRule>
    <cfRule type="cellIs" dxfId="9155" priority="11647" operator="between">
      <formula>0.51</formula>
      <formula>0.75</formula>
    </cfRule>
    <cfRule type="cellIs" dxfId="9154" priority="11648" operator="greaterThan">
      <formula>1</formula>
    </cfRule>
    <cfRule type="cellIs" dxfId="9153" priority="11649" operator="between">
      <formula>0.95</formula>
      <formula>1</formula>
    </cfRule>
    <cfRule type="cellIs" dxfId="9152" priority="11650" stopIfTrue="1" operator="between">
      <formula>0</formula>
      <formula>0.5</formula>
    </cfRule>
  </conditionalFormatting>
  <conditionalFormatting sqref="AG270:AG271">
    <cfRule type="cellIs" dxfId="9151" priority="11641" operator="between">
      <formula>0.76</formula>
      <formula>0.95</formula>
    </cfRule>
    <cfRule type="cellIs" dxfId="9150" priority="11642" operator="between">
      <formula>0.51</formula>
      <formula>0.75</formula>
    </cfRule>
    <cfRule type="cellIs" dxfId="9149" priority="11643" operator="greaterThan">
      <formula>1</formula>
    </cfRule>
    <cfRule type="cellIs" dxfId="9148" priority="11644" operator="between">
      <formula>0.95</formula>
      <formula>1</formula>
    </cfRule>
    <cfRule type="cellIs" dxfId="9147" priority="11645" stopIfTrue="1" operator="between">
      <formula>0</formula>
      <formula>0.5</formula>
    </cfRule>
  </conditionalFormatting>
  <conditionalFormatting sqref="AG273:AG275">
    <cfRule type="cellIs" dxfId="9146" priority="11636" operator="between">
      <formula>0.76</formula>
      <formula>0.95</formula>
    </cfRule>
    <cfRule type="cellIs" dxfId="9145" priority="11637" operator="between">
      <formula>0.51</formula>
      <formula>0.75</formula>
    </cfRule>
    <cfRule type="cellIs" dxfId="9144" priority="11638" operator="greaterThan">
      <formula>1</formula>
    </cfRule>
    <cfRule type="cellIs" dxfId="9143" priority="11639" operator="between">
      <formula>0.95</formula>
      <formula>1</formula>
    </cfRule>
    <cfRule type="cellIs" dxfId="9142" priority="11640" stopIfTrue="1" operator="between">
      <formula>0</formula>
      <formula>0.5</formula>
    </cfRule>
  </conditionalFormatting>
  <conditionalFormatting sqref="AG281">
    <cfRule type="cellIs" dxfId="9141" priority="11631" operator="between">
      <formula>0.76</formula>
      <formula>0.95</formula>
    </cfRule>
    <cfRule type="cellIs" dxfId="9140" priority="11632" operator="between">
      <formula>0.51</formula>
      <formula>0.75</formula>
    </cfRule>
    <cfRule type="cellIs" dxfId="9139" priority="11633" operator="greaterThan">
      <formula>1</formula>
    </cfRule>
    <cfRule type="cellIs" dxfId="9138" priority="11634" operator="between">
      <formula>0.95</formula>
      <formula>1</formula>
    </cfRule>
    <cfRule type="cellIs" dxfId="9137" priority="11635" stopIfTrue="1" operator="between">
      <formula>0</formula>
      <formula>0.5</formula>
    </cfRule>
  </conditionalFormatting>
  <conditionalFormatting sqref="Y282 AF282 R282 AH282:AI282">
    <cfRule type="cellIs" dxfId="9136" priority="11626" operator="between">
      <formula>0.76</formula>
      <formula>0.95</formula>
    </cfRule>
    <cfRule type="cellIs" dxfId="9135" priority="11627" operator="between">
      <formula>0.51</formula>
      <formula>0.75</formula>
    </cfRule>
    <cfRule type="cellIs" dxfId="9134" priority="11628" operator="greaterThan">
      <formula>1</formula>
    </cfRule>
    <cfRule type="cellIs" dxfId="9133" priority="11629" operator="between">
      <formula>0.95</formula>
      <formula>1</formula>
    </cfRule>
    <cfRule type="cellIs" dxfId="9132" priority="11630" stopIfTrue="1" operator="between">
      <formula>0</formula>
      <formula>0.5</formula>
    </cfRule>
  </conditionalFormatting>
  <conditionalFormatting sqref="T282">
    <cfRule type="cellIs" dxfId="9131" priority="11621" operator="between">
      <formula>0.3751</formula>
      <formula>0.475</formula>
    </cfRule>
    <cfRule type="cellIs" dxfId="9130" priority="11622" operator="between">
      <formula>0.2551</formula>
      <formula>0.375</formula>
    </cfRule>
    <cfRule type="cellIs" dxfId="9129" priority="11623" operator="greaterThan">
      <formula>0.505</formula>
    </cfRule>
    <cfRule type="cellIs" dxfId="9128" priority="11624" operator="between">
      <formula>0.48</formula>
      <formula>0.5</formula>
    </cfRule>
    <cfRule type="cellIs" dxfId="9127" priority="11625" stopIfTrue="1" operator="between">
      <formula>0</formula>
      <formula>0.255</formula>
    </cfRule>
  </conditionalFormatting>
  <conditionalFormatting sqref="AA282:AB282">
    <cfRule type="cellIs" dxfId="9126" priority="11616" operator="between">
      <formula>0.56251</formula>
      <formula>0.7125</formula>
    </cfRule>
    <cfRule type="cellIs" dxfId="9125" priority="11617" operator="between">
      <formula>0.3751</formula>
      <formula>0.5625</formula>
    </cfRule>
    <cfRule type="cellIs" dxfId="9124" priority="11618" operator="greaterThan">
      <formula>0.751</formula>
    </cfRule>
    <cfRule type="cellIs" dxfId="9123" priority="11619" operator="between">
      <formula>0.71251</formula>
      <formula>0.75</formula>
    </cfRule>
    <cfRule type="cellIs" dxfId="9122" priority="11620" stopIfTrue="1" operator="between">
      <formula>0</formula>
      <formula>0.375</formula>
    </cfRule>
  </conditionalFormatting>
  <conditionalFormatting sqref="U282">
    <cfRule type="cellIs" dxfId="9121" priority="11606" operator="between">
      <formula>0.376</formula>
      <formula>0.475</formula>
    </cfRule>
    <cfRule type="cellIs" dxfId="9120" priority="11607" operator="between">
      <formula>0.2551</formula>
      <formula>0.3751</formula>
    </cfRule>
    <cfRule type="cellIs" dxfId="9119" priority="11608" operator="greaterThan">
      <formula>0.505</formula>
    </cfRule>
    <cfRule type="cellIs" dxfId="9118" priority="11609" operator="between">
      <formula>0.48</formula>
      <formula>0.5</formula>
    </cfRule>
    <cfRule type="cellIs" dxfId="9117" priority="11610" stopIfTrue="1" operator="between">
      <formula>0</formula>
      <formula>0.255</formula>
    </cfRule>
  </conditionalFormatting>
  <conditionalFormatting sqref="AC282">
    <cfRule type="cellIs" dxfId="9116" priority="11598" operator="between">
      <formula>0.56251</formula>
      <formula>0.7125</formula>
    </cfRule>
    <cfRule type="cellIs" dxfId="9115" priority="11599" operator="between">
      <formula>0.3751</formula>
      <formula>0.5625</formula>
    </cfRule>
    <cfRule type="cellIs" dxfId="9114" priority="11600" operator="greaterThan">
      <formula>0.751</formula>
    </cfRule>
    <cfRule type="cellIs" dxfId="9113" priority="11601" operator="between">
      <formula>0.71251</formula>
      <formula>0.75</formula>
    </cfRule>
    <cfRule type="cellIs" dxfId="9112" priority="11602" stopIfTrue="1" operator="between">
      <formula>0</formula>
      <formula>0.375</formula>
    </cfRule>
  </conditionalFormatting>
  <conditionalFormatting sqref="V282">
    <cfRule type="cellIs" dxfId="9111" priority="11583" operator="between">
      <formula>0.376</formula>
      <formula>0.475</formula>
    </cfRule>
    <cfRule type="cellIs" dxfId="9110" priority="11584" operator="between">
      <formula>0.2551</formula>
      <formula>0.3751</formula>
    </cfRule>
    <cfRule type="cellIs" dxfId="9109" priority="11585" operator="greaterThan">
      <formula>0.505</formula>
    </cfRule>
    <cfRule type="cellIs" dxfId="9108" priority="11586" operator="between">
      <formula>0.48</formula>
      <formula>0.5</formula>
    </cfRule>
    <cfRule type="cellIs" dxfId="9107" priority="11587" stopIfTrue="1" operator="between">
      <formula>0</formula>
      <formula>0.255</formula>
    </cfRule>
  </conditionalFormatting>
  <conditionalFormatting sqref="S282">
    <cfRule type="cellIs" dxfId="9106" priority="11578" operator="between">
      <formula>0.76</formula>
      <formula>0.95</formula>
    </cfRule>
    <cfRule type="cellIs" dxfId="9105" priority="11579" operator="between">
      <formula>0.51</formula>
      <formula>0.75</formula>
    </cfRule>
    <cfRule type="cellIs" dxfId="9104" priority="11580" operator="greaterThan">
      <formula>1</formula>
    </cfRule>
    <cfRule type="cellIs" dxfId="9103" priority="11581" operator="between">
      <formula>0.95</formula>
      <formula>1</formula>
    </cfRule>
    <cfRule type="cellIs" dxfId="9102" priority="11582" stopIfTrue="1" operator="between">
      <formula>0</formula>
      <formula>0.5</formula>
    </cfRule>
  </conditionalFormatting>
  <conditionalFormatting sqref="Z282">
    <cfRule type="cellIs" dxfId="9101" priority="11573" operator="between">
      <formula>0.76</formula>
      <formula>0.95</formula>
    </cfRule>
    <cfRule type="cellIs" dxfId="9100" priority="11574" operator="between">
      <formula>0.51</formula>
      <formula>0.75</formula>
    </cfRule>
    <cfRule type="cellIs" dxfId="9099" priority="11575" operator="greaterThan">
      <formula>1</formula>
    </cfRule>
    <cfRule type="cellIs" dxfId="9098" priority="11576" operator="between">
      <formula>0.95</formula>
      <formula>1</formula>
    </cfRule>
    <cfRule type="cellIs" dxfId="9097" priority="11577" stopIfTrue="1" operator="between">
      <formula>0</formula>
      <formula>0.5</formula>
    </cfRule>
  </conditionalFormatting>
  <conditionalFormatting sqref="AG282">
    <cfRule type="cellIs" dxfId="9096" priority="11568" operator="between">
      <formula>0.76</formula>
      <formula>0.95</formula>
    </cfRule>
    <cfRule type="cellIs" dxfId="9095" priority="11569" operator="between">
      <formula>0.51</formula>
      <formula>0.75</formula>
    </cfRule>
    <cfRule type="cellIs" dxfId="9094" priority="11570" operator="greaterThan">
      <formula>1</formula>
    </cfRule>
    <cfRule type="cellIs" dxfId="9093" priority="11571" operator="between">
      <formula>0.95</formula>
      <formula>1</formula>
    </cfRule>
    <cfRule type="cellIs" dxfId="9092" priority="11572" stopIfTrue="1" operator="between">
      <formula>0</formula>
      <formula>0.5</formula>
    </cfRule>
  </conditionalFormatting>
  <conditionalFormatting sqref="Y283:Y284 AF283:AF284 R283:R284 AH283:AI284 AH287:AI287 R287 AF287 Y287">
    <cfRule type="cellIs" dxfId="9091" priority="11553" operator="between">
      <formula>0.76</formula>
      <formula>0.95</formula>
    </cfRule>
    <cfRule type="cellIs" dxfId="9090" priority="11554" operator="between">
      <formula>0.51</formula>
      <formula>0.75</formula>
    </cfRule>
    <cfRule type="cellIs" dxfId="9089" priority="11555" operator="greaterThan">
      <formula>1</formula>
    </cfRule>
    <cfRule type="cellIs" dxfId="9088" priority="11556" operator="between">
      <formula>0.95</formula>
      <formula>1</formula>
    </cfRule>
    <cfRule type="cellIs" dxfId="9087" priority="11557" stopIfTrue="1" operator="between">
      <formula>0</formula>
      <formula>0.5</formula>
    </cfRule>
  </conditionalFormatting>
  <conditionalFormatting sqref="T283:T284 T287">
    <cfRule type="cellIs" dxfId="9086" priority="11548" operator="between">
      <formula>0.3751</formula>
      <formula>0.475</formula>
    </cfRule>
    <cfRule type="cellIs" dxfId="9085" priority="11549" operator="between">
      <formula>0.2551</formula>
      <formula>0.375</formula>
    </cfRule>
    <cfRule type="cellIs" dxfId="9084" priority="11550" operator="greaterThan">
      <formula>0.505</formula>
    </cfRule>
    <cfRule type="cellIs" dxfId="9083" priority="11551" operator="between">
      <formula>0.48</formula>
      <formula>0.5</formula>
    </cfRule>
    <cfRule type="cellIs" dxfId="9082" priority="11552" stopIfTrue="1" operator="between">
      <formula>0</formula>
      <formula>0.255</formula>
    </cfRule>
  </conditionalFormatting>
  <conditionalFormatting sqref="AA283:AB284 AA287:AB287">
    <cfRule type="cellIs" dxfId="9081" priority="11543" operator="between">
      <formula>0.56251</formula>
      <formula>0.7125</formula>
    </cfRule>
    <cfRule type="cellIs" dxfId="9080" priority="11544" operator="between">
      <formula>0.3751</formula>
      <formula>0.5625</formula>
    </cfRule>
    <cfRule type="cellIs" dxfId="9079" priority="11545" operator="greaterThan">
      <formula>0.751</formula>
    </cfRule>
    <cfRule type="cellIs" dxfId="9078" priority="11546" operator="between">
      <formula>0.71251</formula>
      <formula>0.75</formula>
    </cfRule>
    <cfRule type="cellIs" dxfId="9077" priority="11547" stopIfTrue="1" operator="between">
      <formula>0</formula>
      <formula>0.375</formula>
    </cfRule>
  </conditionalFormatting>
  <conditionalFormatting sqref="U283:U284 U287">
    <cfRule type="cellIs" dxfId="9076" priority="11533" operator="between">
      <formula>0.376</formula>
      <formula>0.475</formula>
    </cfRule>
    <cfRule type="cellIs" dxfId="9075" priority="11534" operator="between">
      <formula>0.2551</formula>
      <formula>0.3751</formula>
    </cfRule>
    <cfRule type="cellIs" dxfId="9074" priority="11535" operator="greaterThan">
      <formula>0.505</formula>
    </cfRule>
    <cfRule type="cellIs" dxfId="9073" priority="11536" operator="between">
      <formula>0.48</formula>
      <formula>0.5</formula>
    </cfRule>
    <cfRule type="cellIs" dxfId="9072" priority="11537" stopIfTrue="1" operator="between">
      <formula>0</formula>
      <formula>0.255</formula>
    </cfRule>
  </conditionalFormatting>
  <conditionalFormatting sqref="AC283:AC284 AC287">
    <cfRule type="cellIs" dxfId="9071" priority="11525" operator="between">
      <formula>0.56251</formula>
      <formula>0.7125</formula>
    </cfRule>
    <cfRule type="cellIs" dxfId="9070" priority="11526" operator="between">
      <formula>0.3751</formula>
      <formula>0.5625</formula>
    </cfRule>
    <cfRule type="cellIs" dxfId="9069" priority="11527" operator="greaterThan">
      <formula>0.751</formula>
    </cfRule>
    <cfRule type="cellIs" dxfId="9068" priority="11528" operator="between">
      <formula>0.71251</formula>
      <formula>0.75</formula>
    </cfRule>
    <cfRule type="cellIs" dxfId="9067" priority="11529" stopIfTrue="1" operator="between">
      <formula>0</formula>
      <formula>0.375</formula>
    </cfRule>
  </conditionalFormatting>
  <conditionalFormatting sqref="V283:V284 V287">
    <cfRule type="cellIs" dxfId="9066" priority="11520" operator="between">
      <formula>0.376</formula>
      <formula>0.475</formula>
    </cfRule>
    <cfRule type="cellIs" dxfId="9065" priority="11521" operator="between">
      <formula>0.2551</formula>
      <formula>0.3751</formula>
    </cfRule>
    <cfRule type="cellIs" dxfId="9064" priority="11522" operator="greaterThan">
      <formula>0.505</formula>
    </cfRule>
    <cfRule type="cellIs" dxfId="9063" priority="11523" operator="between">
      <formula>0.48</formula>
      <formula>0.5</formula>
    </cfRule>
    <cfRule type="cellIs" dxfId="9062" priority="11524" stopIfTrue="1" operator="between">
      <formula>0</formula>
      <formula>0.255</formula>
    </cfRule>
  </conditionalFormatting>
  <conditionalFormatting sqref="S283:S284 S287">
    <cfRule type="cellIs" dxfId="9061" priority="11515" operator="between">
      <formula>0.76</formula>
      <formula>0.95</formula>
    </cfRule>
    <cfRule type="cellIs" dxfId="9060" priority="11516" operator="between">
      <formula>0.51</formula>
      <formula>0.75</formula>
    </cfRule>
    <cfRule type="cellIs" dxfId="9059" priority="11517" operator="greaterThan">
      <formula>1</formula>
    </cfRule>
    <cfRule type="cellIs" dxfId="9058" priority="11518" operator="between">
      <formula>0.95</formula>
      <formula>1</formula>
    </cfRule>
    <cfRule type="cellIs" dxfId="9057" priority="11519" stopIfTrue="1" operator="between">
      <formula>0</formula>
      <formula>0.5</formula>
    </cfRule>
  </conditionalFormatting>
  <conditionalFormatting sqref="Z283:Z284 Z287">
    <cfRule type="cellIs" dxfId="9056" priority="11510" operator="between">
      <formula>0.76</formula>
      <formula>0.95</formula>
    </cfRule>
    <cfRule type="cellIs" dxfId="9055" priority="11511" operator="between">
      <formula>0.51</formula>
      <formula>0.75</formula>
    </cfRule>
    <cfRule type="cellIs" dxfId="9054" priority="11512" operator="greaterThan">
      <formula>1</formula>
    </cfRule>
    <cfRule type="cellIs" dxfId="9053" priority="11513" operator="between">
      <formula>0.95</formula>
      <formula>1</formula>
    </cfRule>
    <cfRule type="cellIs" dxfId="9052" priority="11514" stopIfTrue="1" operator="between">
      <formula>0</formula>
      <formula>0.5</formula>
    </cfRule>
  </conditionalFormatting>
  <conditionalFormatting sqref="AG283:AG284 AG287">
    <cfRule type="cellIs" dxfId="9051" priority="11505" operator="between">
      <formula>0.76</formula>
      <formula>0.95</formula>
    </cfRule>
    <cfRule type="cellIs" dxfId="9050" priority="11506" operator="between">
      <formula>0.51</formula>
      <formula>0.75</formula>
    </cfRule>
    <cfRule type="cellIs" dxfId="9049" priority="11507" operator="greaterThan">
      <formula>1</formula>
    </cfRule>
    <cfRule type="cellIs" dxfId="9048" priority="11508" operator="between">
      <formula>0.95</formula>
      <formula>1</formula>
    </cfRule>
    <cfRule type="cellIs" dxfId="9047" priority="11509" stopIfTrue="1" operator="between">
      <formula>0</formula>
      <formula>0.5</formula>
    </cfRule>
  </conditionalFormatting>
  <conditionalFormatting sqref="AF126 R126 AH126:AI126">
    <cfRule type="cellIs" dxfId="9046" priority="11490" operator="between">
      <formula>0.76</formula>
      <formula>0.95</formula>
    </cfRule>
    <cfRule type="cellIs" dxfId="9045" priority="11491" operator="between">
      <formula>0.51</formula>
      <formula>0.75</formula>
    </cfRule>
    <cfRule type="cellIs" dxfId="9044" priority="11492" operator="greaterThan">
      <formula>1</formula>
    </cfRule>
    <cfRule type="cellIs" dxfId="9043" priority="11493" operator="between">
      <formula>0.95</formula>
      <formula>1</formula>
    </cfRule>
    <cfRule type="cellIs" dxfId="9042" priority="11494" stopIfTrue="1" operator="between">
      <formula>0</formula>
      <formula>0.5</formula>
    </cfRule>
  </conditionalFormatting>
  <conditionalFormatting sqref="T126">
    <cfRule type="cellIs" dxfId="9041" priority="11485" operator="between">
      <formula>0.3751</formula>
      <formula>0.475</formula>
    </cfRule>
    <cfRule type="cellIs" dxfId="9040" priority="11486" operator="between">
      <formula>0.2551</formula>
      <formula>0.375</formula>
    </cfRule>
    <cfRule type="cellIs" dxfId="9039" priority="11487" operator="greaterThan">
      <formula>0.505</formula>
    </cfRule>
    <cfRule type="cellIs" dxfId="9038" priority="11488" operator="between">
      <formula>0.48</formula>
      <formula>0.5</formula>
    </cfRule>
    <cfRule type="cellIs" dxfId="9037" priority="11489" stopIfTrue="1" operator="between">
      <formula>0</formula>
      <formula>0.255</formula>
    </cfRule>
  </conditionalFormatting>
  <conditionalFormatting sqref="AA126:AB126">
    <cfRule type="cellIs" dxfId="9036" priority="11480" operator="between">
      <formula>0.56251</formula>
      <formula>0.7125</formula>
    </cfRule>
    <cfRule type="cellIs" dxfId="9035" priority="11481" operator="between">
      <formula>0.3751</formula>
      <formula>0.5625</formula>
    </cfRule>
    <cfRule type="cellIs" dxfId="9034" priority="11482" operator="greaterThan">
      <formula>0.751</formula>
    </cfRule>
    <cfRule type="cellIs" dxfId="9033" priority="11483" operator="between">
      <formula>0.71251</formula>
      <formula>0.75</formula>
    </cfRule>
    <cfRule type="cellIs" dxfId="9032" priority="11484" stopIfTrue="1" operator="between">
      <formula>0</formula>
      <formula>0.375</formula>
    </cfRule>
  </conditionalFormatting>
  <conditionalFormatting sqref="U126">
    <cfRule type="cellIs" dxfId="9031" priority="11470" operator="between">
      <formula>0.376</formula>
      <formula>0.475</formula>
    </cfRule>
    <cfRule type="cellIs" dxfId="9030" priority="11471" operator="between">
      <formula>0.2551</formula>
      <formula>0.3751</formula>
    </cfRule>
    <cfRule type="cellIs" dxfId="9029" priority="11472" operator="greaterThan">
      <formula>0.505</formula>
    </cfRule>
    <cfRule type="cellIs" dxfId="9028" priority="11473" operator="between">
      <formula>0.48</formula>
      <formula>0.5</formula>
    </cfRule>
    <cfRule type="cellIs" dxfId="9027" priority="11474" stopIfTrue="1" operator="between">
      <formula>0</formula>
      <formula>0.255</formula>
    </cfRule>
  </conditionalFormatting>
  <conditionalFormatting sqref="S126">
    <cfRule type="cellIs" dxfId="9026" priority="11445" operator="between">
      <formula>0.76</formula>
      <formula>0.95</formula>
    </cfRule>
    <cfRule type="cellIs" dxfId="9025" priority="11446" operator="between">
      <formula>0.51</formula>
      <formula>0.75</formula>
    </cfRule>
    <cfRule type="cellIs" dxfId="9024" priority="11447" operator="greaterThan">
      <formula>1</formula>
    </cfRule>
    <cfRule type="cellIs" dxfId="9023" priority="11448" operator="between">
      <formula>0.95</formula>
      <formula>1</formula>
    </cfRule>
    <cfRule type="cellIs" dxfId="9022" priority="11449" stopIfTrue="1" operator="between">
      <formula>0</formula>
      <formula>0.5</formula>
    </cfRule>
  </conditionalFormatting>
  <conditionalFormatting sqref="V126">
    <cfRule type="cellIs" dxfId="9021" priority="11450" operator="between">
      <formula>0.376</formula>
      <formula>0.475</formula>
    </cfRule>
    <cfRule type="cellIs" dxfId="9020" priority="11451" operator="between">
      <formula>0.2551</formula>
      <formula>0.3751</formula>
    </cfRule>
    <cfRule type="cellIs" dxfId="9019" priority="11452" operator="greaterThan">
      <formula>0.505</formula>
    </cfRule>
    <cfRule type="cellIs" dxfId="9018" priority="11453" operator="between">
      <formula>0.48</formula>
      <formula>0.5</formula>
    </cfRule>
    <cfRule type="cellIs" dxfId="9017" priority="11454" stopIfTrue="1" operator="between">
      <formula>0</formula>
      <formula>0.255</formula>
    </cfRule>
  </conditionalFormatting>
  <conditionalFormatting sqref="AC126">
    <cfRule type="cellIs" dxfId="9016" priority="11440" operator="between">
      <formula>0.56251</formula>
      <formula>0.7125</formula>
    </cfRule>
    <cfRule type="cellIs" dxfId="9015" priority="11441" operator="between">
      <formula>0.3751</formula>
      <formula>0.5625</formula>
    </cfRule>
    <cfRule type="cellIs" dxfId="9014" priority="11442" operator="greaterThan">
      <formula>0.751</formula>
    </cfRule>
    <cfRule type="cellIs" dxfId="9013" priority="11443" operator="between">
      <formula>0.71251</formula>
      <formula>0.75</formula>
    </cfRule>
    <cfRule type="cellIs" dxfId="9012" priority="11444" stopIfTrue="1" operator="between">
      <formula>0</formula>
      <formula>0.375</formula>
    </cfRule>
  </conditionalFormatting>
  <conditionalFormatting sqref="AG126">
    <cfRule type="cellIs" dxfId="9011" priority="11420" operator="between">
      <formula>0.76</formula>
      <formula>0.95</formula>
    </cfRule>
    <cfRule type="cellIs" dxfId="9010" priority="11421" operator="between">
      <formula>0.51</formula>
      <formula>0.75</formula>
    </cfRule>
    <cfRule type="cellIs" dxfId="9009" priority="11422" operator="greaterThan">
      <formula>1</formula>
    </cfRule>
    <cfRule type="cellIs" dxfId="9008" priority="11423" operator="between">
      <formula>0.95</formula>
      <formula>1</formula>
    </cfRule>
    <cfRule type="cellIs" dxfId="9007" priority="11424" stopIfTrue="1" operator="between">
      <formula>0</formula>
      <formula>0.5</formula>
    </cfRule>
  </conditionalFormatting>
  <conditionalFormatting sqref="Z127">
    <cfRule type="cellIs" dxfId="9006" priority="11350" operator="between">
      <formula>0.76</formula>
      <formula>0.95</formula>
    </cfRule>
    <cfRule type="cellIs" dxfId="9005" priority="11351" operator="between">
      <formula>0.51</formula>
      <formula>0.75</formula>
    </cfRule>
    <cfRule type="cellIs" dxfId="9004" priority="11352" operator="greaterThan">
      <formula>1</formula>
    </cfRule>
    <cfRule type="cellIs" dxfId="9003" priority="11353" operator="between">
      <formula>0.95</formula>
      <formula>1</formula>
    </cfRule>
    <cfRule type="cellIs" dxfId="9002" priority="11354" stopIfTrue="1" operator="between">
      <formula>0</formula>
      <formula>0.5</formula>
    </cfRule>
  </conditionalFormatting>
  <conditionalFormatting sqref="AF127 R127 Y127 AH127:AI127">
    <cfRule type="cellIs" dxfId="9001" priority="11415" operator="between">
      <formula>0.76</formula>
      <formula>0.95</formula>
    </cfRule>
    <cfRule type="cellIs" dxfId="9000" priority="11416" operator="between">
      <formula>0.51</formula>
      <formula>0.75</formula>
    </cfRule>
    <cfRule type="cellIs" dxfId="8999" priority="11417" operator="greaterThan">
      <formula>1</formula>
    </cfRule>
    <cfRule type="cellIs" dxfId="8998" priority="11418" operator="between">
      <formula>0.95</formula>
      <formula>1</formula>
    </cfRule>
    <cfRule type="cellIs" dxfId="8997" priority="11419" stopIfTrue="1" operator="between">
      <formula>0</formula>
      <formula>0.5</formula>
    </cfRule>
  </conditionalFormatting>
  <conditionalFormatting sqref="T127">
    <cfRule type="cellIs" dxfId="8996" priority="11410" operator="between">
      <formula>0.3751</formula>
      <formula>0.475</formula>
    </cfRule>
    <cfRule type="cellIs" dxfId="8995" priority="11411" operator="between">
      <formula>0.2551</formula>
      <formula>0.375</formula>
    </cfRule>
    <cfRule type="cellIs" dxfId="8994" priority="11412" operator="greaterThan">
      <formula>0.505</formula>
    </cfRule>
    <cfRule type="cellIs" dxfId="8993" priority="11413" operator="between">
      <formula>0.48</formula>
      <formula>0.5</formula>
    </cfRule>
    <cfRule type="cellIs" dxfId="8992" priority="11414" stopIfTrue="1" operator="between">
      <formula>0</formula>
      <formula>0.255</formula>
    </cfRule>
  </conditionalFormatting>
  <conditionalFormatting sqref="AA127:AB127">
    <cfRule type="cellIs" dxfId="8991" priority="11405" operator="between">
      <formula>0.56251</formula>
      <formula>0.7125</formula>
    </cfRule>
    <cfRule type="cellIs" dxfId="8990" priority="11406" operator="between">
      <formula>0.3751</formula>
      <formula>0.5625</formula>
    </cfRule>
    <cfRule type="cellIs" dxfId="8989" priority="11407" operator="greaterThan">
      <formula>0.751</formula>
    </cfRule>
    <cfRule type="cellIs" dxfId="8988" priority="11408" operator="between">
      <formula>0.71251</formula>
      <formula>0.75</formula>
    </cfRule>
    <cfRule type="cellIs" dxfId="8987" priority="11409" stopIfTrue="1" operator="between">
      <formula>0</formula>
      <formula>0.375</formula>
    </cfRule>
  </conditionalFormatting>
  <conditionalFormatting sqref="U127">
    <cfRule type="cellIs" dxfId="8986" priority="11395" operator="between">
      <formula>0.376</formula>
      <formula>0.475</formula>
    </cfRule>
    <cfRule type="cellIs" dxfId="8985" priority="11396" operator="between">
      <formula>0.2551</formula>
      <formula>0.3751</formula>
    </cfRule>
    <cfRule type="cellIs" dxfId="8984" priority="11397" operator="greaterThan">
      <formula>0.505</formula>
    </cfRule>
    <cfRule type="cellIs" dxfId="8983" priority="11398" operator="between">
      <formula>0.48</formula>
      <formula>0.5</formula>
    </cfRule>
    <cfRule type="cellIs" dxfId="8982" priority="11399" stopIfTrue="1" operator="between">
      <formula>0</formula>
      <formula>0.255</formula>
    </cfRule>
  </conditionalFormatting>
  <conditionalFormatting sqref="S127">
    <cfRule type="cellIs" dxfId="8981" priority="11370" operator="between">
      <formula>0.76</formula>
      <formula>0.95</formula>
    </cfRule>
    <cfRule type="cellIs" dxfId="8980" priority="11371" operator="between">
      <formula>0.51</formula>
      <formula>0.75</formula>
    </cfRule>
    <cfRule type="cellIs" dxfId="8979" priority="11372" operator="greaterThan">
      <formula>1</formula>
    </cfRule>
    <cfRule type="cellIs" dxfId="8978" priority="11373" operator="between">
      <formula>0.95</formula>
      <formula>1</formula>
    </cfRule>
    <cfRule type="cellIs" dxfId="8977" priority="11374" stopIfTrue="1" operator="between">
      <formula>0</formula>
      <formula>0.5</formula>
    </cfRule>
  </conditionalFormatting>
  <conditionalFormatting sqref="V127">
    <cfRule type="cellIs" dxfId="8976" priority="11375" operator="between">
      <formula>0.376</formula>
      <formula>0.475</formula>
    </cfRule>
    <cfRule type="cellIs" dxfId="8975" priority="11376" operator="between">
      <formula>0.2551</formula>
      <formula>0.3751</formula>
    </cfRule>
    <cfRule type="cellIs" dxfId="8974" priority="11377" operator="greaterThan">
      <formula>0.505</formula>
    </cfRule>
    <cfRule type="cellIs" dxfId="8973" priority="11378" operator="between">
      <formula>0.48</formula>
      <formula>0.5</formula>
    </cfRule>
    <cfRule type="cellIs" dxfId="8972" priority="11379" stopIfTrue="1" operator="between">
      <formula>0</formula>
      <formula>0.255</formula>
    </cfRule>
  </conditionalFormatting>
  <conditionalFormatting sqref="AC127">
    <cfRule type="cellIs" dxfId="8971" priority="11365" operator="between">
      <formula>0.56251</formula>
      <formula>0.7125</formula>
    </cfRule>
    <cfRule type="cellIs" dxfId="8970" priority="11366" operator="between">
      <formula>0.3751</formula>
      <formula>0.5625</formula>
    </cfRule>
    <cfRule type="cellIs" dxfId="8969" priority="11367" operator="greaterThan">
      <formula>0.751</formula>
    </cfRule>
    <cfRule type="cellIs" dxfId="8968" priority="11368" operator="between">
      <formula>0.71251</formula>
      <formula>0.75</formula>
    </cfRule>
    <cfRule type="cellIs" dxfId="8967" priority="11369" stopIfTrue="1" operator="between">
      <formula>0</formula>
      <formula>0.375</formula>
    </cfRule>
  </conditionalFormatting>
  <conditionalFormatting sqref="AG127">
    <cfRule type="cellIs" dxfId="8966" priority="11345" operator="between">
      <formula>0.76</formula>
      <formula>0.95</formula>
    </cfRule>
    <cfRule type="cellIs" dxfId="8965" priority="11346" operator="between">
      <formula>0.51</formula>
      <formula>0.75</formula>
    </cfRule>
    <cfRule type="cellIs" dxfId="8964" priority="11347" operator="greaterThan">
      <formula>1</formula>
    </cfRule>
    <cfRule type="cellIs" dxfId="8963" priority="11348" operator="between">
      <formula>0.95</formula>
      <formula>1</formula>
    </cfRule>
    <cfRule type="cellIs" dxfId="8962" priority="11349" stopIfTrue="1" operator="between">
      <formula>0</formula>
      <formula>0.5</formula>
    </cfRule>
  </conditionalFormatting>
  <conditionalFormatting sqref="Z128">
    <cfRule type="cellIs" dxfId="8961" priority="11275" operator="between">
      <formula>0.76</formula>
      <formula>0.95</formula>
    </cfRule>
    <cfRule type="cellIs" dxfId="8960" priority="11276" operator="between">
      <formula>0.51</formula>
      <formula>0.75</formula>
    </cfRule>
    <cfRule type="cellIs" dxfId="8959" priority="11277" operator="greaterThan">
      <formula>1</formula>
    </cfRule>
    <cfRule type="cellIs" dxfId="8958" priority="11278" operator="between">
      <formula>0.95</formula>
      <formula>1</formula>
    </cfRule>
    <cfRule type="cellIs" dxfId="8957" priority="11279" stopIfTrue="1" operator="between">
      <formula>0</formula>
      <formula>0.5</formula>
    </cfRule>
  </conditionalFormatting>
  <conditionalFormatting sqref="AF128 R128 Y128 AH128:AI128">
    <cfRule type="cellIs" dxfId="8956" priority="11340" operator="between">
      <formula>0.76</formula>
      <formula>0.95</formula>
    </cfRule>
    <cfRule type="cellIs" dxfId="8955" priority="11341" operator="between">
      <formula>0.51</formula>
      <formula>0.75</formula>
    </cfRule>
    <cfRule type="cellIs" dxfId="8954" priority="11342" operator="greaterThan">
      <formula>1</formula>
    </cfRule>
    <cfRule type="cellIs" dxfId="8953" priority="11343" operator="between">
      <formula>0.95</formula>
      <formula>1</formula>
    </cfRule>
    <cfRule type="cellIs" dxfId="8952" priority="11344" stopIfTrue="1" operator="between">
      <formula>0</formula>
      <formula>0.5</formula>
    </cfRule>
  </conditionalFormatting>
  <conditionalFormatting sqref="T128">
    <cfRule type="cellIs" dxfId="8951" priority="11335" operator="between">
      <formula>0.3751</formula>
      <formula>0.475</formula>
    </cfRule>
    <cfRule type="cellIs" dxfId="8950" priority="11336" operator="between">
      <formula>0.2551</formula>
      <formula>0.375</formula>
    </cfRule>
    <cfRule type="cellIs" dxfId="8949" priority="11337" operator="greaterThan">
      <formula>0.505</formula>
    </cfRule>
    <cfRule type="cellIs" dxfId="8948" priority="11338" operator="between">
      <formula>0.48</formula>
      <formula>0.5</formula>
    </cfRule>
    <cfRule type="cellIs" dxfId="8947" priority="11339" stopIfTrue="1" operator="between">
      <formula>0</formula>
      <formula>0.255</formula>
    </cfRule>
  </conditionalFormatting>
  <conditionalFormatting sqref="AA128:AB128">
    <cfRule type="cellIs" dxfId="8946" priority="11330" operator="between">
      <formula>0.56251</formula>
      <formula>0.7125</formula>
    </cfRule>
    <cfRule type="cellIs" dxfId="8945" priority="11331" operator="between">
      <formula>0.3751</formula>
      <formula>0.5625</formula>
    </cfRule>
    <cfRule type="cellIs" dxfId="8944" priority="11332" operator="greaterThan">
      <formula>0.751</formula>
    </cfRule>
    <cfRule type="cellIs" dxfId="8943" priority="11333" operator="between">
      <formula>0.71251</formula>
      <formula>0.75</formula>
    </cfRule>
    <cfRule type="cellIs" dxfId="8942" priority="11334" stopIfTrue="1" operator="between">
      <formula>0</formula>
      <formula>0.375</formula>
    </cfRule>
  </conditionalFormatting>
  <conditionalFormatting sqref="U128">
    <cfRule type="cellIs" dxfId="8941" priority="11320" operator="between">
      <formula>0.376</formula>
      <formula>0.475</formula>
    </cfRule>
    <cfRule type="cellIs" dxfId="8940" priority="11321" operator="between">
      <formula>0.2551</formula>
      <formula>0.3751</formula>
    </cfRule>
    <cfRule type="cellIs" dxfId="8939" priority="11322" operator="greaterThan">
      <formula>0.505</formula>
    </cfRule>
    <cfRule type="cellIs" dxfId="8938" priority="11323" operator="between">
      <formula>0.48</formula>
      <formula>0.5</formula>
    </cfRule>
    <cfRule type="cellIs" dxfId="8937" priority="11324" stopIfTrue="1" operator="between">
      <formula>0</formula>
      <formula>0.255</formula>
    </cfRule>
  </conditionalFormatting>
  <conditionalFormatting sqref="V128">
    <cfRule type="cellIs" dxfId="8936" priority="11300" operator="between">
      <formula>0.376</formula>
      <formula>0.475</formula>
    </cfRule>
    <cfRule type="cellIs" dxfId="8935" priority="11301" operator="between">
      <formula>0.2551</formula>
      <formula>0.3751</formula>
    </cfRule>
    <cfRule type="cellIs" dxfId="8934" priority="11302" operator="greaterThan">
      <formula>0.505</formula>
    </cfRule>
    <cfRule type="cellIs" dxfId="8933" priority="11303" operator="between">
      <formula>0.48</formula>
      <formula>0.5</formula>
    </cfRule>
    <cfRule type="cellIs" dxfId="8932" priority="11304" stopIfTrue="1" operator="between">
      <formula>0</formula>
      <formula>0.255</formula>
    </cfRule>
  </conditionalFormatting>
  <conditionalFormatting sqref="AC128">
    <cfRule type="cellIs" dxfId="8931" priority="11290" operator="between">
      <formula>0.56251</formula>
      <formula>0.7125</formula>
    </cfRule>
    <cfRule type="cellIs" dxfId="8930" priority="11291" operator="between">
      <formula>0.3751</formula>
      <formula>0.5625</formula>
    </cfRule>
    <cfRule type="cellIs" dxfId="8929" priority="11292" operator="greaterThan">
      <formula>0.751</formula>
    </cfRule>
    <cfRule type="cellIs" dxfId="8928" priority="11293" operator="between">
      <formula>0.71251</formula>
      <formula>0.75</formula>
    </cfRule>
    <cfRule type="cellIs" dxfId="8927" priority="11294" stopIfTrue="1" operator="between">
      <formula>0</formula>
      <formula>0.375</formula>
    </cfRule>
  </conditionalFormatting>
  <conditionalFormatting sqref="AG128">
    <cfRule type="cellIs" dxfId="8926" priority="11270" operator="between">
      <formula>0.76</formula>
      <formula>0.95</formula>
    </cfRule>
    <cfRule type="cellIs" dxfId="8925" priority="11271" operator="between">
      <formula>0.51</formula>
      <formula>0.75</formula>
    </cfRule>
    <cfRule type="cellIs" dxfId="8924" priority="11272" operator="greaterThan">
      <formula>1</formula>
    </cfRule>
    <cfRule type="cellIs" dxfId="8923" priority="11273" operator="between">
      <formula>0.95</formula>
      <formula>1</formula>
    </cfRule>
    <cfRule type="cellIs" dxfId="8922" priority="11274" stopIfTrue="1" operator="between">
      <formula>0</formula>
      <formula>0.5</formula>
    </cfRule>
  </conditionalFormatting>
  <conditionalFormatting sqref="Z129">
    <cfRule type="cellIs" dxfId="8921" priority="11200" operator="between">
      <formula>0.76</formula>
      <formula>0.95</formula>
    </cfRule>
    <cfRule type="cellIs" dxfId="8920" priority="11201" operator="between">
      <formula>0.51</formula>
      <formula>0.75</formula>
    </cfRule>
    <cfRule type="cellIs" dxfId="8919" priority="11202" operator="greaterThan">
      <formula>1</formula>
    </cfRule>
    <cfRule type="cellIs" dxfId="8918" priority="11203" operator="between">
      <formula>0.95</formula>
      <formula>1</formula>
    </cfRule>
    <cfRule type="cellIs" dxfId="8917" priority="11204" stopIfTrue="1" operator="between">
      <formula>0</formula>
      <formula>0.5</formula>
    </cfRule>
  </conditionalFormatting>
  <conditionalFormatting sqref="AF129 R129 Y129 AH129:AI129">
    <cfRule type="cellIs" dxfId="8916" priority="11265" operator="between">
      <formula>0.76</formula>
      <formula>0.95</formula>
    </cfRule>
    <cfRule type="cellIs" dxfId="8915" priority="11266" operator="between">
      <formula>0.51</formula>
      <formula>0.75</formula>
    </cfRule>
    <cfRule type="cellIs" dxfId="8914" priority="11267" operator="greaterThan">
      <formula>1</formula>
    </cfRule>
    <cfRule type="cellIs" dxfId="8913" priority="11268" operator="between">
      <formula>0.95</formula>
      <formula>1</formula>
    </cfRule>
    <cfRule type="cellIs" dxfId="8912" priority="11269" stopIfTrue="1" operator="between">
      <formula>0</formula>
      <formula>0.5</formula>
    </cfRule>
  </conditionalFormatting>
  <conditionalFormatting sqref="T129">
    <cfRule type="cellIs" dxfId="8911" priority="11260" operator="between">
      <formula>0.3751</formula>
      <formula>0.475</formula>
    </cfRule>
    <cfRule type="cellIs" dxfId="8910" priority="11261" operator="between">
      <formula>0.2551</formula>
      <formula>0.375</formula>
    </cfRule>
    <cfRule type="cellIs" dxfId="8909" priority="11262" operator="greaterThan">
      <formula>0.505</formula>
    </cfRule>
    <cfRule type="cellIs" dxfId="8908" priority="11263" operator="between">
      <formula>0.48</formula>
      <formula>0.5</formula>
    </cfRule>
    <cfRule type="cellIs" dxfId="8907" priority="11264" stopIfTrue="1" operator="between">
      <formula>0</formula>
      <formula>0.255</formula>
    </cfRule>
  </conditionalFormatting>
  <conditionalFormatting sqref="AA129:AB129">
    <cfRule type="cellIs" dxfId="8906" priority="11255" operator="between">
      <formula>0.56251</formula>
      <formula>0.7125</formula>
    </cfRule>
    <cfRule type="cellIs" dxfId="8905" priority="11256" operator="between">
      <formula>0.3751</formula>
      <formula>0.5625</formula>
    </cfRule>
    <cfRule type="cellIs" dxfId="8904" priority="11257" operator="greaterThan">
      <formula>0.751</formula>
    </cfRule>
    <cfRule type="cellIs" dxfId="8903" priority="11258" operator="between">
      <formula>0.71251</formula>
      <formula>0.75</formula>
    </cfRule>
    <cfRule type="cellIs" dxfId="8902" priority="11259" stopIfTrue="1" operator="between">
      <formula>0</formula>
      <formula>0.375</formula>
    </cfRule>
  </conditionalFormatting>
  <conditionalFormatting sqref="U129">
    <cfRule type="cellIs" dxfId="8901" priority="11245" operator="between">
      <formula>0.376</formula>
      <formula>0.475</formula>
    </cfRule>
    <cfRule type="cellIs" dxfId="8900" priority="11246" operator="between">
      <formula>0.2551</formula>
      <formula>0.3751</formula>
    </cfRule>
    <cfRule type="cellIs" dxfId="8899" priority="11247" operator="greaterThan">
      <formula>0.505</formula>
    </cfRule>
    <cfRule type="cellIs" dxfId="8898" priority="11248" operator="between">
      <formula>0.48</formula>
      <formula>0.5</formula>
    </cfRule>
    <cfRule type="cellIs" dxfId="8897" priority="11249" stopIfTrue="1" operator="between">
      <formula>0</formula>
      <formula>0.255</formula>
    </cfRule>
  </conditionalFormatting>
  <conditionalFormatting sqref="S129">
    <cfRule type="cellIs" dxfId="8896" priority="11220" operator="between">
      <formula>0.76</formula>
      <formula>0.95</formula>
    </cfRule>
    <cfRule type="cellIs" dxfId="8895" priority="11221" operator="between">
      <formula>0.51</formula>
      <formula>0.75</formula>
    </cfRule>
    <cfRule type="cellIs" dxfId="8894" priority="11222" operator="greaterThan">
      <formula>1</formula>
    </cfRule>
    <cfRule type="cellIs" dxfId="8893" priority="11223" operator="between">
      <formula>0.95</formula>
      <formula>1</formula>
    </cfRule>
    <cfRule type="cellIs" dxfId="8892" priority="11224" stopIfTrue="1" operator="between">
      <formula>0</formula>
      <formula>0.5</formula>
    </cfRule>
  </conditionalFormatting>
  <conditionalFormatting sqref="V129">
    <cfRule type="cellIs" dxfId="8891" priority="11225" operator="between">
      <formula>0.376</formula>
      <formula>0.475</formula>
    </cfRule>
    <cfRule type="cellIs" dxfId="8890" priority="11226" operator="between">
      <formula>0.2551</formula>
      <formula>0.3751</formula>
    </cfRule>
    <cfRule type="cellIs" dxfId="8889" priority="11227" operator="greaterThan">
      <formula>0.505</formula>
    </cfRule>
    <cfRule type="cellIs" dxfId="8888" priority="11228" operator="between">
      <formula>0.48</formula>
      <formula>0.5</formula>
    </cfRule>
    <cfRule type="cellIs" dxfId="8887" priority="11229" stopIfTrue="1" operator="between">
      <formula>0</formula>
      <formula>0.255</formula>
    </cfRule>
  </conditionalFormatting>
  <conditionalFormatting sqref="AC129">
    <cfRule type="cellIs" dxfId="8886" priority="11215" operator="between">
      <formula>0.56251</formula>
      <formula>0.7125</formula>
    </cfRule>
    <cfRule type="cellIs" dxfId="8885" priority="11216" operator="between">
      <formula>0.3751</formula>
      <formula>0.5625</formula>
    </cfRule>
    <cfRule type="cellIs" dxfId="8884" priority="11217" operator="greaterThan">
      <formula>0.751</formula>
    </cfRule>
    <cfRule type="cellIs" dxfId="8883" priority="11218" operator="between">
      <formula>0.71251</formula>
      <formula>0.75</formula>
    </cfRule>
    <cfRule type="cellIs" dxfId="8882" priority="11219" stopIfTrue="1" operator="between">
      <formula>0</formula>
      <formula>0.375</formula>
    </cfRule>
  </conditionalFormatting>
  <conditionalFormatting sqref="AG129">
    <cfRule type="cellIs" dxfId="8881" priority="11195" operator="between">
      <formula>0.76</formula>
      <formula>0.95</formula>
    </cfRule>
    <cfRule type="cellIs" dxfId="8880" priority="11196" operator="between">
      <formula>0.51</formula>
      <formula>0.75</formula>
    </cfRule>
    <cfRule type="cellIs" dxfId="8879" priority="11197" operator="greaterThan">
      <formula>1</formula>
    </cfRule>
    <cfRule type="cellIs" dxfId="8878" priority="11198" operator="between">
      <formula>0.95</formula>
      <formula>1</formula>
    </cfRule>
    <cfRule type="cellIs" dxfId="8877" priority="11199" stopIfTrue="1" operator="between">
      <formula>0</formula>
      <formula>0.5</formula>
    </cfRule>
  </conditionalFormatting>
  <conditionalFormatting sqref="Z130">
    <cfRule type="cellIs" dxfId="8876" priority="11125" operator="between">
      <formula>0.76</formula>
      <formula>0.95</formula>
    </cfRule>
    <cfRule type="cellIs" dxfId="8875" priority="11126" operator="between">
      <formula>0.51</formula>
      <formula>0.75</formula>
    </cfRule>
    <cfRule type="cellIs" dxfId="8874" priority="11127" operator="greaterThan">
      <formula>1</formula>
    </cfRule>
    <cfRule type="cellIs" dxfId="8873" priority="11128" operator="between">
      <formula>0.95</formula>
      <formula>1</formula>
    </cfRule>
    <cfRule type="cellIs" dxfId="8872" priority="11129" stopIfTrue="1" operator="between">
      <formula>0</formula>
      <formula>0.5</formula>
    </cfRule>
  </conditionalFormatting>
  <conditionalFormatting sqref="AF130 R130 Y130 AH130:AI130">
    <cfRule type="cellIs" dxfId="8871" priority="11190" operator="between">
      <formula>0.76</formula>
      <formula>0.95</formula>
    </cfRule>
    <cfRule type="cellIs" dxfId="8870" priority="11191" operator="between">
      <formula>0.51</formula>
      <formula>0.75</formula>
    </cfRule>
    <cfRule type="cellIs" dxfId="8869" priority="11192" operator="greaterThan">
      <formula>1</formula>
    </cfRule>
    <cfRule type="cellIs" dxfId="8868" priority="11193" operator="between">
      <formula>0.95</formula>
      <formula>1</formula>
    </cfRule>
    <cfRule type="cellIs" dxfId="8867" priority="11194" stopIfTrue="1" operator="between">
      <formula>0</formula>
      <formula>0.5</formula>
    </cfRule>
  </conditionalFormatting>
  <conditionalFormatting sqref="T130">
    <cfRule type="cellIs" dxfId="8866" priority="11185" operator="between">
      <formula>0.3751</formula>
      <formula>0.475</formula>
    </cfRule>
    <cfRule type="cellIs" dxfId="8865" priority="11186" operator="between">
      <formula>0.2551</formula>
      <formula>0.375</formula>
    </cfRule>
    <cfRule type="cellIs" dxfId="8864" priority="11187" operator="greaterThan">
      <formula>0.505</formula>
    </cfRule>
    <cfRule type="cellIs" dxfId="8863" priority="11188" operator="between">
      <formula>0.48</formula>
      <formula>0.5</formula>
    </cfRule>
    <cfRule type="cellIs" dxfId="8862" priority="11189" stopIfTrue="1" operator="between">
      <formula>0</formula>
      <formula>0.255</formula>
    </cfRule>
  </conditionalFormatting>
  <conditionalFormatting sqref="AA130:AB130">
    <cfRule type="cellIs" dxfId="8861" priority="11180" operator="between">
      <formula>0.56251</formula>
      <formula>0.7125</formula>
    </cfRule>
    <cfRule type="cellIs" dxfId="8860" priority="11181" operator="between">
      <formula>0.3751</formula>
      <formula>0.5625</formula>
    </cfRule>
    <cfRule type="cellIs" dxfId="8859" priority="11182" operator="greaterThan">
      <formula>0.751</formula>
    </cfRule>
    <cfRule type="cellIs" dxfId="8858" priority="11183" operator="between">
      <formula>0.71251</formula>
      <formula>0.75</formula>
    </cfRule>
    <cfRule type="cellIs" dxfId="8857" priority="11184" stopIfTrue="1" operator="between">
      <formula>0</formula>
      <formula>0.375</formula>
    </cfRule>
  </conditionalFormatting>
  <conditionalFormatting sqref="U130">
    <cfRule type="cellIs" dxfId="8856" priority="11170" operator="between">
      <formula>0.376</formula>
      <formula>0.475</formula>
    </cfRule>
    <cfRule type="cellIs" dxfId="8855" priority="11171" operator="between">
      <formula>0.2551</formula>
      <formula>0.3751</formula>
    </cfRule>
    <cfRule type="cellIs" dxfId="8854" priority="11172" operator="greaterThan">
      <formula>0.505</formula>
    </cfRule>
    <cfRule type="cellIs" dxfId="8853" priority="11173" operator="between">
      <formula>0.48</formula>
      <formula>0.5</formula>
    </cfRule>
    <cfRule type="cellIs" dxfId="8852" priority="11174" stopIfTrue="1" operator="between">
      <formula>0</formula>
      <formula>0.255</formula>
    </cfRule>
  </conditionalFormatting>
  <conditionalFormatting sqref="S130">
    <cfRule type="cellIs" dxfId="8851" priority="11145" operator="between">
      <formula>0.76</formula>
      <formula>0.95</formula>
    </cfRule>
    <cfRule type="cellIs" dxfId="8850" priority="11146" operator="between">
      <formula>0.51</formula>
      <formula>0.75</formula>
    </cfRule>
    <cfRule type="cellIs" dxfId="8849" priority="11147" operator="greaterThan">
      <formula>1</formula>
    </cfRule>
    <cfRule type="cellIs" dxfId="8848" priority="11148" operator="between">
      <formula>0.95</formula>
      <formula>1</formula>
    </cfRule>
    <cfRule type="cellIs" dxfId="8847" priority="11149" stopIfTrue="1" operator="between">
      <formula>0</formula>
      <formula>0.5</formula>
    </cfRule>
  </conditionalFormatting>
  <conditionalFormatting sqref="V130">
    <cfRule type="cellIs" dxfId="8846" priority="11150" operator="between">
      <formula>0.376</formula>
      <formula>0.475</formula>
    </cfRule>
    <cfRule type="cellIs" dxfId="8845" priority="11151" operator="between">
      <formula>0.2551</formula>
      <formula>0.3751</formula>
    </cfRule>
    <cfRule type="cellIs" dxfId="8844" priority="11152" operator="greaterThan">
      <formula>0.505</formula>
    </cfRule>
    <cfRule type="cellIs" dxfId="8843" priority="11153" operator="between">
      <formula>0.48</formula>
      <formula>0.5</formula>
    </cfRule>
    <cfRule type="cellIs" dxfId="8842" priority="11154" stopIfTrue="1" operator="between">
      <formula>0</formula>
      <formula>0.255</formula>
    </cfRule>
  </conditionalFormatting>
  <conditionalFormatting sqref="AC130">
    <cfRule type="cellIs" dxfId="8841" priority="11140" operator="between">
      <formula>0.56251</formula>
      <formula>0.7125</formula>
    </cfRule>
    <cfRule type="cellIs" dxfId="8840" priority="11141" operator="between">
      <formula>0.3751</formula>
      <formula>0.5625</formula>
    </cfRule>
    <cfRule type="cellIs" dxfId="8839" priority="11142" operator="greaterThan">
      <formula>0.751</formula>
    </cfRule>
    <cfRule type="cellIs" dxfId="8838" priority="11143" operator="between">
      <formula>0.71251</formula>
      <formula>0.75</formula>
    </cfRule>
    <cfRule type="cellIs" dxfId="8837" priority="11144" stopIfTrue="1" operator="between">
      <formula>0</formula>
      <formula>0.375</formula>
    </cfRule>
  </conditionalFormatting>
  <conditionalFormatting sqref="AG130">
    <cfRule type="cellIs" dxfId="8836" priority="11120" operator="between">
      <formula>0.76</formula>
      <formula>0.95</formula>
    </cfRule>
    <cfRule type="cellIs" dxfId="8835" priority="11121" operator="between">
      <formula>0.51</formula>
      <formula>0.75</formula>
    </cfRule>
    <cfRule type="cellIs" dxfId="8834" priority="11122" operator="greaterThan">
      <formula>1</formula>
    </cfRule>
    <cfRule type="cellIs" dxfId="8833" priority="11123" operator="between">
      <formula>0.95</formula>
      <formula>1</formula>
    </cfRule>
    <cfRule type="cellIs" dxfId="8832" priority="11124" stopIfTrue="1" operator="between">
      <formula>0</formula>
      <formula>0.5</formula>
    </cfRule>
  </conditionalFormatting>
  <conditionalFormatting sqref="Z131">
    <cfRule type="cellIs" dxfId="8831" priority="11050" operator="between">
      <formula>0.76</formula>
      <formula>0.95</formula>
    </cfRule>
    <cfRule type="cellIs" dxfId="8830" priority="11051" operator="between">
      <formula>0.51</formula>
      <formula>0.75</formula>
    </cfRule>
    <cfRule type="cellIs" dxfId="8829" priority="11052" operator="greaterThan">
      <formula>1</formula>
    </cfRule>
    <cfRule type="cellIs" dxfId="8828" priority="11053" operator="between">
      <formula>0.95</formula>
      <formula>1</formula>
    </cfRule>
    <cfRule type="cellIs" dxfId="8827" priority="11054" stopIfTrue="1" operator="between">
      <formula>0</formula>
      <formula>0.5</formula>
    </cfRule>
  </conditionalFormatting>
  <conditionalFormatting sqref="AF131 K131 R131 Y131 AH131:AI131">
    <cfRule type="cellIs" dxfId="8826" priority="11115" operator="between">
      <formula>0.76</formula>
      <formula>0.95</formula>
    </cfRule>
    <cfRule type="cellIs" dxfId="8825" priority="11116" operator="between">
      <formula>0.51</formula>
      <formula>0.75</formula>
    </cfRule>
    <cfRule type="cellIs" dxfId="8824" priority="11117" operator="greaterThan">
      <formula>1</formula>
    </cfRule>
    <cfRule type="cellIs" dxfId="8823" priority="11118" operator="between">
      <formula>0.95</formula>
      <formula>1</formula>
    </cfRule>
    <cfRule type="cellIs" dxfId="8822" priority="11119" stopIfTrue="1" operator="between">
      <formula>0</formula>
      <formula>0.5</formula>
    </cfRule>
  </conditionalFormatting>
  <conditionalFormatting sqref="T131">
    <cfRule type="cellIs" dxfId="8821" priority="11110" operator="between">
      <formula>0.3751</formula>
      <formula>0.475</formula>
    </cfRule>
    <cfRule type="cellIs" dxfId="8820" priority="11111" operator="between">
      <formula>0.2551</formula>
      <formula>0.375</formula>
    </cfRule>
    <cfRule type="cellIs" dxfId="8819" priority="11112" operator="greaterThan">
      <formula>0.505</formula>
    </cfRule>
    <cfRule type="cellIs" dxfId="8818" priority="11113" operator="between">
      <formula>0.48</formula>
      <formula>0.5</formula>
    </cfRule>
    <cfRule type="cellIs" dxfId="8817" priority="11114" stopIfTrue="1" operator="between">
      <formula>0</formula>
      <formula>0.255</formula>
    </cfRule>
  </conditionalFormatting>
  <conditionalFormatting sqref="AA131:AB131">
    <cfRule type="cellIs" dxfId="8816" priority="11105" operator="between">
      <formula>0.56251</formula>
      <formula>0.7125</formula>
    </cfRule>
    <cfRule type="cellIs" dxfId="8815" priority="11106" operator="between">
      <formula>0.3751</formula>
      <formula>0.5625</formula>
    </cfRule>
    <cfRule type="cellIs" dxfId="8814" priority="11107" operator="greaterThan">
      <formula>0.751</formula>
    </cfRule>
    <cfRule type="cellIs" dxfId="8813" priority="11108" operator="between">
      <formula>0.71251</formula>
      <formula>0.75</formula>
    </cfRule>
    <cfRule type="cellIs" dxfId="8812" priority="11109" stopIfTrue="1" operator="between">
      <formula>0</formula>
      <formula>0.375</formula>
    </cfRule>
  </conditionalFormatting>
  <conditionalFormatting sqref="U131">
    <cfRule type="cellIs" dxfId="8811" priority="11095" operator="between">
      <formula>0.376</formula>
      <formula>0.475</formula>
    </cfRule>
    <cfRule type="cellIs" dxfId="8810" priority="11096" operator="between">
      <formula>0.2551</formula>
      <formula>0.3751</formula>
    </cfRule>
    <cfRule type="cellIs" dxfId="8809" priority="11097" operator="greaterThan">
      <formula>0.505</formula>
    </cfRule>
    <cfRule type="cellIs" dxfId="8808" priority="11098" operator="between">
      <formula>0.48</formula>
      <formula>0.5</formula>
    </cfRule>
    <cfRule type="cellIs" dxfId="8807" priority="11099" stopIfTrue="1" operator="between">
      <formula>0</formula>
      <formula>0.255</formula>
    </cfRule>
  </conditionalFormatting>
  <conditionalFormatting sqref="S131">
    <cfRule type="cellIs" dxfId="8806" priority="11070" operator="between">
      <formula>0.76</formula>
      <formula>0.95</formula>
    </cfRule>
    <cfRule type="cellIs" dxfId="8805" priority="11071" operator="between">
      <formula>0.51</formula>
      <formula>0.75</formula>
    </cfRule>
    <cfRule type="cellIs" dxfId="8804" priority="11072" operator="greaterThan">
      <formula>1</formula>
    </cfRule>
    <cfRule type="cellIs" dxfId="8803" priority="11073" operator="between">
      <formula>0.95</formula>
      <formula>1</formula>
    </cfRule>
    <cfRule type="cellIs" dxfId="8802" priority="11074" stopIfTrue="1" operator="between">
      <formula>0</formula>
      <formula>0.5</formula>
    </cfRule>
  </conditionalFormatting>
  <conditionalFormatting sqref="V131">
    <cfRule type="cellIs" dxfId="8801" priority="11075" operator="between">
      <formula>0.376</formula>
      <formula>0.475</formula>
    </cfRule>
    <cfRule type="cellIs" dxfId="8800" priority="11076" operator="between">
      <formula>0.2551</formula>
      <formula>0.3751</formula>
    </cfRule>
    <cfRule type="cellIs" dxfId="8799" priority="11077" operator="greaterThan">
      <formula>0.505</formula>
    </cfRule>
    <cfRule type="cellIs" dxfId="8798" priority="11078" operator="between">
      <formula>0.48</formula>
      <formula>0.5</formula>
    </cfRule>
    <cfRule type="cellIs" dxfId="8797" priority="11079" stopIfTrue="1" operator="between">
      <formula>0</formula>
      <formula>0.255</formula>
    </cfRule>
  </conditionalFormatting>
  <conditionalFormatting sqref="AC131">
    <cfRule type="cellIs" dxfId="8796" priority="11065" operator="between">
      <formula>0.56251</formula>
      <formula>0.7125</formula>
    </cfRule>
    <cfRule type="cellIs" dxfId="8795" priority="11066" operator="between">
      <formula>0.3751</formula>
      <formula>0.5625</formula>
    </cfRule>
    <cfRule type="cellIs" dxfId="8794" priority="11067" operator="greaterThan">
      <formula>0.751</formula>
    </cfRule>
    <cfRule type="cellIs" dxfId="8793" priority="11068" operator="between">
      <formula>0.71251</formula>
      <formula>0.75</formula>
    </cfRule>
    <cfRule type="cellIs" dxfId="8792" priority="11069" stopIfTrue="1" operator="between">
      <formula>0</formula>
      <formula>0.375</formula>
    </cfRule>
  </conditionalFormatting>
  <conditionalFormatting sqref="L131">
    <cfRule type="cellIs" dxfId="8791" priority="11060" operator="between">
      <formula>0.76</formula>
      <formula>0.95</formula>
    </cfRule>
    <cfRule type="cellIs" dxfId="8790" priority="11061" operator="between">
      <formula>0.51</formula>
      <formula>0.75</formula>
    </cfRule>
    <cfRule type="cellIs" dxfId="8789" priority="11062" operator="greaterThan">
      <formula>1</formula>
    </cfRule>
    <cfRule type="cellIs" dxfId="8788" priority="11063" operator="between">
      <formula>0.95</formula>
      <formula>1</formula>
    </cfRule>
    <cfRule type="cellIs" dxfId="8787" priority="11064" stopIfTrue="1" operator="between">
      <formula>0</formula>
      <formula>0.5</formula>
    </cfRule>
  </conditionalFormatting>
  <conditionalFormatting sqref="AG131">
    <cfRule type="cellIs" dxfId="8786" priority="11045" operator="between">
      <formula>0.76</formula>
      <formula>0.95</formula>
    </cfRule>
    <cfRule type="cellIs" dxfId="8785" priority="11046" operator="between">
      <formula>0.51</formula>
      <formula>0.75</formula>
    </cfRule>
    <cfRule type="cellIs" dxfId="8784" priority="11047" operator="greaterThan">
      <formula>1</formula>
    </cfRule>
    <cfRule type="cellIs" dxfId="8783" priority="11048" operator="between">
      <formula>0.95</formula>
      <formula>1</formula>
    </cfRule>
    <cfRule type="cellIs" dxfId="8782" priority="11049" stopIfTrue="1" operator="between">
      <formula>0</formula>
      <formula>0.5</formula>
    </cfRule>
  </conditionalFormatting>
  <conditionalFormatting sqref="R196 Y196 AF196">
    <cfRule type="cellIs" dxfId="8781" priority="11040" operator="between">
      <formula>0.76</formula>
      <formula>0.95</formula>
    </cfRule>
    <cfRule type="cellIs" dxfId="8780" priority="11041" operator="between">
      <formula>0.51</formula>
      <formula>0.75</formula>
    </cfRule>
    <cfRule type="cellIs" dxfId="8779" priority="11042" operator="greaterThan">
      <formula>1</formula>
    </cfRule>
    <cfRule type="cellIs" dxfId="8778" priority="11043" operator="between">
      <formula>0.95</formula>
      <formula>1</formula>
    </cfRule>
    <cfRule type="cellIs" dxfId="8777" priority="11044" stopIfTrue="1" operator="between">
      <formula>0</formula>
      <formula>0.5</formula>
    </cfRule>
  </conditionalFormatting>
  <conditionalFormatting sqref="Z298">
    <cfRule type="cellIs" dxfId="8776" priority="10695" operator="between">
      <formula>0.76</formula>
      <formula>0.95</formula>
    </cfRule>
    <cfRule type="cellIs" dxfId="8775" priority="10696" operator="between">
      <formula>0.51</formula>
      <formula>0.75</formula>
    </cfRule>
    <cfRule type="cellIs" dxfId="8774" priority="10697" operator="greaterThan">
      <formula>1</formula>
    </cfRule>
    <cfRule type="cellIs" dxfId="8773" priority="10698" operator="between">
      <formula>0.95</formula>
      <formula>1</formula>
    </cfRule>
    <cfRule type="cellIs" dxfId="8772" priority="10699" stopIfTrue="1" operator="between">
      <formula>0</formula>
      <formula>0.5</formula>
    </cfRule>
  </conditionalFormatting>
  <conditionalFormatting sqref="AG196">
    <cfRule type="cellIs" dxfId="8771" priority="10977" operator="between">
      <formula>0.76</formula>
      <formula>0.95</formula>
    </cfRule>
    <cfRule type="cellIs" dxfId="8770" priority="10978" operator="between">
      <formula>0.51</formula>
      <formula>0.75</formula>
    </cfRule>
    <cfRule type="cellIs" dxfId="8769" priority="10979" operator="greaterThan">
      <formula>1</formula>
    </cfRule>
    <cfRule type="cellIs" dxfId="8768" priority="10980" operator="between">
      <formula>0.95</formula>
      <formula>1</formula>
    </cfRule>
    <cfRule type="cellIs" dxfId="8767" priority="10981" stopIfTrue="1" operator="between">
      <formula>0</formula>
      <formula>0.5</formula>
    </cfRule>
  </conditionalFormatting>
  <conditionalFormatting sqref="Z196">
    <cfRule type="cellIs" dxfId="8766" priority="10972" operator="between">
      <formula>0.76</formula>
      <formula>0.95</formula>
    </cfRule>
    <cfRule type="cellIs" dxfId="8765" priority="10973" operator="between">
      <formula>0.51</formula>
      <formula>0.75</formula>
    </cfRule>
    <cfRule type="cellIs" dxfId="8764" priority="10974" operator="greaterThan">
      <formula>1</formula>
    </cfRule>
    <cfRule type="cellIs" dxfId="8763" priority="10975" operator="between">
      <formula>0.95</formula>
      <formula>1</formula>
    </cfRule>
    <cfRule type="cellIs" dxfId="8762" priority="10976" stopIfTrue="1" operator="between">
      <formula>0</formula>
      <formula>0.5</formula>
    </cfRule>
  </conditionalFormatting>
  <conditionalFormatting sqref="S196">
    <cfRule type="cellIs" dxfId="8761" priority="10962" operator="between">
      <formula>0.76</formula>
      <formula>0.95</formula>
    </cfRule>
    <cfRule type="cellIs" dxfId="8760" priority="10963" operator="between">
      <formula>0.51</formula>
      <formula>0.75</formula>
    </cfRule>
    <cfRule type="cellIs" dxfId="8759" priority="10964" operator="greaterThan">
      <formula>1</formula>
    </cfRule>
    <cfRule type="cellIs" dxfId="8758" priority="10965" operator="between">
      <formula>0.95</formula>
      <formula>1</formula>
    </cfRule>
    <cfRule type="cellIs" dxfId="8757" priority="10966" stopIfTrue="1" operator="between">
      <formula>0</formula>
      <formula>0.5</formula>
    </cfRule>
  </conditionalFormatting>
  <conditionalFormatting sqref="Y288 AF288 R288 AH288:AI288">
    <cfRule type="cellIs" dxfId="8756" priority="10937" operator="between">
      <formula>0.76</formula>
      <formula>0.95</formula>
    </cfRule>
    <cfRule type="cellIs" dxfId="8755" priority="10938" operator="between">
      <formula>0.51</formula>
      <formula>0.75</formula>
    </cfRule>
    <cfRule type="cellIs" dxfId="8754" priority="10939" operator="greaterThan">
      <formula>1</formula>
    </cfRule>
    <cfRule type="cellIs" dxfId="8753" priority="10940" operator="between">
      <formula>0.95</formula>
      <formula>1</formula>
    </cfRule>
    <cfRule type="cellIs" dxfId="8752" priority="10941" stopIfTrue="1" operator="between">
      <formula>0</formula>
      <formula>0.5</formula>
    </cfRule>
  </conditionalFormatting>
  <conditionalFormatting sqref="T288">
    <cfRule type="cellIs" dxfId="8751" priority="10932" operator="between">
      <formula>0.3751</formula>
      <formula>0.475</formula>
    </cfRule>
    <cfRule type="cellIs" dxfId="8750" priority="10933" operator="between">
      <formula>0.2551</formula>
      <formula>0.375</formula>
    </cfRule>
    <cfRule type="cellIs" dxfId="8749" priority="10934" operator="greaterThan">
      <formula>0.505</formula>
    </cfRule>
    <cfRule type="cellIs" dxfId="8748" priority="10935" operator="between">
      <formula>0.48</formula>
      <formula>0.5</formula>
    </cfRule>
    <cfRule type="cellIs" dxfId="8747" priority="10936" stopIfTrue="1" operator="between">
      <formula>0</formula>
      <formula>0.255</formula>
    </cfRule>
  </conditionalFormatting>
  <conditionalFormatting sqref="AA288:AB288">
    <cfRule type="cellIs" dxfId="8746" priority="10927" operator="between">
      <formula>0.56251</formula>
      <formula>0.7125</formula>
    </cfRule>
    <cfRule type="cellIs" dxfId="8745" priority="10928" operator="between">
      <formula>0.3751</formula>
      <formula>0.5625</formula>
    </cfRule>
    <cfRule type="cellIs" dxfId="8744" priority="10929" operator="greaterThan">
      <formula>0.751</formula>
    </cfRule>
    <cfRule type="cellIs" dxfId="8743" priority="10930" operator="between">
      <formula>0.71251</formula>
      <formula>0.75</formula>
    </cfRule>
    <cfRule type="cellIs" dxfId="8742" priority="10931" stopIfTrue="1" operator="between">
      <formula>0</formula>
      <formula>0.375</formula>
    </cfRule>
  </conditionalFormatting>
  <conditionalFormatting sqref="U288">
    <cfRule type="cellIs" dxfId="8741" priority="10917" operator="between">
      <formula>0.376</formula>
      <formula>0.475</formula>
    </cfRule>
    <cfRule type="cellIs" dxfId="8740" priority="10918" operator="between">
      <formula>0.2551</formula>
      <formula>0.3751</formula>
    </cfRule>
    <cfRule type="cellIs" dxfId="8739" priority="10919" operator="greaterThan">
      <formula>0.505</formula>
    </cfRule>
    <cfRule type="cellIs" dxfId="8738" priority="10920" operator="between">
      <formula>0.48</formula>
      <formula>0.5</formula>
    </cfRule>
    <cfRule type="cellIs" dxfId="8737" priority="10921" stopIfTrue="1" operator="between">
      <formula>0</formula>
      <formula>0.255</formula>
    </cfRule>
  </conditionalFormatting>
  <conditionalFormatting sqref="AC288">
    <cfRule type="cellIs" dxfId="8736" priority="10909" operator="between">
      <formula>0.56251</formula>
      <formula>0.7125</formula>
    </cfRule>
    <cfRule type="cellIs" dxfId="8735" priority="10910" operator="between">
      <formula>0.3751</formula>
      <formula>0.5625</formula>
    </cfRule>
    <cfRule type="cellIs" dxfId="8734" priority="10911" operator="greaterThan">
      <formula>0.751</formula>
    </cfRule>
    <cfRule type="cellIs" dxfId="8733" priority="10912" operator="between">
      <formula>0.71251</formula>
      <formula>0.75</formula>
    </cfRule>
    <cfRule type="cellIs" dxfId="8732" priority="10913" stopIfTrue="1" operator="between">
      <formula>0</formula>
      <formula>0.375</formula>
    </cfRule>
  </conditionalFormatting>
  <conditionalFormatting sqref="V288">
    <cfRule type="cellIs" dxfId="8731" priority="10894" operator="between">
      <formula>0.376</formula>
      <formula>0.475</formula>
    </cfRule>
    <cfRule type="cellIs" dxfId="8730" priority="10895" operator="between">
      <formula>0.2551</formula>
      <formula>0.3751</formula>
    </cfRule>
    <cfRule type="cellIs" dxfId="8729" priority="10896" operator="greaterThan">
      <formula>0.505</formula>
    </cfRule>
    <cfRule type="cellIs" dxfId="8728" priority="10897" operator="between">
      <formula>0.48</formula>
      <formula>0.5</formula>
    </cfRule>
    <cfRule type="cellIs" dxfId="8727" priority="10898" stopIfTrue="1" operator="between">
      <formula>0</formula>
      <formula>0.255</formula>
    </cfRule>
  </conditionalFormatting>
  <conditionalFormatting sqref="S288">
    <cfRule type="cellIs" dxfId="8726" priority="10889" operator="between">
      <formula>0.76</formula>
      <formula>0.95</formula>
    </cfRule>
    <cfRule type="cellIs" dxfId="8725" priority="10890" operator="between">
      <formula>0.51</formula>
      <formula>0.75</formula>
    </cfRule>
    <cfRule type="cellIs" dxfId="8724" priority="10891" operator="greaterThan">
      <formula>1</formula>
    </cfRule>
    <cfRule type="cellIs" dxfId="8723" priority="10892" operator="between">
      <formula>0.95</formula>
      <formula>1</formula>
    </cfRule>
    <cfRule type="cellIs" dxfId="8722" priority="10893" stopIfTrue="1" operator="between">
      <formula>0</formula>
      <formula>0.5</formula>
    </cfRule>
  </conditionalFormatting>
  <conditionalFormatting sqref="Z288">
    <cfRule type="cellIs" dxfId="8721" priority="10884" operator="between">
      <formula>0.76</formula>
      <formula>0.95</formula>
    </cfRule>
    <cfRule type="cellIs" dxfId="8720" priority="10885" operator="between">
      <formula>0.51</formula>
      <formula>0.75</formula>
    </cfRule>
    <cfRule type="cellIs" dxfId="8719" priority="10886" operator="greaterThan">
      <formula>1</formula>
    </cfRule>
    <cfRule type="cellIs" dxfId="8718" priority="10887" operator="between">
      <formula>0.95</formula>
      <formula>1</formula>
    </cfRule>
    <cfRule type="cellIs" dxfId="8717" priority="10888" stopIfTrue="1" operator="between">
      <formula>0</formula>
      <formula>0.5</formula>
    </cfRule>
  </conditionalFormatting>
  <conditionalFormatting sqref="AG288">
    <cfRule type="cellIs" dxfId="8716" priority="10879" operator="between">
      <formula>0.76</formula>
      <formula>0.95</formula>
    </cfRule>
    <cfRule type="cellIs" dxfId="8715" priority="10880" operator="between">
      <formula>0.51</formula>
      <formula>0.75</formula>
    </cfRule>
    <cfRule type="cellIs" dxfId="8714" priority="10881" operator="greaterThan">
      <formula>1</formula>
    </cfRule>
    <cfRule type="cellIs" dxfId="8713" priority="10882" operator="between">
      <formula>0.95</formula>
      <formula>1</formula>
    </cfRule>
    <cfRule type="cellIs" dxfId="8712" priority="10883" stopIfTrue="1" operator="between">
      <formula>0</formula>
      <formula>0.5</formula>
    </cfRule>
  </conditionalFormatting>
  <conditionalFormatting sqref="Y289 AF289 R289 AH289:AI289 AH291:AI291 R291 AF291 Y291">
    <cfRule type="cellIs" dxfId="8711" priority="10874" operator="between">
      <formula>0.76</formula>
      <formula>0.95</formula>
    </cfRule>
    <cfRule type="cellIs" dxfId="8710" priority="10875" operator="between">
      <formula>0.51</formula>
      <formula>0.75</formula>
    </cfRule>
    <cfRule type="cellIs" dxfId="8709" priority="10876" operator="greaterThan">
      <formula>1</formula>
    </cfRule>
    <cfRule type="cellIs" dxfId="8708" priority="10877" operator="between">
      <formula>0.95</formula>
      <formula>1</formula>
    </cfRule>
    <cfRule type="cellIs" dxfId="8707" priority="10878" stopIfTrue="1" operator="between">
      <formula>0</formula>
      <formula>0.5</formula>
    </cfRule>
  </conditionalFormatting>
  <conditionalFormatting sqref="T289 T291">
    <cfRule type="cellIs" dxfId="8706" priority="10869" operator="between">
      <formula>0.3751</formula>
      <formula>0.475</formula>
    </cfRule>
    <cfRule type="cellIs" dxfId="8705" priority="10870" operator="between">
      <formula>0.2551</formula>
      <formula>0.375</formula>
    </cfRule>
    <cfRule type="cellIs" dxfId="8704" priority="10871" operator="greaterThan">
      <formula>0.505</formula>
    </cfRule>
    <cfRule type="cellIs" dxfId="8703" priority="10872" operator="between">
      <formula>0.48</formula>
      <formula>0.5</formula>
    </cfRule>
    <cfRule type="cellIs" dxfId="8702" priority="10873" stopIfTrue="1" operator="between">
      <formula>0</formula>
      <formula>0.255</formula>
    </cfRule>
  </conditionalFormatting>
  <conditionalFormatting sqref="AA289:AB289 AA291:AB291">
    <cfRule type="cellIs" dxfId="8701" priority="10864" operator="between">
      <formula>0.56251</formula>
      <formula>0.7125</formula>
    </cfRule>
    <cfRule type="cellIs" dxfId="8700" priority="10865" operator="between">
      <formula>0.3751</formula>
      <formula>0.5625</formula>
    </cfRule>
    <cfRule type="cellIs" dxfId="8699" priority="10866" operator="greaterThan">
      <formula>0.751</formula>
    </cfRule>
    <cfRule type="cellIs" dxfId="8698" priority="10867" operator="between">
      <formula>0.71251</formula>
      <formula>0.75</formula>
    </cfRule>
    <cfRule type="cellIs" dxfId="8697" priority="10868" stopIfTrue="1" operator="between">
      <formula>0</formula>
      <formula>0.375</formula>
    </cfRule>
  </conditionalFormatting>
  <conditionalFormatting sqref="U289 U291">
    <cfRule type="cellIs" dxfId="8696" priority="10854" operator="between">
      <formula>0.376</formula>
      <formula>0.475</formula>
    </cfRule>
    <cfRule type="cellIs" dxfId="8695" priority="10855" operator="between">
      <formula>0.2551</formula>
      <formula>0.3751</formula>
    </cfRule>
    <cfRule type="cellIs" dxfId="8694" priority="10856" operator="greaterThan">
      <formula>0.505</formula>
    </cfRule>
    <cfRule type="cellIs" dxfId="8693" priority="10857" operator="between">
      <formula>0.48</formula>
      <formula>0.5</formula>
    </cfRule>
    <cfRule type="cellIs" dxfId="8692" priority="10858" stopIfTrue="1" operator="between">
      <formula>0</formula>
      <formula>0.255</formula>
    </cfRule>
  </conditionalFormatting>
  <conditionalFormatting sqref="AC289">
    <cfRule type="cellIs" dxfId="8691" priority="10846" operator="between">
      <formula>0.56251</formula>
      <formula>0.7125</formula>
    </cfRule>
    <cfRule type="cellIs" dxfId="8690" priority="10847" operator="between">
      <formula>0.3751</formula>
      <formula>0.5625</formula>
    </cfRule>
    <cfRule type="cellIs" dxfId="8689" priority="10848" operator="greaterThan">
      <formula>0.751</formula>
    </cfRule>
    <cfRule type="cellIs" dxfId="8688" priority="10849" operator="between">
      <formula>0.71251</formula>
      <formula>0.75</formula>
    </cfRule>
    <cfRule type="cellIs" dxfId="8687" priority="10850" stopIfTrue="1" operator="between">
      <formula>0</formula>
      <formula>0.375</formula>
    </cfRule>
  </conditionalFormatting>
  <conditionalFormatting sqref="V289">
    <cfRule type="cellIs" dxfId="8686" priority="10831" operator="between">
      <formula>0.376</formula>
      <formula>0.475</formula>
    </cfRule>
    <cfRule type="cellIs" dxfId="8685" priority="10832" operator="between">
      <formula>0.2551</formula>
      <formula>0.3751</formula>
    </cfRule>
    <cfRule type="cellIs" dxfId="8684" priority="10833" operator="greaterThan">
      <formula>0.505</formula>
    </cfRule>
    <cfRule type="cellIs" dxfId="8683" priority="10834" operator="between">
      <formula>0.48</formula>
      <formula>0.5</formula>
    </cfRule>
    <cfRule type="cellIs" dxfId="8682" priority="10835" stopIfTrue="1" operator="between">
      <formula>0</formula>
      <formula>0.255</formula>
    </cfRule>
  </conditionalFormatting>
  <conditionalFormatting sqref="S289">
    <cfRule type="cellIs" dxfId="8681" priority="10826" operator="between">
      <formula>0.76</formula>
      <formula>0.95</formula>
    </cfRule>
    <cfRule type="cellIs" dxfId="8680" priority="10827" operator="between">
      <formula>0.51</formula>
      <formula>0.75</formula>
    </cfRule>
    <cfRule type="cellIs" dxfId="8679" priority="10828" operator="greaterThan">
      <formula>1</formula>
    </cfRule>
    <cfRule type="cellIs" dxfId="8678" priority="10829" operator="between">
      <formula>0.95</formula>
      <formula>1</formula>
    </cfRule>
    <cfRule type="cellIs" dxfId="8677" priority="10830" stopIfTrue="1" operator="between">
      <formula>0</formula>
      <formula>0.5</formula>
    </cfRule>
  </conditionalFormatting>
  <conditionalFormatting sqref="Z289">
    <cfRule type="cellIs" dxfId="8676" priority="10821" operator="between">
      <formula>0.76</formula>
      <formula>0.95</formula>
    </cfRule>
    <cfRule type="cellIs" dxfId="8675" priority="10822" operator="between">
      <formula>0.51</formula>
      <formula>0.75</formula>
    </cfRule>
    <cfRule type="cellIs" dxfId="8674" priority="10823" operator="greaterThan">
      <formula>1</formula>
    </cfRule>
    <cfRule type="cellIs" dxfId="8673" priority="10824" operator="between">
      <formula>0.95</formula>
      <formula>1</formula>
    </cfRule>
    <cfRule type="cellIs" dxfId="8672" priority="10825" stopIfTrue="1" operator="between">
      <formula>0</formula>
      <formula>0.5</formula>
    </cfRule>
  </conditionalFormatting>
  <conditionalFormatting sqref="AG289 AG291">
    <cfRule type="cellIs" dxfId="8671" priority="10816" operator="between">
      <formula>0.76</formula>
      <formula>0.95</formula>
    </cfRule>
    <cfRule type="cellIs" dxfId="8670" priority="10817" operator="between">
      <formula>0.51</formula>
      <formula>0.75</formula>
    </cfRule>
    <cfRule type="cellIs" dxfId="8669" priority="10818" operator="greaterThan">
      <formula>1</formula>
    </cfRule>
    <cfRule type="cellIs" dxfId="8668" priority="10819" operator="between">
      <formula>0.95</formula>
      <formula>1</formula>
    </cfRule>
    <cfRule type="cellIs" dxfId="8667" priority="10820" stopIfTrue="1" operator="between">
      <formula>0</formula>
      <formula>0.5</formula>
    </cfRule>
  </conditionalFormatting>
  <conditionalFormatting sqref="Y296 AF296 R296 AH296:AI296">
    <cfRule type="cellIs" dxfId="8666" priority="10811" operator="between">
      <formula>0.76</formula>
      <formula>0.95</formula>
    </cfRule>
    <cfRule type="cellIs" dxfId="8665" priority="10812" operator="between">
      <formula>0.51</formula>
      <formula>0.75</formula>
    </cfRule>
    <cfRule type="cellIs" dxfId="8664" priority="10813" operator="greaterThan">
      <formula>1</formula>
    </cfRule>
    <cfRule type="cellIs" dxfId="8663" priority="10814" operator="between">
      <formula>0.95</formula>
      <formula>1</formula>
    </cfRule>
    <cfRule type="cellIs" dxfId="8662" priority="10815" stopIfTrue="1" operator="between">
      <formula>0</formula>
      <formula>0.5</formula>
    </cfRule>
  </conditionalFormatting>
  <conditionalFormatting sqref="T296">
    <cfRule type="cellIs" dxfId="8661" priority="10806" operator="between">
      <formula>0.3751</formula>
      <formula>0.475</formula>
    </cfRule>
    <cfRule type="cellIs" dxfId="8660" priority="10807" operator="between">
      <formula>0.2551</formula>
      <formula>0.375</formula>
    </cfRule>
    <cfRule type="cellIs" dxfId="8659" priority="10808" operator="greaterThan">
      <formula>0.505</formula>
    </cfRule>
    <cfRule type="cellIs" dxfId="8658" priority="10809" operator="between">
      <formula>0.48</formula>
      <formula>0.5</formula>
    </cfRule>
    <cfRule type="cellIs" dxfId="8657" priority="10810" stopIfTrue="1" operator="between">
      <formula>0</formula>
      <formula>0.255</formula>
    </cfRule>
  </conditionalFormatting>
  <conditionalFormatting sqref="AA296:AB296">
    <cfRule type="cellIs" dxfId="8656" priority="10801" operator="between">
      <formula>0.56251</formula>
      <formula>0.7125</formula>
    </cfRule>
    <cfRule type="cellIs" dxfId="8655" priority="10802" operator="between">
      <formula>0.3751</formula>
      <formula>0.5625</formula>
    </cfRule>
    <cfRule type="cellIs" dxfId="8654" priority="10803" operator="greaterThan">
      <formula>0.751</formula>
    </cfRule>
    <cfRule type="cellIs" dxfId="8653" priority="10804" operator="between">
      <formula>0.71251</formula>
      <formula>0.75</formula>
    </cfRule>
    <cfRule type="cellIs" dxfId="8652" priority="10805" stopIfTrue="1" operator="between">
      <formula>0</formula>
      <formula>0.375</formula>
    </cfRule>
  </conditionalFormatting>
  <conditionalFormatting sqref="U296">
    <cfRule type="cellIs" dxfId="8651" priority="10791" operator="between">
      <formula>0.376</formula>
      <formula>0.475</formula>
    </cfRule>
    <cfRule type="cellIs" dxfId="8650" priority="10792" operator="between">
      <formula>0.2551</formula>
      <formula>0.3751</formula>
    </cfRule>
    <cfRule type="cellIs" dxfId="8649" priority="10793" operator="greaterThan">
      <formula>0.505</formula>
    </cfRule>
    <cfRule type="cellIs" dxfId="8648" priority="10794" operator="between">
      <formula>0.48</formula>
      <formula>0.5</formula>
    </cfRule>
    <cfRule type="cellIs" dxfId="8647" priority="10795" stopIfTrue="1" operator="between">
      <formula>0</formula>
      <formula>0.255</formula>
    </cfRule>
  </conditionalFormatting>
  <conditionalFormatting sqref="AC296">
    <cfRule type="cellIs" dxfId="8646" priority="10783" operator="between">
      <formula>0.56251</formula>
      <formula>0.7125</formula>
    </cfRule>
    <cfRule type="cellIs" dxfId="8645" priority="10784" operator="between">
      <formula>0.3751</formula>
      <formula>0.5625</formula>
    </cfRule>
    <cfRule type="cellIs" dxfId="8644" priority="10785" operator="greaterThan">
      <formula>0.751</formula>
    </cfRule>
    <cfRule type="cellIs" dxfId="8643" priority="10786" operator="between">
      <formula>0.71251</formula>
      <formula>0.75</formula>
    </cfRule>
    <cfRule type="cellIs" dxfId="8642" priority="10787" stopIfTrue="1" operator="between">
      <formula>0</formula>
      <formula>0.375</formula>
    </cfRule>
  </conditionalFormatting>
  <conditionalFormatting sqref="V296">
    <cfRule type="cellIs" dxfId="8641" priority="10768" operator="between">
      <formula>0.376</formula>
      <formula>0.475</formula>
    </cfRule>
    <cfRule type="cellIs" dxfId="8640" priority="10769" operator="between">
      <formula>0.2551</formula>
      <formula>0.3751</formula>
    </cfRule>
    <cfRule type="cellIs" dxfId="8639" priority="10770" operator="greaterThan">
      <formula>0.505</formula>
    </cfRule>
    <cfRule type="cellIs" dxfId="8638" priority="10771" operator="between">
      <formula>0.48</formula>
      <formula>0.5</formula>
    </cfRule>
    <cfRule type="cellIs" dxfId="8637" priority="10772" stopIfTrue="1" operator="between">
      <formula>0</formula>
      <formula>0.255</formula>
    </cfRule>
  </conditionalFormatting>
  <conditionalFormatting sqref="S296">
    <cfRule type="cellIs" dxfId="8636" priority="10763" operator="between">
      <formula>0.76</formula>
      <formula>0.95</formula>
    </cfRule>
    <cfRule type="cellIs" dxfId="8635" priority="10764" operator="between">
      <formula>0.51</formula>
      <formula>0.75</formula>
    </cfRule>
    <cfRule type="cellIs" dxfId="8634" priority="10765" operator="greaterThan">
      <formula>1</formula>
    </cfRule>
    <cfRule type="cellIs" dxfId="8633" priority="10766" operator="between">
      <formula>0.95</formula>
      <formula>1</formula>
    </cfRule>
    <cfRule type="cellIs" dxfId="8632" priority="10767" stopIfTrue="1" operator="between">
      <formula>0</formula>
      <formula>0.5</formula>
    </cfRule>
  </conditionalFormatting>
  <conditionalFormatting sqref="Z296">
    <cfRule type="cellIs" dxfId="8631" priority="10758" operator="between">
      <formula>0.76</formula>
      <formula>0.95</formula>
    </cfRule>
    <cfRule type="cellIs" dxfId="8630" priority="10759" operator="between">
      <formula>0.51</formula>
      <formula>0.75</formula>
    </cfRule>
    <cfRule type="cellIs" dxfId="8629" priority="10760" operator="greaterThan">
      <formula>1</formula>
    </cfRule>
    <cfRule type="cellIs" dxfId="8628" priority="10761" operator="between">
      <formula>0.95</formula>
      <formula>1</formula>
    </cfRule>
    <cfRule type="cellIs" dxfId="8627" priority="10762" stopIfTrue="1" operator="between">
      <formula>0</formula>
      <formula>0.5</formula>
    </cfRule>
  </conditionalFormatting>
  <conditionalFormatting sqref="AG296">
    <cfRule type="cellIs" dxfId="8626" priority="10753" operator="between">
      <formula>0.76</formula>
      <formula>0.95</formula>
    </cfRule>
    <cfRule type="cellIs" dxfId="8625" priority="10754" operator="between">
      <formula>0.51</formula>
      <formula>0.75</formula>
    </cfRule>
    <cfRule type="cellIs" dxfId="8624" priority="10755" operator="greaterThan">
      <formula>1</formula>
    </cfRule>
    <cfRule type="cellIs" dxfId="8623" priority="10756" operator="between">
      <formula>0.95</formula>
      <formula>1</formula>
    </cfRule>
    <cfRule type="cellIs" dxfId="8622" priority="10757" stopIfTrue="1" operator="between">
      <formula>0</formula>
      <formula>0.5</formula>
    </cfRule>
  </conditionalFormatting>
  <conditionalFormatting sqref="Y298 AF298 R298 AH298:AI298">
    <cfRule type="cellIs" dxfId="8621" priority="10748" operator="between">
      <formula>0.76</formula>
      <formula>0.95</formula>
    </cfRule>
    <cfRule type="cellIs" dxfId="8620" priority="10749" operator="between">
      <formula>0.51</formula>
      <formula>0.75</formula>
    </cfRule>
    <cfRule type="cellIs" dxfId="8619" priority="10750" operator="greaterThan">
      <formula>1</formula>
    </cfRule>
    <cfRule type="cellIs" dxfId="8618" priority="10751" operator="between">
      <formula>0.95</formula>
      <formula>1</formula>
    </cfRule>
    <cfRule type="cellIs" dxfId="8617" priority="10752" stopIfTrue="1" operator="between">
      <formula>0</formula>
      <formula>0.5</formula>
    </cfRule>
  </conditionalFormatting>
  <conditionalFormatting sqref="T298">
    <cfRule type="cellIs" dxfId="8616" priority="10743" operator="between">
      <formula>0.3751</formula>
      <formula>0.475</formula>
    </cfRule>
    <cfRule type="cellIs" dxfId="8615" priority="10744" operator="between">
      <formula>0.2551</formula>
      <formula>0.375</formula>
    </cfRule>
    <cfRule type="cellIs" dxfId="8614" priority="10745" operator="greaterThan">
      <formula>0.505</formula>
    </cfRule>
    <cfRule type="cellIs" dxfId="8613" priority="10746" operator="between">
      <formula>0.48</formula>
      <formula>0.5</formula>
    </cfRule>
    <cfRule type="cellIs" dxfId="8612" priority="10747" stopIfTrue="1" operator="between">
      <formula>0</formula>
      <formula>0.255</formula>
    </cfRule>
  </conditionalFormatting>
  <conditionalFormatting sqref="AA298:AB298">
    <cfRule type="cellIs" dxfId="8611" priority="10738" operator="between">
      <formula>0.56251</formula>
      <formula>0.7125</formula>
    </cfRule>
    <cfRule type="cellIs" dxfId="8610" priority="10739" operator="between">
      <formula>0.3751</formula>
      <formula>0.5625</formula>
    </cfRule>
    <cfRule type="cellIs" dxfId="8609" priority="10740" operator="greaterThan">
      <formula>0.751</formula>
    </cfRule>
    <cfRule type="cellIs" dxfId="8608" priority="10741" operator="between">
      <formula>0.71251</formula>
      <formula>0.75</formula>
    </cfRule>
    <cfRule type="cellIs" dxfId="8607" priority="10742" stopIfTrue="1" operator="between">
      <formula>0</formula>
      <formula>0.375</formula>
    </cfRule>
  </conditionalFormatting>
  <conditionalFormatting sqref="U298">
    <cfRule type="cellIs" dxfId="8606" priority="10728" operator="between">
      <formula>0.376</formula>
      <formula>0.475</formula>
    </cfRule>
    <cfRule type="cellIs" dxfId="8605" priority="10729" operator="between">
      <formula>0.2551</formula>
      <formula>0.3751</formula>
    </cfRule>
    <cfRule type="cellIs" dxfId="8604" priority="10730" operator="greaterThan">
      <formula>0.505</formula>
    </cfRule>
    <cfRule type="cellIs" dxfId="8603" priority="10731" operator="between">
      <formula>0.48</formula>
      <formula>0.5</formula>
    </cfRule>
    <cfRule type="cellIs" dxfId="8602" priority="10732" stopIfTrue="1" operator="between">
      <formula>0</formula>
      <formula>0.255</formula>
    </cfRule>
  </conditionalFormatting>
  <conditionalFormatting sqref="AC298">
    <cfRule type="cellIs" dxfId="8601" priority="10720" operator="between">
      <formula>0.56251</formula>
      <formula>0.7125</formula>
    </cfRule>
    <cfRule type="cellIs" dxfId="8600" priority="10721" operator="between">
      <formula>0.3751</formula>
      <formula>0.5625</formula>
    </cfRule>
    <cfRule type="cellIs" dxfId="8599" priority="10722" operator="greaterThan">
      <formula>0.751</formula>
    </cfRule>
    <cfRule type="cellIs" dxfId="8598" priority="10723" operator="between">
      <formula>0.71251</formula>
      <formula>0.75</formula>
    </cfRule>
    <cfRule type="cellIs" dxfId="8597" priority="10724" stopIfTrue="1" operator="between">
      <formula>0</formula>
      <formula>0.375</formula>
    </cfRule>
  </conditionalFormatting>
  <conditionalFormatting sqref="V298">
    <cfRule type="cellIs" dxfId="8596" priority="10705" operator="between">
      <formula>0.376</formula>
      <formula>0.475</formula>
    </cfRule>
    <cfRule type="cellIs" dxfId="8595" priority="10706" operator="between">
      <formula>0.2551</formula>
      <formula>0.3751</formula>
    </cfRule>
    <cfRule type="cellIs" dxfId="8594" priority="10707" operator="greaterThan">
      <formula>0.505</formula>
    </cfRule>
    <cfRule type="cellIs" dxfId="8593" priority="10708" operator="between">
      <formula>0.48</formula>
      <formula>0.5</formula>
    </cfRule>
    <cfRule type="cellIs" dxfId="8592" priority="10709" stopIfTrue="1" operator="between">
      <formula>0</formula>
      <formula>0.255</formula>
    </cfRule>
  </conditionalFormatting>
  <conditionalFormatting sqref="S298">
    <cfRule type="cellIs" dxfId="8591" priority="10700" operator="between">
      <formula>0.76</formula>
      <formula>0.95</formula>
    </cfRule>
    <cfRule type="cellIs" dxfId="8590" priority="10701" operator="between">
      <formula>0.51</formula>
      <formula>0.75</formula>
    </cfRule>
    <cfRule type="cellIs" dxfId="8589" priority="10702" operator="greaterThan">
      <formula>1</formula>
    </cfRule>
    <cfRule type="cellIs" dxfId="8588" priority="10703" operator="between">
      <formula>0.95</formula>
      <formula>1</formula>
    </cfRule>
    <cfRule type="cellIs" dxfId="8587" priority="10704" stopIfTrue="1" operator="between">
      <formula>0</formula>
      <formula>0.5</formula>
    </cfRule>
  </conditionalFormatting>
  <conditionalFormatting sqref="AG298">
    <cfRule type="cellIs" dxfId="8586" priority="10690" operator="between">
      <formula>0.76</formula>
      <formula>0.95</formula>
    </cfRule>
    <cfRule type="cellIs" dxfId="8585" priority="10691" operator="between">
      <formula>0.51</formula>
      <formula>0.75</formula>
    </cfRule>
    <cfRule type="cellIs" dxfId="8584" priority="10692" operator="greaterThan">
      <formula>1</formula>
    </cfRule>
    <cfRule type="cellIs" dxfId="8583" priority="10693" operator="between">
      <formula>0.95</formula>
      <formula>1</formula>
    </cfRule>
    <cfRule type="cellIs" dxfId="8582" priority="10694" stopIfTrue="1" operator="between">
      <formula>0</formula>
      <formula>0.5</formula>
    </cfRule>
  </conditionalFormatting>
  <conditionalFormatting sqref="Y297 AF297 R297 AH297:AI297">
    <cfRule type="cellIs" dxfId="8581" priority="10685" operator="between">
      <formula>0.76</formula>
      <formula>0.95</formula>
    </cfRule>
    <cfRule type="cellIs" dxfId="8580" priority="10686" operator="between">
      <formula>0.51</formula>
      <formula>0.75</formula>
    </cfRule>
    <cfRule type="cellIs" dxfId="8579" priority="10687" operator="greaterThan">
      <formula>1</formula>
    </cfRule>
    <cfRule type="cellIs" dxfId="8578" priority="10688" operator="between">
      <formula>0.95</formula>
      <formula>1</formula>
    </cfRule>
    <cfRule type="cellIs" dxfId="8577" priority="10689" stopIfTrue="1" operator="between">
      <formula>0</formula>
      <formula>0.5</formula>
    </cfRule>
  </conditionalFormatting>
  <conditionalFormatting sqref="T297">
    <cfRule type="cellIs" dxfId="8576" priority="10680" operator="between">
      <formula>0.3751</formula>
      <formula>0.475</formula>
    </cfRule>
    <cfRule type="cellIs" dxfId="8575" priority="10681" operator="between">
      <formula>0.2551</formula>
      <formula>0.375</formula>
    </cfRule>
    <cfRule type="cellIs" dxfId="8574" priority="10682" operator="greaterThan">
      <formula>0.505</formula>
    </cfRule>
    <cfRule type="cellIs" dxfId="8573" priority="10683" operator="between">
      <formula>0.48</formula>
      <formula>0.5</formula>
    </cfRule>
    <cfRule type="cellIs" dxfId="8572" priority="10684" stopIfTrue="1" operator="between">
      <formula>0</formula>
      <formula>0.255</formula>
    </cfRule>
  </conditionalFormatting>
  <conditionalFormatting sqref="AA297:AB297">
    <cfRule type="cellIs" dxfId="8571" priority="10675" operator="between">
      <formula>0.56251</formula>
      <formula>0.7125</formula>
    </cfRule>
    <cfRule type="cellIs" dxfId="8570" priority="10676" operator="between">
      <formula>0.3751</formula>
      <formula>0.5625</formula>
    </cfRule>
    <cfRule type="cellIs" dxfId="8569" priority="10677" operator="greaterThan">
      <formula>0.751</formula>
    </cfRule>
    <cfRule type="cellIs" dxfId="8568" priority="10678" operator="between">
      <formula>0.71251</formula>
      <formula>0.75</formula>
    </cfRule>
    <cfRule type="cellIs" dxfId="8567" priority="10679" stopIfTrue="1" operator="between">
      <formula>0</formula>
      <formula>0.375</formula>
    </cfRule>
  </conditionalFormatting>
  <conditionalFormatting sqref="U297">
    <cfRule type="cellIs" dxfId="8566" priority="10665" operator="between">
      <formula>0.376</formula>
      <formula>0.475</formula>
    </cfRule>
    <cfRule type="cellIs" dxfId="8565" priority="10666" operator="between">
      <formula>0.2551</formula>
      <formula>0.3751</formula>
    </cfRule>
    <cfRule type="cellIs" dxfId="8564" priority="10667" operator="greaterThan">
      <formula>0.505</formula>
    </cfRule>
    <cfRule type="cellIs" dxfId="8563" priority="10668" operator="between">
      <formula>0.48</formula>
      <formula>0.5</formula>
    </cfRule>
    <cfRule type="cellIs" dxfId="8562" priority="10669" stopIfTrue="1" operator="between">
      <formula>0</formula>
      <formula>0.255</formula>
    </cfRule>
  </conditionalFormatting>
  <conditionalFormatting sqref="V297">
    <cfRule type="cellIs" dxfId="8561" priority="10642" operator="between">
      <formula>0.376</formula>
      <formula>0.475</formula>
    </cfRule>
    <cfRule type="cellIs" dxfId="8560" priority="10643" operator="between">
      <formula>0.2551</formula>
      <formula>0.3751</formula>
    </cfRule>
    <cfRule type="cellIs" dxfId="8559" priority="10644" operator="greaterThan">
      <formula>0.505</formula>
    </cfRule>
    <cfRule type="cellIs" dxfId="8558" priority="10645" operator="between">
      <formula>0.48</formula>
      <formula>0.5</formula>
    </cfRule>
    <cfRule type="cellIs" dxfId="8557" priority="10646" stopIfTrue="1" operator="between">
      <formula>0</formula>
      <formula>0.255</formula>
    </cfRule>
  </conditionalFormatting>
  <conditionalFormatting sqref="S297">
    <cfRule type="cellIs" dxfId="8556" priority="10637" operator="between">
      <formula>0.76</formula>
      <formula>0.95</formula>
    </cfRule>
    <cfRule type="cellIs" dxfId="8555" priority="10638" operator="between">
      <formula>0.51</formula>
      <formula>0.75</formula>
    </cfRule>
    <cfRule type="cellIs" dxfId="8554" priority="10639" operator="greaterThan">
      <formula>1</formula>
    </cfRule>
    <cfRule type="cellIs" dxfId="8553" priority="10640" operator="between">
      <formula>0.95</formula>
      <formula>1</formula>
    </cfRule>
    <cfRule type="cellIs" dxfId="8552" priority="10641" stopIfTrue="1" operator="between">
      <formula>0</formula>
      <formula>0.5</formula>
    </cfRule>
  </conditionalFormatting>
  <conditionalFormatting sqref="AG297">
    <cfRule type="cellIs" dxfId="8551" priority="10627" operator="between">
      <formula>0.76</formula>
      <formula>0.95</formula>
    </cfRule>
    <cfRule type="cellIs" dxfId="8550" priority="10628" operator="between">
      <formula>0.51</formula>
      <formula>0.75</formula>
    </cfRule>
    <cfRule type="cellIs" dxfId="8549" priority="10629" operator="greaterThan">
      <formula>1</formula>
    </cfRule>
    <cfRule type="cellIs" dxfId="8548" priority="10630" operator="between">
      <formula>0.95</formula>
      <formula>1</formula>
    </cfRule>
    <cfRule type="cellIs" dxfId="8547" priority="10631" stopIfTrue="1" operator="between">
      <formula>0</formula>
      <formula>0.5</formula>
    </cfRule>
  </conditionalFormatting>
  <conditionalFormatting sqref="S291">
    <cfRule type="cellIs" dxfId="8546" priority="10612" operator="between">
      <formula>0.76</formula>
      <formula>0.95</formula>
    </cfRule>
    <cfRule type="cellIs" dxfId="8545" priority="10613" operator="between">
      <formula>0.51</formula>
      <formula>0.75</formula>
    </cfRule>
    <cfRule type="cellIs" dxfId="8544" priority="10614" operator="greaterThan">
      <formula>1</formula>
    </cfRule>
    <cfRule type="cellIs" dxfId="8543" priority="10615" operator="between">
      <formula>0.95</formula>
      <formula>1</formula>
    </cfRule>
    <cfRule type="cellIs" dxfId="8542" priority="10616" stopIfTrue="1" operator="between">
      <formula>0</formula>
      <formula>0.5</formula>
    </cfRule>
  </conditionalFormatting>
  <conditionalFormatting sqref="V291">
    <cfRule type="cellIs" dxfId="8541" priority="10607" operator="between">
      <formula>0.376</formula>
      <formula>0.475</formula>
    </cfRule>
    <cfRule type="cellIs" dxfId="8540" priority="10608" operator="between">
      <formula>0.2551</formula>
      <formula>0.3751</formula>
    </cfRule>
    <cfRule type="cellIs" dxfId="8539" priority="10609" operator="greaterThan">
      <formula>0.505</formula>
    </cfRule>
    <cfRule type="cellIs" dxfId="8538" priority="10610" operator="between">
      <formula>0.48</formula>
      <formula>0.5</formula>
    </cfRule>
    <cfRule type="cellIs" dxfId="8537" priority="10611" stopIfTrue="1" operator="between">
      <formula>0</formula>
      <formula>0.255</formula>
    </cfRule>
  </conditionalFormatting>
  <conditionalFormatting sqref="Z291">
    <cfRule type="cellIs" dxfId="8536" priority="10602" operator="between">
      <formula>0.76</formula>
      <formula>0.95</formula>
    </cfRule>
    <cfRule type="cellIs" dxfId="8535" priority="10603" operator="between">
      <formula>0.51</formula>
      <formula>0.75</formula>
    </cfRule>
    <cfRule type="cellIs" dxfId="8534" priority="10604" operator="greaterThan">
      <formula>1</formula>
    </cfRule>
    <cfRule type="cellIs" dxfId="8533" priority="10605" operator="between">
      <formula>0.95</formula>
      <formula>1</formula>
    </cfRule>
    <cfRule type="cellIs" dxfId="8532" priority="10606" stopIfTrue="1" operator="between">
      <formula>0</formula>
      <formula>0.5</formula>
    </cfRule>
  </conditionalFormatting>
  <conditionalFormatting sqref="AC291">
    <cfRule type="cellIs" dxfId="8531" priority="10597" operator="between">
      <formula>0.56251</formula>
      <formula>0.7125</formula>
    </cfRule>
    <cfRule type="cellIs" dxfId="8530" priority="10598" operator="between">
      <formula>0.3751</formula>
      <formula>0.5625</formula>
    </cfRule>
    <cfRule type="cellIs" dxfId="8529" priority="10599" operator="greaterThan">
      <formula>0.751</formula>
    </cfRule>
    <cfRule type="cellIs" dxfId="8528" priority="10600" operator="between">
      <formula>0.71251</formula>
      <formula>0.75</formula>
    </cfRule>
    <cfRule type="cellIs" dxfId="8527" priority="10601" stopIfTrue="1" operator="between">
      <formula>0</formula>
      <formula>0.375</formula>
    </cfRule>
  </conditionalFormatting>
  <conditionalFormatting sqref="Z297">
    <cfRule type="cellIs" dxfId="8526" priority="10592" operator="between">
      <formula>0.76</formula>
      <formula>0.95</formula>
    </cfRule>
    <cfRule type="cellIs" dxfId="8525" priority="10593" operator="between">
      <formula>0.51</formula>
      <formula>0.75</formula>
    </cfRule>
    <cfRule type="cellIs" dxfId="8524" priority="10594" operator="greaterThan">
      <formula>1</formula>
    </cfRule>
    <cfRule type="cellIs" dxfId="8523" priority="10595" operator="between">
      <formula>0.95</formula>
      <formula>1</formula>
    </cfRule>
    <cfRule type="cellIs" dxfId="8522" priority="10596" stopIfTrue="1" operator="between">
      <formula>0</formula>
      <formula>0.5</formula>
    </cfRule>
  </conditionalFormatting>
  <conditionalFormatting sqref="AC297">
    <cfRule type="cellIs" dxfId="8521" priority="10587" operator="between">
      <formula>0.56251</formula>
      <formula>0.7125</formula>
    </cfRule>
    <cfRule type="cellIs" dxfId="8520" priority="10588" operator="between">
      <formula>0.3751</formula>
      <formula>0.5625</formula>
    </cfRule>
    <cfRule type="cellIs" dxfId="8519" priority="10589" operator="greaterThan">
      <formula>0.751</formula>
    </cfRule>
    <cfRule type="cellIs" dxfId="8518" priority="10590" operator="between">
      <formula>0.71251</formula>
      <formula>0.75</formula>
    </cfRule>
    <cfRule type="cellIs" dxfId="8517" priority="10591" stopIfTrue="1" operator="between">
      <formula>0</formula>
      <formula>0.375</formula>
    </cfRule>
  </conditionalFormatting>
  <conditionalFormatting sqref="S292">
    <cfRule type="cellIs" dxfId="8516" priority="10262" operator="between">
      <formula>0.76</formula>
      <formula>0.95</formula>
    </cfRule>
    <cfRule type="cellIs" dxfId="8515" priority="10263" operator="between">
      <formula>0.51</formula>
      <formula>0.75</formula>
    </cfRule>
    <cfRule type="cellIs" dxfId="8514" priority="10264" operator="greaterThan">
      <formula>1</formula>
    </cfRule>
    <cfRule type="cellIs" dxfId="8513" priority="10265" operator="between">
      <formula>0.95</formula>
      <formula>1</formula>
    </cfRule>
    <cfRule type="cellIs" dxfId="8512" priority="10266" stopIfTrue="1" operator="between">
      <formula>0</formula>
      <formula>0.5</formula>
    </cfRule>
  </conditionalFormatting>
  <conditionalFormatting sqref="Y299 AF299 R299 AH299:AI299">
    <cfRule type="cellIs" dxfId="8511" priority="10582" operator="between">
      <formula>0.76</formula>
      <formula>0.95</formula>
    </cfRule>
    <cfRule type="cellIs" dxfId="8510" priority="10583" operator="between">
      <formula>0.51</formula>
      <formula>0.75</formula>
    </cfRule>
    <cfRule type="cellIs" dxfId="8509" priority="10584" operator="greaterThan">
      <formula>1</formula>
    </cfRule>
    <cfRule type="cellIs" dxfId="8508" priority="10585" operator="between">
      <formula>0.95</formula>
      <formula>1</formula>
    </cfRule>
    <cfRule type="cellIs" dxfId="8507" priority="10586" stopIfTrue="1" operator="between">
      <formula>0</formula>
      <formula>0.5</formula>
    </cfRule>
  </conditionalFormatting>
  <conditionalFormatting sqref="T299">
    <cfRule type="cellIs" dxfId="8506" priority="10577" operator="between">
      <formula>0.3751</formula>
      <formula>0.475</formula>
    </cfRule>
    <cfRule type="cellIs" dxfId="8505" priority="10578" operator="between">
      <formula>0.2551</formula>
      <formula>0.375</formula>
    </cfRule>
    <cfRule type="cellIs" dxfId="8504" priority="10579" operator="greaterThan">
      <formula>0.505</formula>
    </cfRule>
    <cfRule type="cellIs" dxfId="8503" priority="10580" operator="between">
      <formula>0.48</formula>
      <formula>0.5</formula>
    </cfRule>
    <cfRule type="cellIs" dxfId="8502" priority="10581" stopIfTrue="1" operator="between">
      <formula>0</formula>
      <formula>0.255</formula>
    </cfRule>
  </conditionalFormatting>
  <conditionalFormatting sqref="AA299:AB299">
    <cfRule type="cellIs" dxfId="8501" priority="10572" operator="between">
      <formula>0.56251</formula>
      <formula>0.7125</formula>
    </cfRule>
    <cfRule type="cellIs" dxfId="8500" priority="10573" operator="between">
      <formula>0.3751</formula>
      <formula>0.5625</formula>
    </cfRule>
    <cfRule type="cellIs" dxfId="8499" priority="10574" operator="greaterThan">
      <formula>0.751</formula>
    </cfRule>
    <cfRule type="cellIs" dxfId="8498" priority="10575" operator="between">
      <formula>0.71251</formula>
      <formula>0.75</formula>
    </cfRule>
    <cfRule type="cellIs" dxfId="8497" priority="10576" stopIfTrue="1" operator="between">
      <formula>0</formula>
      <formula>0.375</formula>
    </cfRule>
  </conditionalFormatting>
  <conditionalFormatting sqref="U299">
    <cfRule type="cellIs" dxfId="8496" priority="10562" operator="between">
      <formula>0.376</formula>
      <formula>0.475</formula>
    </cfRule>
    <cfRule type="cellIs" dxfId="8495" priority="10563" operator="between">
      <formula>0.2551</formula>
      <formula>0.3751</formula>
    </cfRule>
    <cfRule type="cellIs" dxfId="8494" priority="10564" operator="greaterThan">
      <formula>0.505</formula>
    </cfRule>
    <cfRule type="cellIs" dxfId="8493" priority="10565" operator="between">
      <formula>0.48</formula>
      <formula>0.5</formula>
    </cfRule>
    <cfRule type="cellIs" dxfId="8492" priority="10566" stopIfTrue="1" operator="between">
      <formula>0</formula>
      <formula>0.255</formula>
    </cfRule>
  </conditionalFormatting>
  <conditionalFormatting sqref="AG299">
    <cfRule type="cellIs" dxfId="8491" priority="10524" operator="between">
      <formula>0.76</formula>
      <formula>0.95</formula>
    </cfRule>
    <cfRule type="cellIs" dxfId="8490" priority="10525" operator="between">
      <formula>0.51</formula>
      <formula>0.75</formula>
    </cfRule>
    <cfRule type="cellIs" dxfId="8489" priority="10526" operator="greaterThan">
      <formula>1</formula>
    </cfRule>
    <cfRule type="cellIs" dxfId="8488" priority="10527" operator="between">
      <formula>0.95</formula>
      <formula>1</formula>
    </cfRule>
    <cfRule type="cellIs" dxfId="8487" priority="10528" stopIfTrue="1" operator="between">
      <formula>0</formula>
      <formula>0.5</formula>
    </cfRule>
  </conditionalFormatting>
  <conditionalFormatting sqref="S299">
    <cfRule type="cellIs" dxfId="8486" priority="10519" operator="between">
      <formula>0.76</formula>
      <formula>0.95</formula>
    </cfRule>
    <cfRule type="cellIs" dxfId="8485" priority="10520" operator="between">
      <formula>0.51</formula>
      <formula>0.75</formula>
    </cfRule>
    <cfRule type="cellIs" dxfId="8484" priority="10521" operator="greaterThan">
      <formula>1</formula>
    </cfRule>
    <cfRule type="cellIs" dxfId="8483" priority="10522" operator="between">
      <formula>0.95</formula>
      <formula>1</formula>
    </cfRule>
    <cfRule type="cellIs" dxfId="8482" priority="10523" stopIfTrue="1" operator="between">
      <formula>0</formula>
      <formula>0.5</formula>
    </cfRule>
  </conditionalFormatting>
  <conditionalFormatting sqref="V299">
    <cfRule type="cellIs" dxfId="8481" priority="10514" operator="between">
      <formula>0.376</formula>
      <formula>0.475</formula>
    </cfRule>
    <cfRule type="cellIs" dxfId="8480" priority="10515" operator="between">
      <formula>0.2551</formula>
      <formula>0.3751</formula>
    </cfRule>
    <cfRule type="cellIs" dxfId="8479" priority="10516" operator="greaterThan">
      <formula>0.505</formula>
    </cfRule>
    <cfRule type="cellIs" dxfId="8478" priority="10517" operator="between">
      <formula>0.48</formula>
      <formula>0.5</formula>
    </cfRule>
    <cfRule type="cellIs" dxfId="8477" priority="10518" stopIfTrue="1" operator="between">
      <formula>0</formula>
      <formula>0.255</formula>
    </cfRule>
  </conditionalFormatting>
  <conditionalFormatting sqref="Z299">
    <cfRule type="cellIs" dxfId="8476" priority="10509" operator="between">
      <formula>0.76</formula>
      <formula>0.95</formula>
    </cfRule>
    <cfRule type="cellIs" dxfId="8475" priority="10510" operator="between">
      <formula>0.51</formula>
      <formula>0.75</formula>
    </cfRule>
    <cfRule type="cellIs" dxfId="8474" priority="10511" operator="greaterThan">
      <formula>1</formula>
    </cfRule>
    <cfRule type="cellIs" dxfId="8473" priority="10512" operator="between">
      <formula>0.95</formula>
      <formula>1</formula>
    </cfRule>
    <cfRule type="cellIs" dxfId="8472" priority="10513" stopIfTrue="1" operator="between">
      <formula>0</formula>
      <formula>0.5</formula>
    </cfRule>
  </conditionalFormatting>
  <conditionalFormatting sqref="AC299">
    <cfRule type="cellIs" dxfId="8471" priority="10504" operator="between">
      <formula>0.56251</formula>
      <formula>0.7125</formula>
    </cfRule>
    <cfRule type="cellIs" dxfId="8470" priority="10505" operator="between">
      <formula>0.3751</formula>
      <formula>0.5625</formula>
    </cfRule>
    <cfRule type="cellIs" dxfId="8469" priority="10506" operator="greaterThan">
      <formula>0.751</formula>
    </cfRule>
    <cfRule type="cellIs" dxfId="8468" priority="10507" operator="between">
      <formula>0.71251</formula>
      <formula>0.75</formula>
    </cfRule>
    <cfRule type="cellIs" dxfId="8467" priority="10508" stopIfTrue="1" operator="between">
      <formula>0</formula>
      <formula>0.375</formula>
    </cfRule>
  </conditionalFormatting>
  <conditionalFormatting sqref="R198 Y198 AF198 AH198:AI198">
    <cfRule type="cellIs" dxfId="8466" priority="10499" operator="between">
      <formula>0.76</formula>
      <formula>0.95</formula>
    </cfRule>
    <cfRule type="cellIs" dxfId="8465" priority="10500" operator="between">
      <formula>0.51</formula>
      <formula>0.75</formula>
    </cfRule>
    <cfRule type="cellIs" dxfId="8464" priority="10501" operator="greaterThan">
      <formula>1</formula>
    </cfRule>
    <cfRule type="cellIs" dxfId="8463" priority="10502" operator="between">
      <formula>0.95</formula>
      <formula>1</formula>
    </cfRule>
    <cfRule type="cellIs" dxfId="8462" priority="10503" stopIfTrue="1" operator="between">
      <formula>0</formula>
      <formula>0.5</formula>
    </cfRule>
  </conditionalFormatting>
  <conditionalFormatting sqref="T198">
    <cfRule type="cellIs" dxfId="8461" priority="10494" operator="between">
      <formula>0.3751</formula>
      <formula>0.475</formula>
    </cfRule>
    <cfRule type="cellIs" dxfId="8460" priority="10495" operator="between">
      <formula>0.2551</formula>
      <formula>0.375</formula>
    </cfRule>
    <cfRule type="cellIs" dxfId="8459" priority="10496" operator="greaterThan">
      <formula>0.505</formula>
    </cfRule>
    <cfRule type="cellIs" dxfId="8458" priority="10497" operator="between">
      <formula>0.48</formula>
      <formula>0.5</formula>
    </cfRule>
    <cfRule type="cellIs" dxfId="8457" priority="10498" stopIfTrue="1" operator="between">
      <formula>0</formula>
      <formula>0.255</formula>
    </cfRule>
  </conditionalFormatting>
  <conditionalFormatting sqref="AA198:AB198">
    <cfRule type="cellIs" dxfId="8456" priority="10489" operator="between">
      <formula>0.56251</formula>
      <formula>0.7125</formula>
    </cfRule>
    <cfRule type="cellIs" dxfId="8455" priority="10490" operator="between">
      <formula>0.3751</formula>
      <formula>0.5625</formula>
    </cfRule>
    <cfRule type="cellIs" dxfId="8454" priority="10491" operator="greaterThan">
      <formula>0.751</formula>
    </cfRule>
    <cfRule type="cellIs" dxfId="8453" priority="10492" operator="between">
      <formula>0.71251</formula>
      <formula>0.75</formula>
    </cfRule>
    <cfRule type="cellIs" dxfId="8452" priority="10493" stopIfTrue="1" operator="between">
      <formula>0</formula>
      <formula>0.375</formula>
    </cfRule>
  </conditionalFormatting>
  <conditionalFormatting sqref="U198">
    <cfRule type="cellIs" dxfId="8451" priority="10479" operator="between">
      <formula>0.376</formula>
      <formula>0.475</formula>
    </cfRule>
    <cfRule type="cellIs" dxfId="8450" priority="10480" operator="between">
      <formula>0.2551</formula>
      <formula>0.3751</formula>
    </cfRule>
    <cfRule type="cellIs" dxfId="8449" priority="10481" operator="greaterThan">
      <formula>0.505</formula>
    </cfRule>
    <cfRule type="cellIs" dxfId="8448" priority="10482" operator="between">
      <formula>0.48</formula>
      <formula>0.5</formula>
    </cfRule>
    <cfRule type="cellIs" dxfId="8447" priority="10483" stopIfTrue="1" operator="between">
      <formula>0</formula>
      <formula>0.255</formula>
    </cfRule>
  </conditionalFormatting>
  <conditionalFormatting sqref="AG198">
    <cfRule type="cellIs" dxfId="8446" priority="10471" operator="between">
      <formula>0.76</formula>
      <formula>0.95</formula>
    </cfRule>
    <cfRule type="cellIs" dxfId="8445" priority="10472" operator="between">
      <formula>0.51</formula>
      <formula>0.75</formula>
    </cfRule>
    <cfRule type="cellIs" dxfId="8444" priority="10473" operator="greaterThan">
      <formula>1</formula>
    </cfRule>
    <cfRule type="cellIs" dxfId="8443" priority="10474" operator="between">
      <formula>0.95</formula>
      <formula>1</formula>
    </cfRule>
    <cfRule type="cellIs" dxfId="8442" priority="10475" stopIfTrue="1" operator="between">
      <formula>0</formula>
      <formula>0.5</formula>
    </cfRule>
  </conditionalFormatting>
  <conditionalFormatting sqref="Z198">
    <cfRule type="cellIs" dxfId="8441" priority="10466" operator="between">
      <formula>0.76</formula>
      <formula>0.95</formula>
    </cfRule>
    <cfRule type="cellIs" dxfId="8440" priority="10467" operator="between">
      <formula>0.51</formula>
      <formula>0.75</formula>
    </cfRule>
    <cfRule type="cellIs" dxfId="8439" priority="10468" operator="greaterThan">
      <formula>1</formula>
    </cfRule>
    <cfRule type="cellIs" dxfId="8438" priority="10469" operator="between">
      <formula>0.95</formula>
      <formula>1</formula>
    </cfRule>
    <cfRule type="cellIs" dxfId="8437" priority="10470" stopIfTrue="1" operator="between">
      <formula>0</formula>
      <formula>0.5</formula>
    </cfRule>
  </conditionalFormatting>
  <conditionalFormatting sqref="AC198">
    <cfRule type="cellIs" dxfId="8436" priority="10461" operator="between">
      <formula>0.56251</formula>
      <formula>0.7125</formula>
    </cfRule>
    <cfRule type="cellIs" dxfId="8435" priority="10462" operator="between">
      <formula>0.3751</formula>
      <formula>0.5625</formula>
    </cfRule>
    <cfRule type="cellIs" dxfId="8434" priority="10463" operator="greaterThan">
      <formula>0.751</formula>
    </cfRule>
    <cfRule type="cellIs" dxfId="8433" priority="10464" operator="between">
      <formula>0.71251</formula>
      <formula>0.75</formula>
    </cfRule>
    <cfRule type="cellIs" dxfId="8432" priority="10465" stopIfTrue="1" operator="between">
      <formula>0</formula>
      <formula>0.375</formula>
    </cfRule>
  </conditionalFormatting>
  <conditionalFormatting sqref="S198">
    <cfRule type="cellIs" dxfId="8431" priority="10456" operator="between">
      <formula>0.76</formula>
      <formula>0.95</formula>
    </cfRule>
    <cfRule type="cellIs" dxfId="8430" priority="10457" operator="between">
      <formula>0.51</formula>
      <formula>0.75</formula>
    </cfRule>
    <cfRule type="cellIs" dxfId="8429" priority="10458" operator="greaterThan">
      <formula>1</formula>
    </cfRule>
    <cfRule type="cellIs" dxfId="8428" priority="10459" operator="between">
      <formula>0.95</formula>
      <formula>1</formula>
    </cfRule>
    <cfRule type="cellIs" dxfId="8427" priority="10460" stopIfTrue="1" operator="between">
      <formula>0</formula>
      <formula>0.5</formula>
    </cfRule>
  </conditionalFormatting>
  <conditionalFormatting sqref="V198">
    <cfRule type="cellIs" dxfId="8426" priority="10451" operator="between">
      <formula>0.376</formula>
      <formula>0.475</formula>
    </cfRule>
    <cfRule type="cellIs" dxfId="8425" priority="10452" operator="between">
      <formula>0.2551</formula>
      <formula>0.3751</formula>
    </cfRule>
    <cfRule type="cellIs" dxfId="8424" priority="10453" operator="greaterThan">
      <formula>0.505</formula>
    </cfRule>
    <cfRule type="cellIs" dxfId="8423" priority="10454" operator="between">
      <formula>0.48</formula>
      <formula>0.5</formula>
    </cfRule>
    <cfRule type="cellIs" dxfId="8422" priority="10455" stopIfTrue="1" operator="between">
      <formula>0</formula>
      <formula>0.255</formula>
    </cfRule>
  </conditionalFormatting>
  <conditionalFormatting sqref="Y300 AF300 R300 AH300:AI300">
    <cfRule type="cellIs" dxfId="8421" priority="10431" operator="between">
      <formula>0.76</formula>
      <formula>0.95</formula>
    </cfRule>
    <cfRule type="cellIs" dxfId="8420" priority="10432" operator="between">
      <formula>0.51</formula>
      <formula>0.75</formula>
    </cfRule>
    <cfRule type="cellIs" dxfId="8419" priority="10433" operator="greaterThan">
      <formula>1</formula>
    </cfRule>
    <cfRule type="cellIs" dxfId="8418" priority="10434" operator="between">
      <formula>0.95</formula>
      <formula>1</formula>
    </cfRule>
    <cfRule type="cellIs" dxfId="8417" priority="10435" stopIfTrue="1" operator="between">
      <formula>0</formula>
      <formula>0.5</formula>
    </cfRule>
  </conditionalFormatting>
  <conditionalFormatting sqref="T300">
    <cfRule type="cellIs" dxfId="8416" priority="10426" operator="between">
      <formula>0.3751</formula>
      <formula>0.475</formula>
    </cfRule>
    <cfRule type="cellIs" dxfId="8415" priority="10427" operator="between">
      <formula>0.2551</formula>
      <formula>0.375</formula>
    </cfRule>
    <cfRule type="cellIs" dxfId="8414" priority="10428" operator="greaterThan">
      <formula>0.505</formula>
    </cfRule>
    <cfRule type="cellIs" dxfId="8413" priority="10429" operator="between">
      <formula>0.48</formula>
      <formula>0.5</formula>
    </cfRule>
    <cfRule type="cellIs" dxfId="8412" priority="10430" stopIfTrue="1" operator="between">
      <formula>0</formula>
      <formula>0.255</formula>
    </cfRule>
  </conditionalFormatting>
  <conditionalFormatting sqref="U300">
    <cfRule type="cellIs" dxfId="8411" priority="10411" operator="between">
      <formula>0.376</formula>
      <formula>0.475</formula>
    </cfRule>
    <cfRule type="cellIs" dxfId="8410" priority="10412" operator="between">
      <formula>0.2551</formula>
      <formula>0.3751</formula>
    </cfRule>
    <cfRule type="cellIs" dxfId="8409" priority="10413" operator="greaterThan">
      <formula>0.505</formula>
    </cfRule>
    <cfRule type="cellIs" dxfId="8408" priority="10414" operator="between">
      <formula>0.48</formula>
      <formula>0.5</formula>
    </cfRule>
    <cfRule type="cellIs" dxfId="8407" priority="10415" stopIfTrue="1" operator="between">
      <formula>0</formula>
      <formula>0.255</formula>
    </cfRule>
  </conditionalFormatting>
  <conditionalFormatting sqref="AG300">
    <cfRule type="cellIs" dxfId="8406" priority="10393" operator="between">
      <formula>0.76</formula>
      <formula>0.95</formula>
    </cfRule>
    <cfRule type="cellIs" dxfId="8405" priority="10394" operator="between">
      <formula>0.51</formula>
      <formula>0.75</formula>
    </cfRule>
    <cfRule type="cellIs" dxfId="8404" priority="10395" operator="greaterThan">
      <formula>1</formula>
    </cfRule>
    <cfRule type="cellIs" dxfId="8403" priority="10396" operator="between">
      <formula>0.95</formula>
      <formula>1</formula>
    </cfRule>
    <cfRule type="cellIs" dxfId="8402" priority="10397" stopIfTrue="1" operator="between">
      <formula>0</formula>
      <formula>0.5</formula>
    </cfRule>
  </conditionalFormatting>
  <conditionalFormatting sqref="S300">
    <cfRule type="cellIs" dxfId="8401" priority="10388" operator="between">
      <formula>0.76</formula>
      <formula>0.95</formula>
    </cfRule>
    <cfRule type="cellIs" dxfId="8400" priority="10389" operator="between">
      <formula>0.51</formula>
      <formula>0.75</formula>
    </cfRule>
    <cfRule type="cellIs" dxfId="8399" priority="10390" operator="greaterThan">
      <formula>1</formula>
    </cfRule>
    <cfRule type="cellIs" dxfId="8398" priority="10391" operator="between">
      <formula>0.95</formula>
      <formula>1</formula>
    </cfRule>
    <cfRule type="cellIs" dxfId="8397" priority="10392" stopIfTrue="1" operator="between">
      <formula>0</formula>
      <formula>0.5</formula>
    </cfRule>
  </conditionalFormatting>
  <conditionalFormatting sqref="V300">
    <cfRule type="cellIs" dxfId="8396" priority="10383" operator="between">
      <formula>0.376</formula>
      <formula>0.475</formula>
    </cfRule>
    <cfRule type="cellIs" dxfId="8395" priority="10384" operator="between">
      <formula>0.2551</formula>
      <formula>0.3751</formula>
    </cfRule>
    <cfRule type="cellIs" dxfId="8394" priority="10385" operator="greaterThan">
      <formula>0.505</formula>
    </cfRule>
    <cfRule type="cellIs" dxfId="8393" priority="10386" operator="between">
      <formula>0.48</formula>
      <formula>0.5</formula>
    </cfRule>
    <cfRule type="cellIs" dxfId="8392" priority="10387" stopIfTrue="1" operator="between">
      <formula>0</formula>
      <formula>0.255</formula>
    </cfRule>
  </conditionalFormatting>
  <conditionalFormatting sqref="Z300">
    <cfRule type="cellIs" dxfId="8391" priority="10378" operator="between">
      <formula>0.76</formula>
      <formula>0.95</formula>
    </cfRule>
    <cfRule type="cellIs" dxfId="8390" priority="10379" operator="between">
      <formula>0.51</formula>
      <formula>0.75</formula>
    </cfRule>
    <cfRule type="cellIs" dxfId="8389" priority="10380" operator="greaterThan">
      <formula>1</formula>
    </cfRule>
    <cfRule type="cellIs" dxfId="8388" priority="10381" operator="between">
      <formula>0.95</formula>
      <formula>1</formula>
    </cfRule>
    <cfRule type="cellIs" dxfId="8387" priority="10382" stopIfTrue="1" operator="between">
      <formula>0</formula>
      <formula>0.5</formula>
    </cfRule>
  </conditionalFormatting>
  <conditionalFormatting sqref="Y301 AF301 R301 AH301:AI301">
    <cfRule type="cellIs" dxfId="8386" priority="10368" operator="between">
      <formula>0.76</formula>
      <formula>0.95</formula>
    </cfRule>
    <cfRule type="cellIs" dxfId="8385" priority="10369" operator="between">
      <formula>0.51</formula>
      <formula>0.75</formula>
    </cfRule>
    <cfRule type="cellIs" dxfId="8384" priority="10370" operator="greaterThan">
      <formula>1</formula>
    </cfRule>
    <cfRule type="cellIs" dxfId="8383" priority="10371" operator="between">
      <formula>0.95</formula>
      <formula>1</formula>
    </cfRule>
    <cfRule type="cellIs" dxfId="8382" priority="10372" stopIfTrue="1" operator="between">
      <formula>0</formula>
      <formula>0.5</formula>
    </cfRule>
  </conditionalFormatting>
  <conditionalFormatting sqref="T301">
    <cfRule type="cellIs" dxfId="8381" priority="10363" operator="between">
      <formula>0.3751</formula>
      <formula>0.475</formula>
    </cfRule>
    <cfRule type="cellIs" dxfId="8380" priority="10364" operator="between">
      <formula>0.2551</formula>
      <formula>0.375</formula>
    </cfRule>
    <cfRule type="cellIs" dxfId="8379" priority="10365" operator="greaterThan">
      <formula>0.505</formula>
    </cfRule>
    <cfRule type="cellIs" dxfId="8378" priority="10366" operator="between">
      <formula>0.48</formula>
      <formula>0.5</formula>
    </cfRule>
    <cfRule type="cellIs" dxfId="8377" priority="10367" stopIfTrue="1" operator="between">
      <formula>0</formula>
      <formula>0.255</formula>
    </cfRule>
  </conditionalFormatting>
  <conditionalFormatting sqref="AA301:AB301">
    <cfRule type="cellIs" dxfId="8376" priority="10358" operator="between">
      <formula>0.56251</formula>
      <formula>0.7125</formula>
    </cfRule>
    <cfRule type="cellIs" dxfId="8375" priority="10359" operator="between">
      <formula>0.3751</formula>
      <formula>0.5625</formula>
    </cfRule>
    <cfRule type="cellIs" dxfId="8374" priority="10360" operator="greaterThan">
      <formula>0.751</formula>
    </cfRule>
    <cfRule type="cellIs" dxfId="8373" priority="10361" operator="between">
      <formula>0.71251</formula>
      <formula>0.75</formula>
    </cfRule>
    <cfRule type="cellIs" dxfId="8372" priority="10362" stopIfTrue="1" operator="between">
      <formula>0</formula>
      <formula>0.375</formula>
    </cfRule>
  </conditionalFormatting>
  <conditionalFormatting sqref="U301">
    <cfRule type="cellIs" dxfId="8371" priority="10348" operator="between">
      <formula>0.376</formula>
      <formula>0.475</formula>
    </cfRule>
    <cfRule type="cellIs" dxfId="8370" priority="10349" operator="between">
      <formula>0.2551</formula>
      <formula>0.3751</formula>
    </cfRule>
    <cfRule type="cellIs" dxfId="8369" priority="10350" operator="greaterThan">
      <formula>0.505</formula>
    </cfRule>
    <cfRule type="cellIs" dxfId="8368" priority="10351" operator="between">
      <formula>0.48</formula>
      <formula>0.5</formula>
    </cfRule>
    <cfRule type="cellIs" dxfId="8367" priority="10352" stopIfTrue="1" operator="between">
      <formula>0</formula>
      <formula>0.255</formula>
    </cfRule>
  </conditionalFormatting>
  <conditionalFormatting sqref="S301">
    <cfRule type="cellIs" dxfId="8366" priority="10325" operator="between">
      <formula>0.76</formula>
      <formula>0.95</formula>
    </cfRule>
    <cfRule type="cellIs" dxfId="8365" priority="10326" operator="between">
      <formula>0.51</formula>
      <formula>0.75</formula>
    </cfRule>
    <cfRule type="cellIs" dxfId="8364" priority="10327" operator="greaterThan">
      <formula>1</formula>
    </cfRule>
    <cfRule type="cellIs" dxfId="8363" priority="10328" operator="between">
      <formula>0.95</formula>
      <formula>1</formula>
    </cfRule>
    <cfRule type="cellIs" dxfId="8362" priority="10329" stopIfTrue="1" operator="between">
      <formula>0</formula>
      <formula>0.5</formula>
    </cfRule>
  </conditionalFormatting>
  <conditionalFormatting sqref="V301">
    <cfRule type="cellIs" dxfId="8361" priority="10320" operator="between">
      <formula>0.376</formula>
      <formula>0.475</formula>
    </cfRule>
    <cfRule type="cellIs" dxfId="8360" priority="10321" operator="between">
      <formula>0.2551</formula>
      <formula>0.3751</formula>
    </cfRule>
    <cfRule type="cellIs" dxfId="8359" priority="10322" operator="greaterThan">
      <formula>0.505</formula>
    </cfRule>
    <cfRule type="cellIs" dxfId="8358" priority="10323" operator="between">
      <formula>0.48</formula>
      <formula>0.5</formula>
    </cfRule>
    <cfRule type="cellIs" dxfId="8357" priority="10324" stopIfTrue="1" operator="between">
      <formula>0</formula>
      <formula>0.255</formula>
    </cfRule>
  </conditionalFormatting>
  <conditionalFormatting sqref="Z301">
    <cfRule type="cellIs" dxfId="8356" priority="10315" operator="between">
      <formula>0.76</formula>
      <formula>0.95</formula>
    </cfRule>
    <cfRule type="cellIs" dxfId="8355" priority="10316" operator="between">
      <formula>0.51</formula>
      <formula>0.75</formula>
    </cfRule>
    <cfRule type="cellIs" dxfId="8354" priority="10317" operator="greaterThan">
      <formula>1</formula>
    </cfRule>
    <cfRule type="cellIs" dxfId="8353" priority="10318" operator="between">
      <formula>0.95</formula>
      <formula>1</formula>
    </cfRule>
    <cfRule type="cellIs" dxfId="8352" priority="10319" stopIfTrue="1" operator="between">
      <formula>0</formula>
      <formula>0.5</formula>
    </cfRule>
  </conditionalFormatting>
  <conditionalFormatting sqref="AC301">
    <cfRule type="cellIs" dxfId="8351" priority="10310" operator="between">
      <formula>0.56251</formula>
      <formula>0.7125</formula>
    </cfRule>
    <cfRule type="cellIs" dxfId="8350" priority="10311" operator="between">
      <formula>0.3751</formula>
      <formula>0.5625</formula>
    </cfRule>
    <cfRule type="cellIs" dxfId="8349" priority="10312" operator="greaterThan">
      <formula>0.751</formula>
    </cfRule>
    <cfRule type="cellIs" dxfId="8348" priority="10313" operator="between">
      <formula>0.71251</formula>
      <formula>0.75</formula>
    </cfRule>
    <cfRule type="cellIs" dxfId="8347" priority="10314" stopIfTrue="1" operator="between">
      <formula>0</formula>
      <formula>0.375</formula>
    </cfRule>
  </conditionalFormatting>
  <conditionalFormatting sqref="Y292 AF292 R292 AH292:AI292">
    <cfRule type="cellIs" dxfId="8346" priority="10305" operator="between">
      <formula>0.76</formula>
      <formula>0.95</formula>
    </cfRule>
    <cfRule type="cellIs" dxfId="8345" priority="10306" operator="between">
      <formula>0.51</formula>
      <formula>0.75</formula>
    </cfRule>
    <cfRule type="cellIs" dxfId="8344" priority="10307" operator="greaterThan">
      <formula>1</formula>
    </cfRule>
    <cfRule type="cellIs" dxfId="8343" priority="10308" operator="between">
      <formula>0.95</formula>
      <formula>1</formula>
    </cfRule>
    <cfRule type="cellIs" dxfId="8342" priority="10309" stopIfTrue="1" operator="between">
      <formula>0</formula>
      <formula>0.5</formula>
    </cfRule>
  </conditionalFormatting>
  <conditionalFormatting sqref="T292">
    <cfRule type="cellIs" dxfId="8341" priority="10300" operator="between">
      <formula>0.3751</formula>
      <formula>0.475</formula>
    </cfRule>
    <cfRule type="cellIs" dxfId="8340" priority="10301" operator="between">
      <formula>0.2551</formula>
      <formula>0.375</formula>
    </cfRule>
    <cfRule type="cellIs" dxfId="8339" priority="10302" operator="greaterThan">
      <formula>0.505</formula>
    </cfRule>
    <cfRule type="cellIs" dxfId="8338" priority="10303" operator="between">
      <formula>0.48</formula>
      <formula>0.5</formula>
    </cfRule>
    <cfRule type="cellIs" dxfId="8337" priority="10304" stopIfTrue="1" operator="between">
      <formula>0</formula>
      <formula>0.255</formula>
    </cfRule>
  </conditionalFormatting>
  <conditionalFormatting sqref="AA292:AB292">
    <cfRule type="cellIs" dxfId="8336" priority="10295" operator="between">
      <formula>0.56251</formula>
      <formula>0.7125</formula>
    </cfRule>
    <cfRule type="cellIs" dxfId="8335" priority="10296" operator="between">
      <formula>0.3751</formula>
      <formula>0.5625</formula>
    </cfRule>
    <cfRule type="cellIs" dxfId="8334" priority="10297" operator="greaterThan">
      <formula>0.751</formula>
    </cfRule>
    <cfRule type="cellIs" dxfId="8333" priority="10298" operator="between">
      <formula>0.71251</formula>
      <formula>0.75</formula>
    </cfRule>
    <cfRule type="cellIs" dxfId="8332" priority="10299" stopIfTrue="1" operator="between">
      <formula>0</formula>
      <formula>0.375</formula>
    </cfRule>
  </conditionalFormatting>
  <conditionalFormatting sqref="U292">
    <cfRule type="cellIs" dxfId="8331" priority="10285" operator="between">
      <formula>0.376</formula>
      <formula>0.475</formula>
    </cfRule>
    <cfRule type="cellIs" dxfId="8330" priority="10286" operator="between">
      <formula>0.2551</formula>
      <formula>0.3751</formula>
    </cfRule>
    <cfRule type="cellIs" dxfId="8329" priority="10287" operator="greaterThan">
      <formula>0.505</formula>
    </cfRule>
    <cfRule type="cellIs" dxfId="8328" priority="10288" operator="between">
      <formula>0.48</formula>
      <formula>0.5</formula>
    </cfRule>
    <cfRule type="cellIs" dxfId="8327" priority="10289" stopIfTrue="1" operator="between">
      <formula>0</formula>
      <formula>0.255</formula>
    </cfRule>
  </conditionalFormatting>
  <conditionalFormatting sqref="AG292">
    <cfRule type="cellIs" dxfId="8326" priority="10277" operator="between">
      <formula>0.76</formula>
      <formula>0.95</formula>
    </cfRule>
    <cfRule type="cellIs" dxfId="8325" priority="10278" operator="between">
      <formula>0.51</formula>
      <formula>0.75</formula>
    </cfRule>
    <cfRule type="cellIs" dxfId="8324" priority="10279" operator="greaterThan">
      <formula>1</formula>
    </cfRule>
    <cfRule type="cellIs" dxfId="8323" priority="10280" operator="between">
      <formula>0.95</formula>
      <formula>1</formula>
    </cfRule>
    <cfRule type="cellIs" dxfId="8322" priority="10281" stopIfTrue="1" operator="between">
      <formula>0</formula>
      <formula>0.5</formula>
    </cfRule>
  </conditionalFormatting>
  <conditionalFormatting sqref="V292">
    <cfRule type="cellIs" dxfId="8321" priority="10257" operator="between">
      <formula>0.376</formula>
      <formula>0.475</formula>
    </cfRule>
    <cfRule type="cellIs" dxfId="8320" priority="10258" operator="between">
      <formula>0.2551</formula>
      <formula>0.3751</formula>
    </cfRule>
    <cfRule type="cellIs" dxfId="8319" priority="10259" operator="greaterThan">
      <formula>0.505</formula>
    </cfRule>
    <cfRule type="cellIs" dxfId="8318" priority="10260" operator="between">
      <formula>0.48</formula>
      <formula>0.5</formula>
    </cfRule>
    <cfRule type="cellIs" dxfId="8317" priority="10261" stopIfTrue="1" operator="between">
      <formula>0</formula>
      <formula>0.255</formula>
    </cfRule>
  </conditionalFormatting>
  <conditionalFormatting sqref="Z292">
    <cfRule type="cellIs" dxfId="8316" priority="10252" operator="between">
      <formula>0.76</formula>
      <formula>0.95</formula>
    </cfRule>
    <cfRule type="cellIs" dxfId="8315" priority="10253" operator="between">
      <formula>0.51</formula>
      <formula>0.75</formula>
    </cfRule>
    <cfRule type="cellIs" dxfId="8314" priority="10254" operator="greaterThan">
      <formula>1</formula>
    </cfRule>
    <cfRule type="cellIs" dxfId="8313" priority="10255" operator="between">
      <formula>0.95</formula>
      <formula>1</formula>
    </cfRule>
    <cfRule type="cellIs" dxfId="8312" priority="10256" stopIfTrue="1" operator="between">
      <formula>0</formula>
      <formula>0.5</formula>
    </cfRule>
  </conditionalFormatting>
  <conditionalFormatting sqref="AC292">
    <cfRule type="cellIs" dxfId="8311" priority="10247" operator="between">
      <formula>0.56251</formula>
      <formula>0.7125</formula>
    </cfRule>
    <cfRule type="cellIs" dxfId="8310" priority="10248" operator="between">
      <formula>0.3751</formula>
      <formula>0.5625</formula>
    </cfRule>
    <cfRule type="cellIs" dxfId="8309" priority="10249" operator="greaterThan">
      <formula>0.751</formula>
    </cfRule>
    <cfRule type="cellIs" dxfId="8308" priority="10250" operator="between">
      <formula>0.71251</formula>
      <formula>0.75</formula>
    </cfRule>
    <cfRule type="cellIs" dxfId="8307" priority="10251" stopIfTrue="1" operator="between">
      <formula>0</formula>
      <formula>0.375</formula>
    </cfRule>
  </conditionalFormatting>
  <conditionalFormatting sqref="S293:S295">
    <cfRule type="cellIs" dxfId="8306" priority="10199" operator="between">
      <formula>0.76</formula>
      <formula>0.95</formula>
    </cfRule>
    <cfRule type="cellIs" dxfId="8305" priority="10200" operator="between">
      <formula>0.51</formula>
      <formula>0.75</formula>
    </cfRule>
    <cfRule type="cellIs" dxfId="8304" priority="10201" operator="greaterThan">
      <formula>1</formula>
    </cfRule>
    <cfRule type="cellIs" dxfId="8303" priority="10202" operator="between">
      <formula>0.95</formula>
      <formula>1</formula>
    </cfRule>
    <cfRule type="cellIs" dxfId="8302" priority="10203" stopIfTrue="1" operator="between">
      <formula>0</formula>
      <formula>0.5</formula>
    </cfRule>
  </conditionalFormatting>
  <conditionalFormatting sqref="Y293:Y295 AF293:AF295 R293:R295 AH293:AI295">
    <cfRule type="cellIs" dxfId="8301" priority="10242" operator="between">
      <formula>0.76</formula>
      <formula>0.95</formula>
    </cfRule>
    <cfRule type="cellIs" dxfId="8300" priority="10243" operator="between">
      <formula>0.51</formula>
      <formula>0.75</formula>
    </cfRule>
    <cfRule type="cellIs" dxfId="8299" priority="10244" operator="greaterThan">
      <formula>1</formula>
    </cfRule>
    <cfRule type="cellIs" dxfId="8298" priority="10245" operator="between">
      <formula>0.95</formula>
      <formula>1</formula>
    </cfRule>
    <cfRule type="cellIs" dxfId="8297" priority="10246" stopIfTrue="1" operator="between">
      <formula>0</formula>
      <formula>0.5</formula>
    </cfRule>
  </conditionalFormatting>
  <conditionalFormatting sqref="T293:T295">
    <cfRule type="cellIs" dxfId="8296" priority="10237" operator="between">
      <formula>0.3751</formula>
      <formula>0.475</formula>
    </cfRule>
    <cfRule type="cellIs" dxfId="8295" priority="10238" operator="between">
      <formula>0.2551</formula>
      <formula>0.375</formula>
    </cfRule>
    <cfRule type="cellIs" dxfId="8294" priority="10239" operator="greaterThan">
      <formula>0.505</formula>
    </cfRule>
    <cfRule type="cellIs" dxfId="8293" priority="10240" operator="between">
      <formula>0.48</formula>
      <formula>0.5</formula>
    </cfRule>
    <cfRule type="cellIs" dxfId="8292" priority="10241" stopIfTrue="1" operator="between">
      <formula>0</formula>
      <formula>0.255</formula>
    </cfRule>
  </conditionalFormatting>
  <conditionalFormatting sqref="AA293:AB295">
    <cfRule type="cellIs" dxfId="8291" priority="10232" operator="between">
      <formula>0.56251</formula>
      <formula>0.7125</formula>
    </cfRule>
    <cfRule type="cellIs" dxfId="8290" priority="10233" operator="between">
      <formula>0.3751</formula>
      <formula>0.5625</formula>
    </cfRule>
    <cfRule type="cellIs" dxfId="8289" priority="10234" operator="greaterThan">
      <formula>0.751</formula>
    </cfRule>
    <cfRule type="cellIs" dxfId="8288" priority="10235" operator="between">
      <formula>0.71251</formula>
      <formula>0.75</formula>
    </cfRule>
    <cfRule type="cellIs" dxfId="8287" priority="10236" stopIfTrue="1" operator="between">
      <formula>0</formula>
      <formula>0.375</formula>
    </cfRule>
  </conditionalFormatting>
  <conditionalFormatting sqref="U293:U295">
    <cfRule type="cellIs" dxfId="8286" priority="10222" operator="between">
      <formula>0.376</formula>
      <formula>0.475</formula>
    </cfRule>
    <cfRule type="cellIs" dxfId="8285" priority="10223" operator="between">
      <formula>0.2551</formula>
      <formula>0.3751</formula>
    </cfRule>
    <cfRule type="cellIs" dxfId="8284" priority="10224" operator="greaterThan">
      <formula>0.505</formula>
    </cfRule>
    <cfRule type="cellIs" dxfId="8283" priority="10225" operator="between">
      <formula>0.48</formula>
      <formula>0.5</formula>
    </cfRule>
    <cfRule type="cellIs" dxfId="8282" priority="10226" stopIfTrue="1" operator="between">
      <formula>0</formula>
      <formula>0.255</formula>
    </cfRule>
  </conditionalFormatting>
  <conditionalFormatting sqref="AG293:AG295">
    <cfRule type="cellIs" dxfId="8281" priority="10214" operator="between">
      <formula>0.76</formula>
      <formula>0.95</formula>
    </cfRule>
    <cfRule type="cellIs" dxfId="8280" priority="10215" operator="between">
      <formula>0.51</formula>
      <formula>0.75</formula>
    </cfRule>
    <cfRule type="cellIs" dxfId="8279" priority="10216" operator="greaterThan">
      <formula>1</formula>
    </cfRule>
    <cfRule type="cellIs" dxfId="8278" priority="10217" operator="between">
      <formula>0.95</formula>
      <formula>1</formula>
    </cfRule>
    <cfRule type="cellIs" dxfId="8277" priority="10218" stopIfTrue="1" operator="between">
      <formula>0</formula>
      <formula>0.5</formula>
    </cfRule>
  </conditionalFormatting>
  <conditionalFormatting sqref="V293:V295">
    <cfRule type="cellIs" dxfId="8276" priority="10194" operator="between">
      <formula>0.376</formula>
      <formula>0.475</formula>
    </cfRule>
    <cfRule type="cellIs" dxfId="8275" priority="10195" operator="between">
      <formula>0.2551</formula>
      <formula>0.3751</formula>
    </cfRule>
    <cfRule type="cellIs" dxfId="8274" priority="10196" operator="greaterThan">
      <formula>0.505</formula>
    </cfRule>
    <cfRule type="cellIs" dxfId="8273" priority="10197" operator="between">
      <formula>0.48</formula>
      <formula>0.5</formula>
    </cfRule>
    <cfRule type="cellIs" dxfId="8272" priority="10198" stopIfTrue="1" operator="between">
      <formula>0</formula>
      <formula>0.255</formula>
    </cfRule>
  </conditionalFormatting>
  <conditionalFormatting sqref="Z293:Z294">
    <cfRule type="cellIs" dxfId="8271" priority="10189" operator="between">
      <formula>0.76</formula>
      <formula>0.95</formula>
    </cfRule>
    <cfRule type="cellIs" dxfId="8270" priority="10190" operator="between">
      <formula>0.51</formula>
      <formula>0.75</formula>
    </cfRule>
    <cfRule type="cellIs" dxfId="8269" priority="10191" operator="greaterThan">
      <formula>1</formula>
    </cfRule>
    <cfRule type="cellIs" dxfId="8268" priority="10192" operator="between">
      <formula>0.95</formula>
      <formula>1</formula>
    </cfRule>
    <cfRule type="cellIs" dxfId="8267" priority="10193" stopIfTrue="1" operator="between">
      <formula>0</formula>
      <formula>0.5</formula>
    </cfRule>
  </conditionalFormatting>
  <conditionalFormatting sqref="AC293:AC295">
    <cfRule type="cellIs" dxfId="8266" priority="10184" operator="between">
      <formula>0.56251</formula>
      <formula>0.7125</formula>
    </cfRule>
    <cfRule type="cellIs" dxfId="8265" priority="10185" operator="between">
      <formula>0.3751</formula>
      <formula>0.5625</formula>
    </cfRule>
    <cfRule type="cellIs" dxfId="8264" priority="10186" operator="greaterThan">
      <formula>0.751</formula>
    </cfRule>
    <cfRule type="cellIs" dxfId="8263" priority="10187" operator="between">
      <formula>0.71251</formula>
      <formula>0.75</formula>
    </cfRule>
    <cfRule type="cellIs" dxfId="8262" priority="10188" stopIfTrue="1" operator="between">
      <formula>0</formula>
      <formula>0.375</formula>
    </cfRule>
  </conditionalFormatting>
  <conditionalFormatting sqref="AI358">
    <cfRule type="cellIs" dxfId="8261" priority="10179" operator="between">
      <formula>0.76</formula>
      <formula>0.95</formula>
    </cfRule>
    <cfRule type="cellIs" dxfId="8260" priority="10180" operator="between">
      <formula>0.51</formula>
      <formula>0.75</formula>
    </cfRule>
    <cfRule type="cellIs" dxfId="8259" priority="10181" operator="greaterThan">
      <formula>1</formula>
    </cfRule>
    <cfRule type="cellIs" dxfId="8258" priority="10182" operator="between">
      <formula>0.95</formula>
      <formula>1</formula>
    </cfRule>
    <cfRule type="cellIs" dxfId="8257" priority="10183" stopIfTrue="1" operator="between">
      <formula>0</formula>
      <formula>0.5</formula>
    </cfRule>
  </conditionalFormatting>
  <conditionalFormatting sqref="R358">
    <cfRule type="cellIs" dxfId="8256" priority="10169" operator="between">
      <formula>0.76</formula>
      <formula>0.95</formula>
    </cfRule>
    <cfRule type="cellIs" dxfId="8255" priority="10170" operator="between">
      <formula>0.51</formula>
      <formula>0.75</formula>
    </cfRule>
    <cfRule type="cellIs" dxfId="8254" priority="10171" operator="greaterThan">
      <formula>1</formula>
    </cfRule>
    <cfRule type="cellIs" dxfId="8253" priority="10172" operator="between">
      <formula>0.95</formula>
      <formula>1</formula>
    </cfRule>
    <cfRule type="cellIs" dxfId="8252" priority="10173" stopIfTrue="1" operator="between">
      <formula>0</formula>
      <formula>0.5</formula>
    </cfRule>
  </conditionalFormatting>
  <conditionalFormatting sqref="Y358">
    <cfRule type="cellIs" dxfId="8251" priority="10164" operator="between">
      <formula>0.76</formula>
      <formula>0.95</formula>
    </cfRule>
    <cfRule type="cellIs" dxfId="8250" priority="10165" operator="between">
      <formula>0.51</formula>
      <formula>0.75</formula>
    </cfRule>
    <cfRule type="cellIs" dxfId="8249" priority="10166" operator="greaterThan">
      <formula>1</formula>
    </cfRule>
    <cfRule type="cellIs" dxfId="8248" priority="10167" operator="between">
      <formula>0.95</formula>
      <formula>1</formula>
    </cfRule>
    <cfRule type="cellIs" dxfId="8247" priority="10168" stopIfTrue="1" operator="between">
      <formula>0</formula>
      <formula>0.5</formula>
    </cfRule>
  </conditionalFormatting>
  <conditionalFormatting sqref="AF358">
    <cfRule type="cellIs" dxfId="8246" priority="10159" operator="between">
      <formula>0.76</formula>
      <formula>0.95</formula>
    </cfRule>
    <cfRule type="cellIs" dxfId="8245" priority="10160" operator="between">
      <formula>0.51</formula>
      <formula>0.75</formula>
    </cfRule>
    <cfRule type="cellIs" dxfId="8244" priority="10161" operator="greaterThan">
      <formula>1</formula>
    </cfRule>
    <cfRule type="cellIs" dxfId="8243" priority="10162" operator="between">
      <formula>0.95</formula>
      <formula>1</formula>
    </cfRule>
    <cfRule type="cellIs" dxfId="8242" priority="10163" stopIfTrue="1" operator="between">
      <formula>0</formula>
      <formula>0.5</formula>
    </cfRule>
  </conditionalFormatting>
  <conditionalFormatting sqref="AH358">
    <cfRule type="cellIs" dxfId="8241" priority="10154" operator="between">
      <formula>0.76</formula>
      <formula>0.95</formula>
    </cfRule>
    <cfRule type="cellIs" dxfId="8240" priority="10155" operator="between">
      <formula>0.51</formula>
      <formula>0.75</formula>
    </cfRule>
    <cfRule type="cellIs" dxfId="8239" priority="10156" operator="greaterThan">
      <formula>1</formula>
    </cfRule>
    <cfRule type="cellIs" dxfId="8238" priority="10157" operator="between">
      <formula>0.95</formula>
      <formula>1</formula>
    </cfRule>
    <cfRule type="cellIs" dxfId="8237" priority="10158" stopIfTrue="1" operator="between">
      <formula>0</formula>
      <formula>0.5</formula>
    </cfRule>
  </conditionalFormatting>
  <conditionalFormatting sqref="T358">
    <cfRule type="cellIs" dxfId="8236" priority="10139" operator="between">
      <formula>0.3751</formula>
      <formula>0.475</formula>
    </cfRule>
    <cfRule type="cellIs" dxfId="8235" priority="10140" operator="between">
      <formula>0.2551</formula>
      <formula>0.375</formula>
    </cfRule>
    <cfRule type="cellIs" dxfId="8234" priority="10141" operator="greaterThan">
      <formula>0.505</formula>
    </cfRule>
    <cfRule type="cellIs" dxfId="8233" priority="10142" operator="between">
      <formula>0.48</formula>
      <formula>0.5</formula>
    </cfRule>
    <cfRule type="cellIs" dxfId="8232" priority="10143" stopIfTrue="1" operator="between">
      <formula>0</formula>
      <formula>0.255</formula>
    </cfRule>
  </conditionalFormatting>
  <conditionalFormatting sqref="U358">
    <cfRule type="cellIs" dxfId="8231" priority="10134" operator="between">
      <formula>0.376</formula>
      <formula>0.475</formula>
    </cfRule>
    <cfRule type="cellIs" dxfId="8230" priority="10135" operator="between">
      <formula>0.2551</formula>
      <formula>0.3751</formula>
    </cfRule>
    <cfRule type="cellIs" dxfId="8229" priority="10136" operator="greaterThan">
      <formula>0.505</formula>
    </cfRule>
    <cfRule type="cellIs" dxfId="8228" priority="10137" operator="between">
      <formula>0.48</formula>
      <formula>0.5</formula>
    </cfRule>
    <cfRule type="cellIs" dxfId="8227" priority="10138" stopIfTrue="1" operator="between">
      <formula>0</formula>
      <formula>0.255</formula>
    </cfRule>
  </conditionalFormatting>
  <conditionalFormatting sqref="AA358">
    <cfRule type="cellIs" dxfId="8226" priority="10129" operator="between">
      <formula>0.56251</formula>
      <formula>0.7125</formula>
    </cfRule>
    <cfRule type="cellIs" dxfId="8225" priority="10130" operator="between">
      <formula>0.3751</formula>
      <formula>0.5625</formula>
    </cfRule>
    <cfRule type="cellIs" dxfId="8224" priority="10131" operator="greaterThan">
      <formula>0.751</formula>
    </cfRule>
    <cfRule type="cellIs" dxfId="8223" priority="10132" operator="between">
      <formula>0.71251</formula>
      <formula>0.75</formula>
    </cfRule>
    <cfRule type="cellIs" dxfId="8222" priority="10133" stopIfTrue="1" operator="between">
      <formula>0</formula>
      <formula>0.375</formula>
    </cfRule>
  </conditionalFormatting>
  <conditionalFormatting sqref="AB358">
    <cfRule type="cellIs" dxfId="8221" priority="10124" operator="between">
      <formula>0.56251</formula>
      <formula>0.7125</formula>
    </cfRule>
    <cfRule type="cellIs" dxfId="8220" priority="10125" operator="between">
      <formula>0.3751</formula>
      <formula>0.5625</formula>
    </cfRule>
    <cfRule type="cellIs" dxfId="8219" priority="10126" operator="greaterThan">
      <formula>0.751</formula>
    </cfRule>
    <cfRule type="cellIs" dxfId="8218" priority="10127" operator="between">
      <formula>0.71251</formula>
      <formula>0.75</formula>
    </cfRule>
    <cfRule type="cellIs" dxfId="8217" priority="10128" stopIfTrue="1" operator="between">
      <formula>0</formula>
      <formula>0.375</formula>
    </cfRule>
  </conditionalFormatting>
  <conditionalFormatting sqref="S358">
    <cfRule type="cellIs" dxfId="8216" priority="10092" operator="between">
      <formula>0.76</formula>
      <formula>0.95</formula>
    </cfRule>
    <cfRule type="cellIs" dxfId="8215" priority="10093" operator="between">
      <formula>0.51</formula>
      <formula>0.75</formula>
    </cfRule>
    <cfRule type="cellIs" dxfId="8214" priority="10094" operator="greaterThan">
      <formula>1</formula>
    </cfRule>
    <cfRule type="cellIs" dxfId="8213" priority="10095" operator="between">
      <formula>0.95</formula>
      <formula>1</formula>
    </cfRule>
    <cfRule type="cellIs" dxfId="8212" priority="10096" stopIfTrue="1" operator="between">
      <formula>0</formula>
      <formula>0.5</formula>
    </cfRule>
  </conditionalFormatting>
  <conditionalFormatting sqref="V358">
    <cfRule type="cellIs" dxfId="8211" priority="10087" operator="between">
      <formula>0.376</formula>
      <formula>0.475</formula>
    </cfRule>
    <cfRule type="cellIs" dxfId="8210" priority="10088" operator="between">
      <formula>0.2551</formula>
      <formula>0.3751</formula>
    </cfRule>
    <cfRule type="cellIs" dxfId="8209" priority="10089" operator="greaterThan">
      <formula>0.505</formula>
    </cfRule>
    <cfRule type="cellIs" dxfId="8208" priority="10090" operator="between">
      <formula>0.48</formula>
      <formula>0.5</formula>
    </cfRule>
    <cfRule type="cellIs" dxfId="8207" priority="10091" stopIfTrue="1" operator="between">
      <formula>0</formula>
      <formula>0.255</formula>
    </cfRule>
  </conditionalFormatting>
  <conditionalFormatting sqref="Z358">
    <cfRule type="cellIs" dxfId="8206" priority="10082" operator="between">
      <formula>0.76</formula>
      <formula>0.95</formula>
    </cfRule>
    <cfRule type="cellIs" dxfId="8205" priority="10083" operator="between">
      <formula>0.51</formula>
      <formula>0.75</formula>
    </cfRule>
    <cfRule type="cellIs" dxfId="8204" priority="10084" operator="greaterThan">
      <formula>1</formula>
    </cfRule>
    <cfRule type="cellIs" dxfId="8203" priority="10085" operator="between">
      <formula>0.95</formula>
      <formula>1</formula>
    </cfRule>
    <cfRule type="cellIs" dxfId="8202" priority="10086" stopIfTrue="1" operator="between">
      <formula>0</formula>
      <formula>0.5</formula>
    </cfRule>
  </conditionalFormatting>
  <conditionalFormatting sqref="AC358">
    <cfRule type="cellIs" dxfId="8201" priority="10077" operator="between">
      <formula>0.56251</formula>
      <formula>0.7125</formula>
    </cfRule>
    <cfRule type="cellIs" dxfId="8200" priority="10078" operator="between">
      <formula>0.3751</formula>
      <formula>0.5625</formula>
    </cfRule>
    <cfRule type="cellIs" dxfId="8199" priority="10079" operator="greaterThan">
      <formula>0.751</formula>
    </cfRule>
    <cfRule type="cellIs" dxfId="8198" priority="10080" operator="between">
      <formula>0.71251</formula>
      <formula>0.75</formula>
    </cfRule>
    <cfRule type="cellIs" dxfId="8197" priority="10081" stopIfTrue="1" operator="between">
      <formula>0</formula>
      <formula>0.375</formula>
    </cfRule>
  </conditionalFormatting>
  <conditionalFormatting sqref="AI359">
    <cfRule type="cellIs" dxfId="8196" priority="10072" operator="between">
      <formula>0.76</formula>
      <formula>0.95</formula>
    </cfRule>
    <cfRule type="cellIs" dxfId="8195" priority="10073" operator="between">
      <formula>0.51</formula>
      <formula>0.75</formula>
    </cfRule>
    <cfRule type="cellIs" dxfId="8194" priority="10074" operator="greaterThan">
      <formula>1</formula>
    </cfRule>
    <cfRule type="cellIs" dxfId="8193" priority="10075" operator="between">
      <formula>0.95</formula>
      <formula>1</formula>
    </cfRule>
    <cfRule type="cellIs" dxfId="8192" priority="10076" stopIfTrue="1" operator="between">
      <formula>0</formula>
      <formula>0.5</formula>
    </cfRule>
  </conditionalFormatting>
  <conditionalFormatting sqref="R359">
    <cfRule type="cellIs" dxfId="8191" priority="10062" operator="between">
      <formula>0.76</formula>
      <formula>0.95</formula>
    </cfRule>
    <cfRule type="cellIs" dxfId="8190" priority="10063" operator="between">
      <formula>0.51</formula>
      <formula>0.75</formula>
    </cfRule>
    <cfRule type="cellIs" dxfId="8189" priority="10064" operator="greaterThan">
      <formula>1</formula>
    </cfRule>
    <cfRule type="cellIs" dxfId="8188" priority="10065" operator="between">
      <formula>0.95</formula>
      <formula>1</formula>
    </cfRule>
    <cfRule type="cellIs" dxfId="8187" priority="10066" stopIfTrue="1" operator="between">
      <formula>0</formula>
      <formula>0.5</formula>
    </cfRule>
  </conditionalFormatting>
  <conditionalFormatting sqref="Y359">
    <cfRule type="cellIs" dxfId="8186" priority="10057" operator="between">
      <formula>0.76</formula>
      <formula>0.95</formula>
    </cfRule>
    <cfRule type="cellIs" dxfId="8185" priority="10058" operator="between">
      <formula>0.51</formula>
      <formula>0.75</formula>
    </cfRule>
    <cfRule type="cellIs" dxfId="8184" priority="10059" operator="greaterThan">
      <formula>1</formula>
    </cfRule>
    <cfRule type="cellIs" dxfId="8183" priority="10060" operator="between">
      <formula>0.95</formula>
      <formula>1</formula>
    </cfRule>
    <cfRule type="cellIs" dxfId="8182" priority="10061" stopIfTrue="1" operator="between">
      <formula>0</formula>
      <formula>0.5</formula>
    </cfRule>
  </conditionalFormatting>
  <conditionalFormatting sqref="AF359">
    <cfRule type="cellIs" dxfId="8181" priority="10052" operator="between">
      <formula>0.76</formula>
      <formula>0.95</formula>
    </cfRule>
    <cfRule type="cellIs" dxfId="8180" priority="10053" operator="between">
      <formula>0.51</formula>
      <formula>0.75</formula>
    </cfRule>
    <cfRule type="cellIs" dxfId="8179" priority="10054" operator="greaterThan">
      <formula>1</formula>
    </cfRule>
    <cfRule type="cellIs" dxfId="8178" priority="10055" operator="between">
      <formula>0.95</formula>
      <formula>1</formula>
    </cfRule>
    <cfRule type="cellIs" dxfId="8177" priority="10056" stopIfTrue="1" operator="between">
      <formula>0</formula>
      <formula>0.5</formula>
    </cfRule>
  </conditionalFormatting>
  <conditionalFormatting sqref="AH359">
    <cfRule type="cellIs" dxfId="8176" priority="10047" operator="between">
      <formula>0.76</formula>
      <formula>0.95</formula>
    </cfRule>
    <cfRule type="cellIs" dxfId="8175" priority="10048" operator="between">
      <formula>0.51</formula>
      <formula>0.75</formula>
    </cfRule>
    <cfRule type="cellIs" dxfId="8174" priority="10049" operator="greaterThan">
      <formula>1</formula>
    </cfRule>
    <cfRule type="cellIs" dxfId="8173" priority="10050" operator="between">
      <formula>0.95</formula>
      <formula>1</formula>
    </cfRule>
    <cfRule type="cellIs" dxfId="8172" priority="10051" stopIfTrue="1" operator="between">
      <formula>0</formula>
      <formula>0.5</formula>
    </cfRule>
  </conditionalFormatting>
  <conditionalFormatting sqref="T359">
    <cfRule type="cellIs" dxfId="8171" priority="10032" operator="between">
      <formula>0.3751</formula>
      <formula>0.475</formula>
    </cfRule>
    <cfRule type="cellIs" dxfId="8170" priority="10033" operator="between">
      <formula>0.2551</formula>
      <formula>0.375</formula>
    </cfRule>
    <cfRule type="cellIs" dxfId="8169" priority="10034" operator="greaterThan">
      <formula>0.505</formula>
    </cfRule>
    <cfRule type="cellIs" dxfId="8168" priority="10035" operator="between">
      <formula>0.48</formula>
      <formula>0.5</formula>
    </cfRule>
    <cfRule type="cellIs" dxfId="8167" priority="10036" stopIfTrue="1" operator="between">
      <formula>0</formula>
      <formula>0.255</formula>
    </cfRule>
  </conditionalFormatting>
  <conditionalFormatting sqref="U359">
    <cfRule type="cellIs" dxfId="8166" priority="10027" operator="between">
      <formula>0.376</formula>
      <formula>0.475</formula>
    </cfRule>
    <cfRule type="cellIs" dxfId="8165" priority="10028" operator="between">
      <formula>0.2551</formula>
      <formula>0.3751</formula>
    </cfRule>
    <cfRule type="cellIs" dxfId="8164" priority="10029" operator="greaterThan">
      <formula>0.505</formula>
    </cfRule>
    <cfRule type="cellIs" dxfId="8163" priority="10030" operator="between">
      <formula>0.48</formula>
      <formula>0.5</formula>
    </cfRule>
    <cfRule type="cellIs" dxfId="8162" priority="10031" stopIfTrue="1" operator="between">
      <formula>0</formula>
      <formula>0.255</formula>
    </cfRule>
  </conditionalFormatting>
  <conditionalFormatting sqref="AA359">
    <cfRule type="cellIs" dxfId="8161" priority="10022" operator="between">
      <formula>0.56251</formula>
      <formula>0.7125</formula>
    </cfRule>
    <cfRule type="cellIs" dxfId="8160" priority="10023" operator="between">
      <formula>0.3751</formula>
      <formula>0.5625</formula>
    </cfRule>
    <cfRule type="cellIs" dxfId="8159" priority="10024" operator="greaterThan">
      <formula>0.751</formula>
    </cfRule>
    <cfRule type="cellIs" dxfId="8158" priority="10025" operator="between">
      <formula>0.71251</formula>
      <formula>0.75</formula>
    </cfRule>
    <cfRule type="cellIs" dxfId="8157" priority="10026" stopIfTrue="1" operator="between">
      <formula>0</formula>
      <formula>0.375</formula>
    </cfRule>
  </conditionalFormatting>
  <conditionalFormatting sqref="AB359">
    <cfRule type="cellIs" dxfId="8156" priority="10017" operator="between">
      <formula>0.56251</formula>
      <formula>0.7125</formula>
    </cfRule>
    <cfRule type="cellIs" dxfId="8155" priority="10018" operator="between">
      <formula>0.3751</formula>
      <formula>0.5625</formula>
    </cfRule>
    <cfRule type="cellIs" dxfId="8154" priority="10019" operator="greaterThan">
      <formula>0.751</formula>
    </cfRule>
    <cfRule type="cellIs" dxfId="8153" priority="10020" operator="between">
      <formula>0.71251</formula>
      <formula>0.75</formula>
    </cfRule>
    <cfRule type="cellIs" dxfId="8152" priority="10021" stopIfTrue="1" operator="between">
      <formula>0</formula>
      <formula>0.375</formula>
    </cfRule>
  </conditionalFormatting>
  <conditionalFormatting sqref="S359">
    <cfRule type="cellIs" dxfId="8151" priority="9985" operator="between">
      <formula>0.76</formula>
      <formula>0.95</formula>
    </cfRule>
    <cfRule type="cellIs" dxfId="8150" priority="9986" operator="between">
      <formula>0.51</formula>
      <formula>0.75</formula>
    </cfRule>
    <cfRule type="cellIs" dxfId="8149" priority="9987" operator="greaterThan">
      <formula>1</formula>
    </cfRule>
    <cfRule type="cellIs" dxfId="8148" priority="9988" operator="between">
      <formula>0.95</formula>
      <formula>1</formula>
    </cfRule>
    <cfRule type="cellIs" dxfId="8147" priority="9989" stopIfTrue="1" operator="between">
      <formula>0</formula>
      <formula>0.5</formula>
    </cfRule>
  </conditionalFormatting>
  <conditionalFormatting sqref="V359">
    <cfRule type="cellIs" dxfId="8146" priority="9980" operator="between">
      <formula>0.376</formula>
      <formula>0.475</formula>
    </cfRule>
    <cfRule type="cellIs" dxfId="8145" priority="9981" operator="between">
      <formula>0.2551</formula>
      <formula>0.3751</formula>
    </cfRule>
    <cfRule type="cellIs" dxfId="8144" priority="9982" operator="greaterThan">
      <formula>0.505</formula>
    </cfRule>
    <cfRule type="cellIs" dxfId="8143" priority="9983" operator="between">
      <formula>0.48</formula>
      <formula>0.5</formula>
    </cfRule>
    <cfRule type="cellIs" dxfId="8142" priority="9984" stopIfTrue="1" operator="between">
      <formula>0</formula>
      <formula>0.255</formula>
    </cfRule>
  </conditionalFormatting>
  <conditionalFormatting sqref="S202:S203">
    <cfRule type="cellIs" dxfId="8141" priority="9196" operator="between">
      <formula>0.76</formula>
      <formula>0.95</formula>
    </cfRule>
    <cfRule type="cellIs" dxfId="8140" priority="9197" operator="between">
      <formula>0.51</formula>
      <formula>0.75</formula>
    </cfRule>
    <cfRule type="cellIs" dxfId="8139" priority="9198" operator="greaterThan">
      <formula>1</formula>
    </cfRule>
    <cfRule type="cellIs" dxfId="8138" priority="9199" operator="between">
      <formula>0.95</formula>
      <formula>1</formula>
    </cfRule>
    <cfRule type="cellIs" dxfId="8137" priority="9200" stopIfTrue="1" operator="between">
      <formula>0</formula>
      <formula>0.5</formula>
    </cfRule>
  </conditionalFormatting>
  <conditionalFormatting sqref="AC359">
    <cfRule type="cellIs" dxfId="8136" priority="9970" operator="between">
      <formula>0.56251</formula>
      <formula>0.7125</formula>
    </cfRule>
    <cfRule type="cellIs" dxfId="8135" priority="9971" operator="between">
      <formula>0.3751</formula>
      <formula>0.5625</formula>
    </cfRule>
    <cfRule type="cellIs" dxfId="8134" priority="9972" operator="greaterThan">
      <formula>0.751</formula>
    </cfRule>
    <cfRule type="cellIs" dxfId="8133" priority="9973" operator="between">
      <formula>0.71251</formula>
      <formula>0.75</formula>
    </cfRule>
    <cfRule type="cellIs" dxfId="8132" priority="9974" stopIfTrue="1" operator="between">
      <formula>0</formula>
      <formula>0.375</formula>
    </cfRule>
  </conditionalFormatting>
  <conditionalFormatting sqref="Z359">
    <cfRule type="cellIs" dxfId="8131" priority="9955" operator="between">
      <formula>0.76</formula>
      <formula>0.95</formula>
    </cfRule>
    <cfRule type="cellIs" dxfId="8130" priority="9956" operator="between">
      <formula>0.51</formula>
      <formula>0.75</formula>
    </cfRule>
    <cfRule type="cellIs" dxfId="8129" priority="9957" operator="greaterThan">
      <formula>1</formula>
    </cfRule>
    <cfRule type="cellIs" dxfId="8128" priority="9958" operator="between">
      <formula>0.95</formula>
      <formula>1</formula>
    </cfRule>
    <cfRule type="cellIs" dxfId="8127" priority="9959" stopIfTrue="1" operator="between">
      <formula>0</formula>
      <formula>0.5</formula>
    </cfRule>
  </conditionalFormatting>
  <conditionalFormatting sqref="AG359">
    <cfRule type="cellIs" dxfId="8126" priority="9950" operator="between">
      <formula>0.76</formula>
      <formula>0.95</formula>
    </cfRule>
    <cfRule type="cellIs" dxfId="8125" priority="9951" operator="between">
      <formula>0.51</formula>
      <formula>0.75</formula>
    </cfRule>
    <cfRule type="cellIs" dxfId="8124" priority="9952" operator="greaterThan">
      <formula>1</formula>
    </cfRule>
    <cfRule type="cellIs" dxfId="8123" priority="9953" operator="between">
      <formula>0.95</formula>
      <formula>1</formula>
    </cfRule>
    <cfRule type="cellIs" dxfId="8122" priority="9954" stopIfTrue="1" operator="between">
      <formula>0</formula>
      <formula>0.5</formula>
    </cfRule>
  </conditionalFormatting>
  <conditionalFormatting sqref="AI360 AI362">
    <cfRule type="cellIs" dxfId="8121" priority="9945" operator="between">
      <formula>0.76</formula>
      <formula>0.95</formula>
    </cfRule>
    <cfRule type="cellIs" dxfId="8120" priority="9946" operator="between">
      <formula>0.51</formula>
      <formula>0.75</formula>
    </cfRule>
    <cfRule type="cellIs" dxfId="8119" priority="9947" operator="greaterThan">
      <formula>1</formula>
    </cfRule>
    <cfRule type="cellIs" dxfId="8118" priority="9948" operator="between">
      <formula>0.95</formula>
      <formula>1</formula>
    </cfRule>
    <cfRule type="cellIs" dxfId="8117" priority="9949" stopIfTrue="1" operator="between">
      <formula>0</formula>
      <formula>0.5</formula>
    </cfRule>
  </conditionalFormatting>
  <conditionalFormatting sqref="R360 R362">
    <cfRule type="cellIs" dxfId="8116" priority="9935" operator="between">
      <formula>0.76</formula>
      <formula>0.95</formula>
    </cfRule>
    <cfRule type="cellIs" dxfId="8115" priority="9936" operator="between">
      <formula>0.51</formula>
      <formula>0.75</formula>
    </cfRule>
    <cfRule type="cellIs" dxfId="8114" priority="9937" operator="greaterThan">
      <formula>1</formula>
    </cfRule>
    <cfRule type="cellIs" dxfId="8113" priority="9938" operator="between">
      <formula>0.95</formula>
      <formula>1</formula>
    </cfRule>
    <cfRule type="cellIs" dxfId="8112" priority="9939" stopIfTrue="1" operator="between">
      <formula>0</formula>
      <formula>0.5</formula>
    </cfRule>
  </conditionalFormatting>
  <conditionalFormatting sqref="Y360 Y362">
    <cfRule type="cellIs" dxfId="8111" priority="9930" operator="between">
      <formula>0.76</formula>
      <formula>0.95</formula>
    </cfRule>
    <cfRule type="cellIs" dxfId="8110" priority="9931" operator="between">
      <formula>0.51</formula>
      <formula>0.75</formula>
    </cfRule>
    <cfRule type="cellIs" dxfId="8109" priority="9932" operator="greaterThan">
      <formula>1</formula>
    </cfRule>
    <cfRule type="cellIs" dxfId="8108" priority="9933" operator="between">
      <formula>0.95</formula>
      <formula>1</formula>
    </cfRule>
    <cfRule type="cellIs" dxfId="8107" priority="9934" stopIfTrue="1" operator="between">
      <formula>0</formula>
      <formula>0.5</formula>
    </cfRule>
  </conditionalFormatting>
  <conditionalFormatting sqref="AF360 AF362">
    <cfRule type="cellIs" dxfId="8106" priority="9925" operator="between">
      <formula>0.76</formula>
      <formula>0.95</formula>
    </cfRule>
    <cfRule type="cellIs" dxfId="8105" priority="9926" operator="between">
      <formula>0.51</formula>
      <formula>0.75</formula>
    </cfRule>
    <cfRule type="cellIs" dxfId="8104" priority="9927" operator="greaterThan">
      <formula>1</formula>
    </cfRule>
    <cfRule type="cellIs" dxfId="8103" priority="9928" operator="between">
      <formula>0.95</formula>
      <formula>1</formula>
    </cfRule>
    <cfRule type="cellIs" dxfId="8102" priority="9929" stopIfTrue="1" operator="between">
      <formula>0</formula>
      <formula>0.5</formula>
    </cfRule>
  </conditionalFormatting>
  <conditionalFormatting sqref="AH360 AH362">
    <cfRule type="cellIs" dxfId="8101" priority="9920" operator="between">
      <formula>0.76</formula>
      <formula>0.95</formula>
    </cfRule>
    <cfRule type="cellIs" dxfId="8100" priority="9921" operator="between">
      <formula>0.51</formula>
      <formula>0.75</formula>
    </cfRule>
    <cfRule type="cellIs" dxfId="8099" priority="9922" operator="greaterThan">
      <formula>1</formula>
    </cfRule>
    <cfRule type="cellIs" dxfId="8098" priority="9923" operator="between">
      <formula>0.95</formula>
      <formula>1</formula>
    </cfRule>
    <cfRule type="cellIs" dxfId="8097" priority="9924" stopIfTrue="1" operator="between">
      <formula>0</formula>
      <formula>0.5</formula>
    </cfRule>
  </conditionalFormatting>
  <conditionalFormatting sqref="T360 T362">
    <cfRule type="cellIs" dxfId="8096" priority="9905" operator="between">
      <formula>0.3751</formula>
      <formula>0.475</formula>
    </cfRule>
    <cfRule type="cellIs" dxfId="8095" priority="9906" operator="between">
      <formula>0.2551</formula>
      <formula>0.375</formula>
    </cfRule>
    <cfRule type="cellIs" dxfId="8094" priority="9907" operator="greaterThan">
      <formula>0.505</formula>
    </cfRule>
    <cfRule type="cellIs" dxfId="8093" priority="9908" operator="between">
      <formula>0.48</formula>
      <formula>0.5</formula>
    </cfRule>
    <cfRule type="cellIs" dxfId="8092" priority="9909" stopIfTrue="1" operator="between">
      <formula>0</formula>
      <formula>0.255</formula>
    </cfRule>
  </conditionalFormatting>
  <conditionalFormatting sqref="U360 U362">
    <cfRule type="cellIs" dxfId="8091" priority="9900" operator="between">
      <formula>0.376</formula>
      <formula>0.475</formula>
    </cfRule>
    <cfRule type="cellIs" dxfId="8090" priority="9901" operator="between">
      <formula>0.2551</formula>
      <formula>0.3751</formula>
    </cfRule>
    <cfRule type="cellIs" dxfId="8089" priority="9902" operator="greaterThan">
      <formula>0.505</formula>
    </cfRule>
    <cfRule type="cellIs" dxfId="8088" priority="9903" operator="between">
      <formula>0.48</formula>
      <formula>0.5</formula>
    </cfRule>
    <cfRule type="cellIs" dxfId="8087" priority="9904" stopIfTrue="1" operator="between">
      <formula>0</formula>
      <formula>0.255</formula>
    </cfRule>
  </conditionalFormatting>
  <conditionalFormatting sqref="AA360 AA362">
    <cfRule type="cellIs" dxfId="8086" priority="9895" operator="between">
      <formula>0.56251</formula>
      <formula>0.7125</formula>
    </cfRule>
    <cfRule type="cellIs" dxfId="8085" priority="9896" operator="between">
      <formula>0.3751</formula>
      <formula>0.5625</formula>
    </cfRule>
    <cfRule type="cellIs" dxfId="8084" priority="9897" operator="greaterThan">
      <formula>0.751</formula>
    </cfRule>
    <cfRule type="cellIs" dxfId="8083" priority="9898" operator="between">
      <formula>0.71251</formula>
      <formula>0.75</formula>
    </cfRule>
    <cfRule type="cellIs" dxfId="8082" priority="9899" stopIfTrue="1" operator="between">
      <formula>0</formula>
      <formula>0.375</formula>
    </cfRule>
  </conditionalFormatting>
  <conditionalFormatting sqref="AB360 AB362">
    <cfRule type="cellIs" dxfId="8081" priority="9890" operator="between">
      <formula>0.56251</formula>
      <formula>0.7125</formula>
    </cfRule>
    <cfRule type="cellIs" dxfId="8080" priority="9891" operator="between">
      <formula>0.3751</formula>
      <formula>0.5625</formula>
    </cfRule>
    <cfRule type="cellIs" dxfId="8079" priority="9892" operator="greaterThan">
      <formula>0.751</formula>
    </cfRule>
    <cfRule type="cellIs" dxfId="8078" priority="9893" operator="between">
      <formula>0.71251</formula>
      <formula>0.75</formula>
    </cfRule>
    <cfRule type="cellIs" dxfId="8077" priority="9894" stopIfTrue="1" operator="between">
      <formula>0</formula>
      <formula>0.375</formula>
    </cfRule>
  </conditionalFormatting>
  <conditionalFormatting sqref="S360 S362">
    <cfRule type="cellIs" dxfId="8076" priority="9873" operator="between">
      <formula>0.76</formula>
      <formula>0.95</formula>
    </cfRule>
    <cfRule type="cellIs" dxfId="8075" priority="9874" operator="between">
      <formula>0.51</formula>
      <formula>0.75</formula>
    </cfRule>
    <cfRule type="cellIs" dxfId="8074" priority="9875" operator="greaterThan">
      <formula>1</formula>
    </cfRule>
    <cfRule type="cellIs" dxfId="8073" priority="9876" operator="between">
      <formula>0.95</formula>
      <formula>1</formula>
    </cfRule>
    <cfRule type="cellIs" dxfId="8072" priority="9877" stopIfTrue="1" operator="between">
      <formula>0</formula>
      <formula>0.5</formula>
    </cfRule>
  </conditionalFormatting>
  <conditionalFormatting sqref="V360 V362">
    <cfRule type="cellIs" dxfId="8071" priority="9868" operator="between">
      <formula>0.376</formula>
      <formula>0.475</formula>
    </cfRule>
    <cfRule type="cellIs" dxfId="8070" priority="9869" operator="between">
      <formula>0.2551</formula>
      <formula>0.3751</formula>
    </cfRule>
    <cfRule type="cellIs" dxfId="8069" priority="9870" operator="greaterThan">
      <formula>0.505</formula>
    </cfRule>
    <cfRule type="cellIs" dxfId="8068" priority="9871" operator="between">
      <formula>0.48</formula>
      <formula>0.5</formula>
    </cfRule>
    <cfRule type="cellIs" dxfId="8067" priority="9872" stopIfTrue="1" operator="between">
      <formula>0</formula>
      <formula>0.255</formula>
    </cfRule>
  </conditionalFormatting>
  <conditionalFormatting sqref="AC360 AC362">
    <cfRule type="cellIs" dxfId="8066" priority="9863" operator="between">
      <formula>0.56251</formula>
      <formula>0.7125</formula>
    </cfRule>
    <cfRule type="cellIs" dxfId="8065" priority="9864" operator="between">
      <formula>0.3751</formula>
      <formula>0.5625</formula>
    </cfRule>
    <cfRule type="cellIs" dxfId="8064" priority="9865" operator="greaterThan">
      <formula>0.751</formula>
    </cfRule>
    <cfRule type="cellIs" dxfId="8063" priority="9866" operator="between">
      <formula>0.71251</formula>
      <formula>0.75</formula>
    </cfRule>
    <cfRule type="cellIs" dxfId="8062" priority="9867" stopIfTrue="1" operator="between">
      <formula>0</formula>
      <formula>0.375</formula>
    </cfRule>
  </conditionalFormatting>
  <conditionalFormatting sqref="Z360 Z362">
    <cfRule type="cellIs" dxfId="8061" priority="9848" operator="between">
      <formula>0.76</formula>
      <formula>0.95</formula>
    </cfRule>
    <cfRule type="cellIs" dxfId="8060" priority="9849" operator="between">
      <formula>0.51</formula>
      <formula>0.75</formula>
    </cfRule>
    <cfRule type="cellIs" dxfId="8059" priority="9850" operator="greaterThan">
      <formula>1</formula>
    </cfRule>
    <cfRule type="cellIs" dxfId="8058" priority="9851" operator="between">
      <formula>0.95</formula>
      <formula>1</formula>
    </cfRule>
    <cfRule type="cellIs" dxfId="8057" priority="9852" stopIfTrue="1" operator="between">
      <formula>0</formula>
      <formula>0.5</formula>
    </cfRule>
  </conditionalFormatting>
  <conditionalFormatting sqref="AG360 AG362">
    <cfRule type="cellIs" dxfId="8056" priority="9843" operator="between">
      <formula>0.76</formula>
      <formula>0.95</formula>
    </cfRule>
    <cfRule type="cellIs" dxfId="8055" priority="9844" operator="between">
      <formula>0.51</formula>
      <formula>0.75</formula>
    </cfRule>
    <cfRule type="cellIs" dxfId="8054" priority="9845" operator="greaterThan">
      <formula>1</formula>
    </cfRule>
    <cfRule type="cellIs" dxfId="8053" priority="9846" operator="between">
      <formula>0.95</formula>
      <formula>1</formula>
    </cfRule>
    <cfRule type="cellIs" dxfId="8052" priority="9847" stopIfTrue="1" operator="between">
      <formula>0</formula>
      <formula>0.5</formula>
    </cfRule>
  </conditionalFormatting>
  <conditionalFormatting sqref="Y302 AF302 R302 AH302:AI302">
    <cfRule type="cellIs" dxfId="8051" priority="9838" operator="between">
      <formula>0.76</formula>
      <formula>0.95</formula>
    </cfRule>
    <cfRule type="cellIs" dxfId="8050" priority="9839" operator="between">
      <formula>0.51</formula>
      <formula>0.75</formula>
    </cfRule>
    <cfRule type="cellIs" dxfId="8049" priority="9840" operator="greaterThan">
      <formula>1</formula>
    </cfRule>
    <cfRule type="cellIs" dxfId="8048" priority="9841" operator="between">
      <formula>0.95</formula>
      <formula>1</formula>
    </cfRule>
    <cfRule type="cellIs" dxfId="8047" priority="9842" stopIfTrue="1" operator="between">
      <formula>0</formula>
      <formula>0.5</formula>
    </cfRule>
  </conditionalFormatting>
  <conditionalFormatting sqref="T302">
    <cfRule type="cellIs" dxfId="8046" priority="9833" operator="between">
      <formula>0.3751</formula>
      <formula>0.475</formula>
    </cfRule>
    <cfRule type="cellIs" dxfId="8045" priority="9834" operator="between">
      <formula>0.2551</formula>
      <formula>0.375</formula>
    </cfRule>
    <cfRule type="cellIs" dxfId="8044" priority="9835" operator="greaterThan">
      <formula>0.505</formula>
    </cfRule>
    <cfRule type="cellIs" dxfId="8043" priority="9836" operator="between">
      <formula>0.48</formula>
      <formula>0.5</formula>
    </cfRule>
    <cfRule type="cellIs" dxfId="8042" priority="9837" stopIfTrue="1" operator="between">
      <formula>0</formula>
      <formula>0.255</formula>
    </cfRule>
  </conditionalFormatting>
  <conditionalFormatting sqref="AA302:AB302">
    <cfRule type="cellIs" dxfId="8041" priority="9828" operator="between">
      <formula>0.56251</formula>
      <formula>0.7125</formula>
    </cfRule>
    <cfRule type="cellIs" dxfId="8040" priority="9829" operator="between">
      <formula>0.3751</formula>
      <formula>0.5625</formula>
    </cfRule>
    <cfRule type="cellIs" dxfId="8039" priority="9830" operator="greaterThan">
      <formula>0.751</formula>
    </cfRule>
    <cfRule type="cellIs" dxfId="8038" priority="9831" operator="between">
      <formula>0.71251</formula>
      <formula>0.75</formula>
    </cfRule>
    <cfRule type="cellIs" dxfId="8037" priority="9832" stopIfTrue="1" operator="between">
      <formula>0</formula>
      <formula>0.375</formula>
    </cfRule>
  </conditionalFormatting>
  <conditionalFormatting sqref="U302">
    <cfRule type="cellIs" dxfId="8036" priority="9818" operator="between">
      <formula>0.376</formula>
      <formula>0.475</formula>
    </cfRule>
    <cfRule type="cellIs" dxfId="8035" priority="9819" operator="between">
      <formula>0.2551</formula>
      <formula>0.3751</formula>
    </cfRule>
    <cfRule type="cellIs" dxfId="8034" priority="9820" operator="greaterThan">
      <formula>0.505</formula>
    </cfRule>
    <cfRule type="cellIs" dxfId="8033" priority="9821" operator="between">
      <formula>0.48</formula>
      <formula>0.5</formula>
    </cfRule>
    <cfRule type="cellIs" dxfId="8032" priority="9822" stopIfTrue="1" operator="between">
      <formula>0</formula>
      <formula>0.255</formula>
    </cfRule>
  </conditionalFormatting>
  <conditionalFormatting sqref="AG302">
    <cfRule type="cellIs" dxfId="8031" priority="9800" operator="between">
      <formula>0.76</formula>
      <formula>0.95</formula>
    </cfRule>
    <cfRule type="cellIs" dxfId="8030" priority="9801" operator="between">
      <formula>0.51</formula>
      <formula>0.75</formula>
    </cfRule>
    <cfRule type="cellIs" dxfId="8029" priority="9802" operator="greaterThan">
      <formula>1</formula>
    </cfRule>
    <cfRule type="cellIs" dxfId="8028" priority="9803" operator="between">
      <formula>0.95</formula>
      <formula>1</formula>
    </cfRule>
    <cfRule type="cellIs" dxfId="8027" priority="9804" stopIfTrue="1" operator="between">
      <formula>0</formula>
      <formula>0.5</formula>
    </cfRule>
  </conditionalFormatting>
  <conditionalFormatting sqref="S302">
    <cfRule type="cellIs" dxfId="8026" priority="9795" operator="between">
      <formula>0.76</formula>
      <formula>0.95</formula>
    </cfRule>
    <cfRule type="cellIs" dxfId="8025" priority="9796" operator="between">
      <formula>0.51</formula>
      <formula>0.75</formula>
    </cfRule>
    <cfRule type="cellIs" dxfId="8024" priority="9797" operator="greaterThan">
      <formula>1</formula>
    </cfRule>
    <cfRule type="cellIs" dxfId="8023" priority="9798" operator="between">
      <formula>0.95</formula>
      <formula>1</formula>
    </cfRule>
    <cfRule type="cellIs" dxfId="8022" priority="9799" stopIfTrue="1" operator="between">
      <formula>0</formula>
      <formula>0.5</formula>
    </cfRule>
  </conditionalFormatting>
  <conditionalFormatting sqref="V302">
    <cfRule type="cellIs" dxfId="8021" priority="9790" operator="between">
      <formula>0.376</formula>
      <formula>0.475</formula>
    </cfRule>
    <cfRule type="cellIs" dxfId="8020" priority="9791" operator="between">
      <formula>0.2551</formula>
      <formula>0.3751</formula>
    </cfRule>
    <cfRule type="cellIs" dxfId="8019" priority="9792" operator="greaterThan">
      <formula>0.505</formula>
    </cfRule>
    <cfRule type="cellIs" dxfId="8018" priority="9793" operator="between">
      <formula>0.48</formula>
      <formula>0.5</formula>
    </cfRule>
    <cfRule type="cellIs" dxfId="8017" priority="9794" stopIfTrue="1" operator="between">
      <formula>0</formula>
      <formula>0.255</formula>
    </cfRule>
  </conditionalFormatting>
  <conditionalFormatting sqref="Z302">
    <cfRule type="cellIs" dxfId="8016" priority="9785" operator="between">
      <formula>0.76</formula>
      <formula>0.95</formula>
    </cfRule>
    <cfRule type="cellIs" dxfId="8015" priority="9786" operator="between">
      <formula>0.51</formula>
      <formula>0.75</formula>
    </cfRule>
    <cfRule type="cellIs" dxfId="8014" priority="9787" operator="greaterThan">
      <formula>1</formula>
    </cfRule>
    <cfRule type="cellIs" dxfId="8013" priority="9788" operator="between">
      <formula>0.95</formula>
      <formula>1</formula>
    </cfRule>
    <cfRule type="cellIs" dxfId="8012" priority="9789" stopIfTrue="1" operator="between">
      <formula>0</formula>
      <formula>0.5</formula>
    </cfRule>
  </conditionalFormatting>
  <conditionalFormatting sqref="AC302">
    <cfRule type="cellIs" dxfId="8011" priority="9780" operator="between">
      <formula>0.56251</formula>
      <formula>0.7125</formula>
    </cfRule>
    <cfRule type="cellIs" dxfId="8010" priority="9781" operator="between">
      <formula>0.3751</formula>
      <formula>0.5625</formula>
    </cfRule>
    <cfRule type="cellIs" dxfId="8009" priority="9782" operator="greaterThan">
      <formula>0.751</formula>
    </cfRule>
    <cfRule type="cellIs" dxfId="8008" priority="9783" operator="between">
      <formula>0.71251</formula>
      <formula>0.75</formula>
    </cfRule>
    <cfRule type="cellIs" dxfId="8007" priority="9784" stopIfTrue="1" operator="between">
      <formula>0</formula>
      <formula>0.375</formula>
    </cfRule>
  </conditionalFormatting>
  <conditionalFormatting sqref="AG301">
    <cfRule type="cellIs" dxfId="8006" priority="9775" operator="between">
      <formula>0.76</formula>
      <formula>0.95</formula>
    </cfRule>
    <cfRule type="cellIs" dxfId="8005" priority="9776" operator="between">
      <formula>0.51</formula>
      <formula>0.75</formula>
    </cfRule>
    <cfRule type="cellIs" dxfId="8004" priority="9777" operator="greaterThan">
      <formula>1</formula>
    </cfRule>
    <cfRule type="cellIs" dxfId="8003" priority="9778" operator="between">
      <formula>0.95</formula>
      <formula>1</formula>
    </cfRule>
    <cfRule type="cellIs" dxfId="8002" priority="9779" stopIfTrue="1" operator="between">
      <formula>0</formula>
      <formula>0.5</formula>
    </cfRule>
  </conditionalFormatting>
  <conditionalFormatting sqref="R199 Y199 AF199 AH199:AI199">
    <cfRule type="cellIs" dxfId="8001" priority="9770" operator="between">
      <formula>0.76</formula>
      <formula>0.95</formula>
    </cfRule>
    <cfRule type="cellIs" dxfId="8000" priority="9771" operator="between">
      <formula>0.51</formula>
      <formula>0.75</formula>
    </cfRule>
    <cfRule type="cellIs" dxfId="7999" priority="9772" operator="greaterThan">
      <formula>1</formula>
    </cfRule>
    <cfRule type="cellIs" dxfId="7998" priority="9773" operator="between">
      <formula>0.95</formula>
      <formula>1</formula>
    </cfRule>
    <cfRule type="cellIs" dxfId="7997" priority="9774" stopIfTrue="1" operator="between">
      <formula>0</formula>
      <formula>0.5</formula>
    </cfRule>
  </conditionalFormatting>
  <conditionalFormatting sqref="T199">
    <cfRule type="cellIs" dxfId="7996" priority="9765" operator="between">
      <formula>0.3751</formula>
      <formula>0.475</formula>
    </cfRule>
    <cfRule type="cellIs" dxfId="7995" priority="9766" operator="between">
      <formula>0.2551</formula>
      <formula>0.375</formula>
    </cfRule>
    <cfRule type="cellIs" dxfId="7994" priority="9767" operator="greaterThan">
      <formula>0.505</formula>
    </cfRule>
    <cfRule type="cellIs" dxfId="7993" priority="9768" operator="between">
      <formula>0.48</formula>
      <formula>0.5</formula>
    </cfRule>
    <cfRule type="cellIs" dxfId="7992" priority="9769" stopIfTrue="1" operator="between">
      <formula>0</formula>
      <formula>0.255</formula>
    </cfRule>
  </conditionalFormatting>
  <conditionalFormatting sqref="U199">
    <cfRule type="cellIs" dxfId="7991" priority="9750" operator="between">
      <formula>0.376</formula>
      <formula>0.475</formula>
    </cfRule>
    <cfRule type="cellIs" dxfId="7990" priority="9751" operator="between">
      <formula>0.2551</formula>
      <formula>0.3751</formula>
    </cfRule>
    <cfRule type="cellIs" dxfId="7989" priority="9752" operator="greaterThan">
      <formula>0.505</formula>
    </cfRule>
    <cfRule type="cellIs" dxfId="7988" priority="9753" operator="between">
      <formula>0.48</formula>
      <formula>0.5</formula>
    </cfRule>
    <cfRule type="cellIs" dxfId="7987" priority="9754" stopIfTrue="1" operator="between">
      <formula>0</formula>
      <formula>0.255</formula>
    </cfRule>
  </conditionalFormatting>
  <conditionalFormatting sqref="AG199">
    <cfRule type="cellIs" dxfId="7986" priority="9742" operator="between">
      <formula>0.76</formula>
      <formula>0.95</formula>
    </cfRule>
    <cfRule type="cellIs" dxfId="7985" priority="9743" operator="between">
      <formula>0.51</formula>
      <formula>0.75</formula>
    </cfRule>
    <cfRule type="cellIs" dxfId="7984" priority="9744" operator="greaterThan">
      <formula>1</formula>
    </cfRule>
    <cfRule type="cellIs" dxfId="7983" priority="9745" operator="between">
      <formula>0.95</formula>
      <formula>1</formula>
    </cfRule>
    <cfRule type="cellIs" dxfId="7982" priority="9746" stopIfTrue="1" operator="between">
      <formula>0</formula>
      <formula>0.5</formula>
    </cfRule>
  </conditionalFormatting>
  <conditionalFormatting sqref="Z199">
    <cfRule type="cellIs" dxfId="7981" priority="9737" operator="between">
      <formula>0.76</formula>
      <formula>0.95</formula>
    </cfRule>
    <cfRule type="cellIs" dxfId="7980" priority="9738" operator="between">
      <formula>0.51</formula>
      <formula>0.75</formula>
    </cfRule>
    <cfRule type="cellIs" dxfId="7979" priority="9739" operator="greaterThan">
      <formula>1</formula>
    </cfRule>
    <cfRule type="cellIs" dxfId="7978" priority="9740" operator="between">
      <formula>0.95</formula>
      <formula>1</formula>
    </cfRule>
    <cfRule type="cellIs" dxfId="7977" priority="9741" stopIfTrue="1" operator="between">
      <formula>0</formula>
      <formula>0.5</formula>
    </cfRule>
  </conditionalFormatting>
  <conditionalFormatting sqref="V199">
    <cfRule type="cellIs" dxfId="7976" priority="9722" operator="between">
      <formula>0.376</formula>
      <formula>0.475</formula>
    </cfRule>
    <cfRule type="cellIs" dxfId="7975" priority="9723" operator="between">
      <formula>0.2551</formula>
      <formula>0.3751</formula>
    </cfRule>
    <cfRule type="cellIs" dxfId="7974" priority="9724" operator="greaterThan">
      <formula>0.505</formula>
    </cfRule>
    <cfRule type="cellIs" dxfId="7973" priority="9725" operator="between">
      <formula>0.48</formula>
      <formula>0.5</formula>
    </cfRule>
    <cfRule type="cellIs" dxfId="7972" priority="9726" stopIfTrue="1" operator="between">
      <formula>0</formula>
      <formula>0.255</formula>
    </cfRule>
  </conditionalFormatting>
  <conditionalFormatting sqref="S199">
    <cfRule type="cellIs" dxfId="7971" priority="9702" operator="between">
      <formula>0.76</formula>
      <formula>0.95</formula>
    </cfRule>
    <cfRule type="cellIs" dxfId="7970" priority="9703" operator="between">
      <formula>0.51</formula>
      <formula>0.75</formula>
    </cfRule>
    <cfRule type="cellIs" dxfId="7969" priority="9704" operator="greaterThan">
      <formula>1</formula>
    </cfRule>
    <cfRule type="cellIs" dxfId="7968" priority="9705" operator="between">
      <formula>0.95</formula>
      <formula>1</formula>
    </cfRule>
    <cfRule type="cellIs" dxfId="7967" priority="9706" stopIfTrue="1" operator="between">
      <formula>0</formula>
      <formula>0.5</formula>
    </cfRule>
  </conditionalFormatting>
  <conditionalFormatting sqref="AI363">
    <cfRule type="cellIs" dxfId="7966" priority="9697" operator="between">
      <formula>0.76</formula>
      <formula>0.95</formula>
    </cfRule>
    <cfRule type="cellIs" dxfId="7965" priority="9698" operator="between">
      <formula>0.51</formula>
      <formula>0.75</formula>
    </cfRule>
    <cfRule type="cellIs" dxfId="7964" priority="9699" operator="greaterThan">
      <formula>1</formula>
    </cfRule>
    <cfRule type="cellIs" dxfId="7963" priority="9700" operator="between">
      <formula>0.95</formula>
      <formula>1</formula>
    </cfRule>
    <cfRule type="cellIs" dxfId="7962" priority="9701" stopIfTrue="1" operator="between">
      <formula>0</formula>
      <formula>0.5</formula>
    </cfRule>
  </conditionalFormatting>
  <conditionalFormatting sqref="R363">
    <cfRule type="cellIs" dxfId="7961" priority="9687" operator="between">
      <formula>0.76</formula>
      <formula>0.95</formula>
    </cfRule>
    <cfRule type="cellIs" dxfId="7960" priority="9688" operator="between">
      <formula>0.51</formula>
      <formula>0.75</formula>
    </cfRule>
    <cfRule type="cellIs" dxfId="7959" priority="9689" operator="greaterThan">
      <formula>1</formula>
    </cfRule>
    <cfRule type="cellIs" dxfId="7958" priority="9690" operator="between">
      <formula>0.95</formula>
      <formula>1</formula>
    </cfRule>
    <cfRule type="cellIs" dxfId="7957" priority="9691" stopIfTrue="1" operator="between">
      <formula>0</formula>
      <formula>0.5</formula>
    </cfRule>
  </conditionalFormatting>
  <conditionalFormatting sqref="Y363">
    <cfRule type="cellIs" dxfId="7956" priority="9682" operator="between">
      <formula>0.76</formula>
      <formula>0.95</formula>
    </cfRule>
    <cfRule type="cellIs" dxfId="7955" priority="9683" operator="between">
      <formula>0.51</formula>
      <formula>0.75</formula>
    </cfRule>
    <cfRule type="cellIs" dxfId="7954" priority="9684" operator="greaterThan">
      <formula>1</formula>
    </cfRule>
    <cfRule type="cellIs" dxfId="7953" priority="9685" operator="between">
      <formula>0.95</formula>
      <formula>1</formula>
    </cfRule>
    <cfRule type="cellIs" dxfId="7952" priority="9686" stopIfTrue="1" operator="between">
      <formula>0</formula>
      <formula>0.5</formula>
    </cfRule>
  </conditionalFormatting>
  <conditionalFormatting sqref="AF363">
    <cfRule type="cellIs" dxfId="7951" priority="9677" operator="between">
      <formula>0.76</formula>
      <formula>0.95</formula>
    </cfRule>
    <cfRule type="cellIs" dxfId="7950" priority="9678" operator="between">
      <formula>0.51</formula>
      <formula>0.75</formula>
    </cfRule>
    <cfRule type="cellIs" dxfId="7949" priority="9679" operator="greaterThan">
      <formula>1</formula>
    </cfRule>
    <cfRule type="cellIs" dxfId="7948" priority="9680" operator="between">
      <formula>0.95</formula>
      <formula>1</formula>
    </cfRule>
    <cfRule type="cellIs" dxfId="7947" priority="9681" stopIfTrue="1" operator="between">
      <formula>0</formula>
      <formula>0.5</formula>
    </cfRule>
  </conditionalFormatting>
  <conditionalFormatting sqref="AH363">
    <cfRule type="cellIs" dxfId="7946" priority="9672" operator="between">
      <formula>0.76</formula>
      <formula>0.95</formula>
    </cfRule>
    <cfRule type="cellIs" dxfId="7945" priority="9673" operator="between">
      <formula>0.51</formula>
      <formula>0.75</formula>
    </cfRule>
    <cfRule type="cellIs" dxfId="7944" priority="9674" operator="greaterThan">
      <formula>1</formula>
    </cfRule>
    <cfRule type="cellIs" dxfId="7943" priority="9675" operator="between">
      <formula>0.95</formula>
      <formula>1</formula>
    </cfRule>
    <cfRule type="cellIs" dxfId="7942" priority="9676" stopIfTrue="1" operator="between">
      <formula>0</formula>
      <formula>0.5</formula>
    </cfRule>
  </conditionalFormatting>
  <conditionalFormatting sqref="T363">
    <cfRule type="cellIs" dxfId="7941" priority="9657" operator="between">
      <formula>0.3751</formula>
      <formula>0.475</formula>
    </cfRule>
    <cfRule type="cellIs" dxfId="7940" priority="9658" operator="between">
      <formula>0.2551</formula>
      <formula>0.375</formula>
    </cfRule>
    <cfRule type="cellIs" dxfId="7939" priority="9659" operator="greaterThan">
      <formula>0.505</formula>
    </cfRule>
    <cfRule type="cellIs" dxfId="7938" priority="9660" operator="between">
      <formula>0.48</formula>
      <formula>0.5</formula>
    </cfRule>
    <cfRule type="cellIs" dxfId="7937" priority="9661" stopIfTrue="1" operator="between">
      <formula>0</formula>
      <formula>0.255</formula>
    </cfRule>
  </conditionalFormatting>
  <conditionalFormatting sqref="U363">
    <cfRule type="cellIs" dxfId="7936" priority="9652" operator="between">
      <formula>0.376</formula>
      <formula>0.475</formula>
    </cfRule>
    <cfRule type="cellIs" dxfId="7935" priority="9653" operator="between">
      <formula>0.2551</formula>
      <formula>0.3751</formula>
    </cfRule>
    <cfRule type="cellIs" dxfId="7934" priority="9654" operator="greaterThan">
      <formula>0.505</formula>
    </cfRule>
    <cfRule type="cellIs" dxfId="7933" priority="9655" operator="between">
      <formula>0.48</formula>
      <formula>0.5</formula>
    </cfRule>
    <cfRule type="cellIs" dxfId="7932" priority="9656" stopIfTrue="1" operator="between">
      <formula>0</formula>
      <formula>0.255</formula>
    </cfRule>
  </conditionalFormatting>
  <conditionalFormatting sqref="AA363">
    <cfRule type="cellIs" dxfId="7931" priority="9647" operator="between">
      <formula>0.56251</formula>
      <formula>0.7125</formula>
    </cfRule>
    <cfRule type="cellIs" dxfId="7930" priority="9648" operator="between">
      <formula>0.3751</formula>
      <formula>0.5625</formula>
    </cfRule>
    <cfRule type="cellIs" dxfId="7929" priority="9649" operator="greaterThan">
      <formula>0.751</formula>
    </cfRule>
    <cfRule type="cellIs" dxfId="7928" priority="9650" operator="between">
      <formula>0.71251</formula>
      <formula>0.75</formula>
    </cfRule>
    <cfRule type="cellIs" dxfId="7927" priority="9651" stopIfTrue="1" operator="between">
      <formula>0</formula>
      <formula>0.375</formula>
    </cfRule>
  </conditionalFormatting>
  <conditionalFormatting sqref="AB363">
    <cfRule type="cellIs" dxfId="7926" priority="9642" operator="between">
      <formula>0.56251</formula>
      <formula>0.7125</formula>
    </cfRule>
    <cfRule type="cellIs" dxfId="7925" priority="9643" operator="between">
      <formula>0.3751</formula>
      <formula>0.5625</formula>
    </cfRule>
    <cfRule type="cellIs" dxfId="7924" priority="9644" operator="greaterThan">
      <formula>0.751</formula>
    </cfRule>
    <cfRule type="cellIs" dxfId="7923" priority="9645" operator="between">
      <formula>0.71251</formula>
      <formula>0.75</formula>
    </cfRule>
    <cfRule type="cellIs" dxfId="7922" priority="9646" stopIfTrue="1" operator="between">
      <formula>0</formula>
      <formula>0.375</formula>
    </cfRule>
  </conditionalFormatting>
  <conditionalFormatting sqref="S363">
    <cfRule type="cellIs" dxfId="7921" priority="9625" operator="between">
      <formula>0.76</formula>
      <formula>0.95</formula>
    </cfRule>
    <cfRule type="cellIs" dxfId="7920" priority="9626" operator="between">
      <formula>0.51</formula>
      <formula>0.75</formula>
    </cfRule>
    <cfRule type="cellIs" dxfId="7919" priority="9627" operator="greaterThan">
      <formula>1</formula>
    </cfRule>
    <cfRule type="cellIs" dxfId="7918" priority="9628" operator="between">
      <formula>0.95</formula>
      <formula>1</formula>
    </cfRule>
    <cfRule type="cellIs" dxfId="7917" priority="9629" stopIfTrue="1" operator="between">
      <formula>0</formula>
      <formula>0.5</formula>
    </cfRule>
  </conditionalFormatting>
  <conditionalFormatting sqref="V363">
    <cfRule type="cellIs" dxfId="7916" priority="9620" operator="between">
      <formula>0.376</formula>
      <formula>0.475</formula>
    </cfRule>
    <cfRule type="cellIs" dxfId="7915" priority="9621" operator="between">
      <formula>0.2551</formula>
      <formula>0.3751</formula>
    </cfRule>
    <cfRule type="cellIs" dxfId="7914" priority="9622" operator="greaterThan">
      <formula>0.505</formula>
    </cfRule>
    <cfRule type="cellIs" dxfId="7913" priority="9623" operator="between">
      <formula>0.48</formula>
      <formula>0.5</formula>
    </cfRule>
    <cfRule type="cellIs" dxfId="7912" priority="9624" stopIfTrue="1" operator="between">
      <formula>0</formula>
      <formula>0.255</formula>
    </cfRule>
  </conditionalFormatting>
  <conditionalFormatting sqref="AC363">
    <cfRule type="cellIs" dxfId="7911" priority="9615" operator="between">
      <formula>0.56251</formula>
      <formula>0.7125</formula>
    </cfRule>
    <cfRule type="cellIs" dxfId="7910" priority="9616" operator="between">
      <formula>0.3751</formula>
      <formula>0.5625</formula>
    </cfRule>
    <cfRule type="cellIs" dxfId="7909" priority="9617" operator="greaterThan">
      <formula>0.751</formula>
    </cfRule>
    <cfRule type="cellIs" dxfId="7908" priority="9618" operator="between">
      <formula>0.71251</formula>
      <formula>0.75</formula>
    </cfRule>
    <cfRule type="cellIs" dxfId="7907" priority="9619" stopIfTrue="1" operator="between">
      <formula>0</formula>
      <formula>0.375</formula>
    </cfRule>
  </conditionalFormatting>
  <conditionalFormatting sqref="Z363">
    <cfRule type="cellIs" dxfId="7906" priority="9600" operator="between">
      <formula>0.76</formula>
      <formula>0.95</formula>
    </cfRule>
    <cfRule type="cellIs" dxfId="7905" priority="9601" operator="between">
      <formula>0.51</formula>
      <formula>0.75</formula>
    </cfRule>
    <cfRule type="cellIs" dxfId="7904" priority="9602" operator="greaterThan">
      <formula>1</formula>
    </cfRule>
    <cfRule type="cellIs" dxfId="7903" priority="9603" operator="between">
      <formula>0.95</formula>
      <formula>1</formula>
    </cfRule>
    <cfRule type="cellIs" dxfId="7902" priority="9604" stopIfTrue="1" operator="between">
      <formula>0</formula>
      <formula>0.5</formula>
    </cfRule>
  </conditionalFormatting>
  <conditionalFormatting sqref="AG363">
    <cfRule type="cellIs" dxfId="7901" priority="9595" operator="between">
      <formula>0.76</formula>
      <formula>0.95</formula>
    </cfRule>
    <cfRule type="cellIs" dxfId="7900" priority="9596" operator="between">
      <formula>0.51</formula>
      <formula>0.75</formula>
    </cfRule>
    <cfRule type="cellIs" dxfId="7899" priority="9597" operator="greaterThan">
      <formula>1</formula>
    </cfRule>
    <cfRule type="cellIs" dxfId="7898" priority="9598" operator="between">
      <formula>0.95</formula>
      <formula>1</formula>
    </cfRule>
    <cfRule type="cellIs" dxfId="7897" priority="9599" stopIfTrue="1" operator="between">
      <formula>0</formula>
      <formula>0.5</formula>
    </cfRule>
  </conditionalFormatting>
  <conditionalFormatting sqref="AI364">
    <cfRule type="cellIs" dxfId="7896" priority="9590" operator="between">
      <formula>0.76</formula>
      <formula>0.95</formula>
    </cfRule>
    <cfRule type="cellIs" dxfId="7895" priority="9591" operator="between">
      <formula>0.51</formula>
      <formula>0.75</formula>
    </cfRule>
    <cfRule type="cellIs" dxfId="7894" priority="9592" operator="greaterThan">
      <formula>1</formula>
    </cfRule>
    <cfRule type="cellIs" dxfId="7893" priority="9593" operator="between">
      <formula>0.95</formula>
      <formula>1</formula>
    </cfRule>
    <cfRule type="cellIs" dxfId="7892" priority="9594" stopIfTrue="1" operator="between">
      <formula>0</formula>
      <formula>0.5</formula>
    </cfRule>
  </conditionalFormatting>
  <conditionalFormatting sqref="R364">
    <cfRule type="cellIs" dxfId="7891" priority="9580" operator="between">
      <formula>0.76</formula>
      <formula>0.95</formula>
    </cfRule>
    <cfRule type="cellIs" dxfId="7890" priority="9581" operator="between">
      <formula>0.51</formula>
      <formula>0.75</formula>
    </cfRule>
    <cfRule type="cellIs" dxfId="7889" priority="9582" operator="greaterThan">
      <formula>1</formula>
    </cfRule>
    <cfRule type="cellIs" dxfId="7888" priority="9583" operator="between">
      <formula>0.95</formula>
      <formula>1</formula>
    </cfRule>
    <cfRule type="cellIs" dxfId="7887" priority="9584" stopIfTrue="1" operator="between">
      <formula>0</formula>
      <formula>0.5</formula>
    </cfRule>
  </conditionalFormatting>
  <conditionalFormatting sqref="Y364">
    <cfRule type="cellIs" dxfId="7886" priority="9575" operator="between">
      <formula>0.76</formula>
      <formula>0.95</formula>
    </cfRule>
    <cfRule type="cellIs" dxfId="7885" priority="9576" operator="between">
      <formula>0.51</formula>
      <formula>0.75</formula>
    </cfRule>
    <cfRule type="cellIs" dxfId="7884" priority="9577" operator="greaterThan">
      <formula>1</formula>
    </cfRule>
    <cfRule type="cellIs" dxfId="7883" priority="9578" operator="between">
      <formula>0.95</formula>
      <formula>1</formula>
    </cfRule>
    <cfRule type="cellIs" dxfId="7882" priority="9579" stopIfTrue="1" operator="between">
      <formula>0</formula>
      <formula>0.5</formula>
    </cfRule>
  </conditionalFormatting>
  <conditionalFormatting sqref="AF364">
    <cfRule type="cellIs" dxfId="7881" priority="9570" operator="between">
      <formula>0.76</formula>
      <formula>0.95</formula>
    </cfRule>
    <cfRule type="cellIs" dxfId="7880" priority="9571" operator="between">
      <formula>0.51</formula>
      <formula>0.75</formula>
    </cfRule>
    <cfRule type="cellIs" dxfId="7879" priority="9572" operator="greaterThan">
      <formula>1</formula>
    </cfRule>
    <cfRule type="cellIs" dxfId="7878" priority="9573" operator="between">
      <formula>0.95</formula>
      <formula>1</formula>
    </cfRule>
    <cfRule type="cellIs" dxfId="7877" priority="9574" stopIfTrue="1" operator="between">
      <formula>0</formula>
      <formula>0.5</formula>
    </cfRule>
  </conditionalFormatting>
  <conditionalFormatting sqref="AH364">
    <cfRule type="cellIs" dxfId="7876" priority="9565" operator="between">
      <formula>0.76</formula>
      <formula>0.95</formula>
    </cfRule>
    <cfRule type="cellIs" dxfId="7875" priority="9566" operator="between">
      <formula>0.51</formula>
      <formula>0.75</formula>
    </cfRule>
    <cfRule type="cellIs" dxfId="7874" priority="9567" operator="greaterThan">
      <formula>1</formula>
    </cfRule>
    <cfRule type="cellIs" dxfId="7873" priority="9568" operator="between">
      <formula>0.95</formula>
      <formula>1</formula>
    </cfRule>
    <cfRule type="cellIs" dxfId="7872" priority="9569" stopIfTrue="1" operator="between">
      <formula>0</formula>
      <formula>0.5</formula>
    </cfRule>
  </conditionalFormatting>
  <conditionalFormatting sqref="T364">
    <cfRule type="cellIs" dxfId="7871" priority="9550" operator="between">
      <formula>0.3751</formula>
      <formula>0.475</formula>
    </cfRule>
    <cfRule type="cellIs" dxfId="7870" priority="9551" operator="between">
      <formula>0.2551</formula>
      <formula>0.375</formula>
    </cfRule>
    <cfRule type="cellIs" dxfId="7869" priority="9552" operator="greaterThan">
      <formula>0.505</formula>
    </cfRule>
    <cfRule type="cellIs" dxfId="7868" priority="9553" operator="between">
      <formula>0.48</formula>
      <formula>0.5</formula>
    </cfRule>
    <cfRule type="cellIs" dxfId="7867" priority="9554" stopIfTrue="1" operator="between">
      <formula>0</formula>
      <formula>0.255</formula>
    </cfRule>
  </conditionalFormatting>
  <conditionalFormatting sqref="U364">
    <cfRule type="cellIs" dxfId="7866" priority="9545" operator="between">
      <formula>0.376</formula>
      <formula>0.475</formula>
    </cfRule>
    <cfRule type="cellIs" dxfId="7865" priority="9546" operator="between">
      <formula>0.2551</formula>
      <formula>0.3751</formula>
    </cfRule>
    <cfRule type="cellIs" dxfId="7864" priority="9547" operator="greaterThan">
      <formula>0.505</formula>
    </cfRule>
    <cfRule type="cellIs" dxfId="7863" priority="9548" operator="between">
      <formula>0.48</formula>
      <formula>0.5</formula>
    </cfRule>
    <cfRule type="cellIs" dxfId="7862" priority="9549" stopIfTrue="1" operator="between">
      <formula>0</formula>
      <formula>0.255</formula>
    </cfRule>
  </conditionalFormatting>
  <conditionalFormatting sqref="AA364">
    <cfRule type="cellIs" dxfId="7861" priority="9540" operator="between">
      <formula>0.56251</formula>
      <formula>0.7125</formula>
    </cfRule>
    <cfRule type="cellIs" dxfId="7860" priority="9541" operator="between">
      <formula>0.3751</formula>
      <formula>0.5625</formula>
    </cfRule>
    <cfRule type="cellIs" dxfId="7859" priority="9542" operator="greaterThan">
      <formula>0.751</formula>
    </cfRule>
    <cfRule type="cellIs" dxfId="7858" priority="9543" operator="between">
      <formula>0.71251</formula>
      <formula>0.75</formula>
    </cfRule>
    <cfRule type="cellIs" dxfId="7857" priority="9544" stopIfTrue="1" operator="between">
      <formula>0</formula>
      <formula>0.375</formula>
    </cfRule>
  </conditionalFormatting>
  <conditionalFormatting sqref="AB364">
    <cfRule type="cellIs" dxfId="7856" priority="9535" operator="between">
      <formula>0.56251</formula>
      <formula>0.7125</formula>
    </cfRule>
    <cfRule type="cellIs" dxfId="7855" priority="9536" operator="between">
      <formula>0.3751</formula>
      <formula>0.5625</formula>
    </cfRule>
    <cfRule type="cellIs" dxfId="7854" priority="9537" operator="greaterThan">
      <formula>0.751</formula>
    </cfRule>
    <cfRule type="cellIs" dxfId="7853" priority="9538" operator="between">
      <formula>0.71251</formula>
      <formula>0.75</formula>
    </cfRule>
    <cfRule type="cellIs" dxfId="7852" priority="9539" stopIfTrue="1" operator="between">
      <formula>0</formula>
      <formula>0.375</formula>
    </cfRule>
  </conditionalFormatting>
  <conditionalFormatting sqref="S364">
    <cfRule type="cellIs" dxfId="7851" priority="9518" operator="between">
      <formula>0.76</formula>
      <formula>0.95</formula>
    </cfRule>
    <cfRule type="cellIs" dxfId="7850" priority="9519" operator="between">
      <formula>0.51</formula>
      <formula>0.75</formula>
    </cfRule>
    <cfRule type="cellIs" dxfId="7849" priority="9520" operator="greaterThan">
      <formula>1</formula>
    </cfRule>
    <cfRule type="cellIs" dxfId="7848" priority="9521" operator="between">
      <formula>0.95</formula>
      <formula>1</formula>
    </cfRule>
    <cfRule type="cellIs" dxfId="7847" priority="9522" stopIfTrue="1" operator="between">
      <formula>0</formula>
      <formula>0.5</formula>
    </cfRule>
  </conditionalFormatting>
  <conditionalFormatting sqref="V364">
    <cfRule type="cellIs" dxfId="7846" priority="9513" operator="between">
      <formula>0.376</formula>
      <formula>0.475</formula>
    </cfRule>
    <cfRule type="cellIs" dxfId="7845" priority="9514" operator="between">
      <formula>0.2551</formula>
      <formula>0.3751</formula>
    </cfRule>
    <cfRule type="cellIs" dxfId="7844" priority="9515" operator="greaterThan">
      <formula>0.505</formula>
    </cfRule>
    <cfRule type="cellIs" dxfId="7843" priority="9516" operator="between">
      <formula>0.48</formula>
      <formula>0.5</formula>
    </cfRule>
    <cfRule type="cellIs" dxfId="7842" priority="9517" stopIfTrue="1" operator="between">
      <formula>0</formula>
      <formula>0.255</formula>
    </cfRule>
  </conditionalFormatting>
  <conditionalFormatting sqref="AC364">
    <cfRule type="cellIs" dxfId="7841" priority="9508" operator="between">
      <formula>0.56251</formula>
      <formula>0.7125</formula>
    </cfRule>
    <cfRule type="cellIs" dxfId="7840" priority="9509" operator="between">
      <formula>0.3751</formula>
      <formula>0.5625</formula>
    </cfRule>
    <cfRule type="cellIs" dxfId="7839" priority="9510" operator="greaterThan">
      <formula>0.751</formula>
    </cfRule>
    <cfRule type="cellIs" dxfId="7838" priority="9511" operator="between">
      <formula>0.71251</formula>
      <formula>0.75</formula>
    </cfRule>
    <cfRule type="cellIs" dxfId="7837" priority="9512" stopIfTrue="1" operator="between">
      <formula>0</formula>
      <formula>0.375</formula>
    </cfRule>
  </conditionalFormatting>
  <conditionalFormatting sqref="AG364">
    <cfRule type="cellIs" dxfId="7836" priority="9483" operator="between">
      <formula>0.76</formula>
      <formula>0.95</formula>
    </cfRule>
    <cfRule type="cellIs" dxfId="7835" priority="9484" operator="between">
      <formula>0.51</formula>
      <formula>0.75</formula>
    </cfRule>
    <cfRule type="cellIs" dxfId="7834" priority="9485" operator="greaterThan">
      <formula>1</formula>
    </cfRule>
    <cfRule type="cellIs" dxfId="7833" priority="9486" operator="between">
      <formula>0.95</formula>
      <formula>1</formula>
    </cfRule>
    <cfRule type="cellIs" dxfId="7832" priority="9487" stopIfTrue="1" operator="between">
      <formula>0</formula>
      <formula>0.5</formula>
    </cfRule>
  </conditionalFormatting>
  <conditionalFormatting sqref="Y303 AF303 R303 AH303:AI303">
    <cfRule type="cellIs" dxfId="7831" priority="9478" operator="between">
      <formula>0.76</formula>
      <formula>0.95</formula>
    </cfRule>
    <cfRule type="cellIs" dxfId="7830" priority="9479" operator="between">
      <formula>0.51</formula>
      <formula>0.75</formula>
    </cfRule>
    <cfRule type="cellIs" dxfId="7829" priority="9480" operator="greaterThan">
      <formula>1</formula>
    </cfRule>
    <cfRule type="cellIs" dxfId="7828" priority="9481" operator="between">
      <formula>0.95</formula>
      <formula>1</formula>
    </cfRule>
    <cfRule type="cellIs" dxfId="7827" priority="9482" stopIfTrue="1" operator="between">
      <formula>0</formula>
      <formula>0.5</formula>
    </cfRule>
  </conditionalFormatting>
  <conditionalFormatting sqref="T303">
    <cfRule type="cellIs" dxfId="7826" priority="9473" operator="between">
      <formula>0.3751</formula>
      <formula>0.475</formula>
    </cfRule>
    <cfRule type="cellIs" dxfId="7825" priority="9474" operator="between">
      <formula>0.2551</formula>
      <formula>0.375</formula>
    </cfRule>
    <cfRule type="cellIs" dxfId="7824" priority="9475" operator="greaterThan">
      <formula>0.505</formula>
    </cfRule>
    <cfRule type="cellIs" dxfId="7823" priority="9476" operator="between">
      <formula>0.48</formula>
      <formula>0.5</formula>
    </cfRule>
    <cfRule type="cellIs" dxfId="7822" priority="9477" stopIfTrue="1" operator="between">
      <formula>0</formula>
      <formula>0.255</formula>
    </cfRule>
  </conditionalFormatting>
  <conditionalFormatting sqref="AA303:AB303">
    <cfRule type="cellIs" dxfId="7821" priority="9468" operator="between">
      <formula>0.56251</formula>
      <formula>0.7125</formula>
    </cfRule>
    <cfRule type="cellIs" dxfId="7820" priority="9469" operator="between">
      <formula>0.3751</formula>
      <formula>0.5625</formula>
    </cfRule>
    <cfRule type="cellIs" dxfId="7819" priority="9470" operator="greaterThan">
      <formula>0.751</formula>
    </cfRule>
    <cfRule type="cellIs" dxfId="7818" priority="9471" operator="between">
      <formula>0.71251</formula>
      <formula>0.75</formula>
    </cfRule>
    <cfRule type="cellIs" dxfId="7817" priority="9472" stopIfTrue="1" operator="between">
      <formula>0</formula>
      <formula>0.375</formula>
    </cfRule>
  </conditionalFormatting>
  <conditionalFormatting sqref="U303">
    <cfRule type="cellIs" dxfId="7816" priority="9458" operator="between">
      <formula>0.376</formula>
      <formula>0.475</formula>
    </cfRule>
    <cfRule type="cellIs" dxfId="7815" priority="9459" operator="between">
      <formula>0.2551</formula>
      <formula>0.3751</formula>
    </cfRule>
    <cfRule type="cellIs" dxfId="7814" priority="9460" operator="greaterThan">
      <formula>0.505</formula>
    </cfRule>
    <cfRule type="cellIs" dxfId="7813" priority="9461" operator="between">
      <formula>0.48</formula>
      <formula>0.5</formula>
    </cfRule>
    <cfRule type="cellIs" dxfId="7812" priority="9462" stopIfTrue="1" operator="between">
      <formula>0</formula>
      <formula>0.255</formula>
    </cfRule>
  </conditionalFormatting>
  <conditionalFormatting sqref="S303">
    <cfRule type="cellIs" dxfId="7811" priority="9435" operator="between">
      <formula>0.76</formula>
      <formula>0.95</formula>
    </cfRule>
    <cfRule type="cellIs" dxfId="7810" priority="9436" operator="between">
      <formula>0.51</formula>
      <formula>0.75</formula>
    </cfRule>
    <cfRule type="cellIs" dxfId="7809" priority="9437" operator="greaterThan">
      <formula>1</formula>
    </cfRule>
    <cfRule type="cellIs" dxfId="7808" priority="9438" operator="between">
      <formula>0.95</formula>
      <formula>1</formula>
    </cfRule>
    <cfRule type="cellIs" dxfId="7807" priority="9439" stopIfTrue="1" operator="between">
      <formula>0</formula>
      <formula>0.5</formula>
    </cfRule>
  </conditionalFormatting>
  <conditionalFormatting sqref="V303">
    <cfRule type="cellIs" dxfId="7806" priority="9430" operator="between">
      <formula>0.376</formula>
      <formula>0.475</formula>
    </cfRule>
    <cfRule type="cellIs" dxfId="7805" priority="9431" operator="between">
      <formula>0.2551</formula>
      <formula>0.3751</formula>
    </cfRule>
    <cfRule type="cellIs" dxfId="7804" priority="9432" operator="greaterThan">
      <formula>0.505</formula>
    </cfRule>
    <cfRule type="cellIs" dxfId="7803" priority="9433" operator="between">
      <formula>0.48</formula>
      <formula>0.5</formula>
    </cfRule>
    <cfRule type="cellIs" dxfId="7802" priority="9434" stopIfTrue="1" operator="between">
      <formula>0</formula>
      <formula>0.255</formula>
    </cfRule>
  </conditionalFormatting>
  <conditionalFormatting sqref="AC303">
    <cfRule type="cellIs" dxfId="7801" priority="9420" operator="between">
      <formula>0.56251</formula>
      <formula>0.7125</formula>
    </cfRule>
    <cfRule type="cellIs" dxfId="7800" priority="9421" operator="between">
      <formula>0.3751</formula>
      <formula>0.5625</formula>
    </cfRule>
    <cfRule type="cellIs" dxfId="7799" priority="9422" operator="greaterThan">
      <formula>0.751</formula>
    </cfRule>
    <cfRule type="cellIs" dxfId="7798" priority="9423" operator="between">
      <formula>0.71251</formula>
      <formula>0.75</formula>
    </cfRule>
    <cfRule type="cellIs" dxfId="7797" priority="9424" stopIfTrue="1" operator="between">
      <formula>0</formula>
      <formula>0.375</formula>
    </cfRule>
  </conditionalFormatting>
  <conditionalFormatting sqref="Z303">
    <cfRule type="cellIs" dxfId="7796" priority="9410" operator="between">
      <formula>0.76</formula>
      <formula>0.95</formula>
    </cfRule>
    <cfRule type="cellIs" dxfId="7795" priority="9411" operator="between">
      <formula>0.51</formula>
      <formula>0.75</formula>
    </cfRule>
    <cfRule type="cellIs" dxfId="7794" priority="9412" operator="greaterThan">
      <formula>1</formula>
    </cfRule>
    <cfRule type="cellIs" dxfId="7793" priority="9413" operator="between">
      <formula>0.95</formula>
      <formula>1</formula>
    </cfRule>
    <cfRule type="cellIs" dxfId="7792" priority="9414" stopIfTrue="1" operator="between">
      <formula>0</formula>
      <formula>0.5</formula>
    </cfRule>
  </conditionalFormatting>
  <conditionalFormatting sqref="Y305 AF305 R305 AH305:AI305">
    <cfRule type="cellIs" dxfId="7791" priority="9390" operator="between">
      <formula>0.76</formula>
      <formula>0.95</formula>
    </cfRule>
    <cfRule type="cellIs" dxfId="7790" priority="9391" operator="between">
      <formula>0.51</formula>
      <formula>0.75</formula>
    </cfRule>
    <cfRule type="cellIs" dxfId="7789" priority="9392" operator="greaterThan">
      <formula>1</formula>
    </cfRule>
    <cfRule type="cellIs" dxfId="7788" priority="9393" operator="between">
      <formula>0.95</formula>
      <formula>1</formula>
    </cfRule>
    <cfRule type="cellIs" dxfId="7787" priority="9394" stopIfTrue="1" operator="between">
      <formula>0</formula>
      <formula>0.5</formula>
    </cfRule>
  </conditionalFormatting>
  <conditionalFormatting sqref="T305">
    <cfRule type="cellIs" dxfId="7786" priority="9385" operator="between">
      <formula>0.3751</formula>
      <formula>0.475</formula>
    </cfRule>
    <cfRule type="cellIs" dxfId="7785" priority="9386" operator="between">
      <formula>0.2551</formula>
      <formula>0.375</formula>
    </cfRule>
    <cfRule type="cellIs" dxfId="7784" priority="9387" operator="greaterThan">
      <formula>0.505</formula>
    </cfRule>
    <cfRule type="cellIs" dxfId="7783" priority="9388" operator="between">
      <formula>0.48</formula>
      <formula>0.5</formula>
    </cfRule>
    <cfRule type="cellIs" dxfId="7782" priority="9389" stopIfTrue="1" operator="between">
      <formula>0</formula>
      <formula>0.255</formula>
    </cfRule>
  </conditionalFormatting>
  <conditionalFormatting sqref="AA305:AB305">
    <cfRule type="cellIs" dxfId="7781" priority="9380" operator="between">
      <formula>0.56251</formula>
      <formula>0.7125</formula>
    </cfRule>
    <cfRule type="cellIs" dxfId="7780" priority="9381" operator="between">
      <formula>0.3751</formula>
      <formula>0.5625</formula>
    </cfRule>
    <cfRule type="cellIs" dxfId="7779" priority="9382" operator="greaterThan">
      <formula>0.751</formula>
    </cfRule>
    <cfRule type="cellIs" dxfId="7778" priority="9383" operator="between">
      <formula>0.71251</formula>
      <formula>0.75</formula>
    </cfRule>
    <cfRule type="cellIs" dxfId="7777" priority="9384" stopIfTrue="1" operator="between">
      <formula>0</formula>
      <formula>0.375</formula>
    </cfRule>
  </conditionalFormatting>
  <conditionalFormatting sqref="U305">
    <cfRule type="cellIs" dxfId="7776" priority="9370" operator="between">
      <formula>0.376</formula>
      <formula>0.475</formula>
    </cfRule>
    <cfRule type="cellIs" dxfId="7775" priority="9371" operator="between">
      <formula>0.2551</formula>
      <formula>0.3751</formula>
    </cfRule>
    <cfRule type="cellIs" dxfId="7774" priority="9372" operator="greaterThan">
      <formula>0.505</formula>
    </cfRule>
    <cfRule type="cellIs" dxfId="7773" priority="9373" operator="between">
      <formula>0.48</formula>
      <formula>0.5</formula>
    </cfRule>
    <cfRule type="cellIs" dxfId="7772" priority="9374" stopIfTrue="1" operator="between">
      <formula>0</formula>
      <formula>0.255</formula>
    </cfRule>
  </conditionalFormatting>
  <conditionalFormatting sqref="S305">
    <cfRule type="cellIs" dxfId="7771" priority="9357" operator="between">
      <formula>0.76</formula>
      <formula>0.95</formula>
    </cfRule>
    <cfRule type="cellIs" dxfId="7770" priority="9358" operator="between">
      <formula>0.51</formula>
      <formula>0.75</formula>
    </cfRule>
    <cfRule type="cellIs" dxfId="7769" priority="9359" operator="greaterThan">
      <formula>1</formula>
    </cfRule>
    <cfRule type="cellIs" dxfId="7768" priority="9360" operator="between">
      <formula>0.95</formula>
      <formula>1</formula>
    </cfRule>
    <cfRule type="cellIs" dxfId="7767" priority="9361" stopIfTrue="1" operator="between">
      <formula>0</formula>
      <formula>0.5</formula>
    </cfRule>
  </conditionalFormatting>
  <conditionalFormatting sqref="V305">
    <cfRule type="cellIs" dxfId="7766" priority="9352" operator="between">
      <formula>0.376</formula>
      <formula>0.475</formula>
    </cfRule>
    <cfRule type="cellIs" dxfId="7765" priority="9353" operator="between">
      <formula>0.2551</formula>
      <formula>0.3751</formula>
    </cfRule>
    <cfRule type="cellIs" dxfId="7764" priority="9354" operator="greaterThan">
      <formula>0.505</formula>
    </cfRule>
    <cfRule type="cellIs" dxfId="7763" priority="9355" operator="between">
      <formula>0.48</formula>
      <formula>0.5</formula>
    </cfRule>
    <cfRule type="cellIs" dxfId="7762" priority="9356" stopIfTrue="1" operator="between">
      <formula>0</formula>
      <formula>0.255</formula>
    </cfRule>
  </conditionalFormatting>
  <conditionalFormatting sqref="AC305">
    <cfRule type="cellIs" dxfId="7761" priority="9347" operator="between">
      <formula>0.56251</formula>
      <formula>0.7125</formula>
    </cfRule>
    <cfRule type="cellIs" dxfId="7760" priority="9348" operator="between">
      <formula>0.3751</formula>
      <formula>0.5625</formula>
    </cfRule>
    <cfRule type="cellIs" dxfId="7759" priority="9349" operator="greaterThan">
      <formula>0.751</formula>
    </cfRule>
    <cfRule type="cellIs" dxfId="7758" priority="9350" operator="between">
      <formula>0.71251</formula>
      <formula>0.75</formula>
    </cfRule>
    <cfRule type="cellIs" dxfId="7757" priority="9351" stopIfTrue="1" operator="between">
      <formula>0</formula>
      <formula>0.375</formula>
    </cfRule>
  </conditionalFormatting>
  <conditionalFormatting sqref="AG305">
    <cfRule type="cellIs" dxfId="7756" priority="9342" operator="between">
      <formula>0.76</formula>
      <formula>0.95</formula>
    </cfRule>
    <cfRule type="cellIs" dxfId="7755" priority="9343" operator="between">
      <formula>0.51</formula>
      <formula>0.75</formula>
    </cfRule>
    <cfRule type="cellIs" dxfId="7754" priority="9344" operator="greaterThan">
      <formula>1</formula>
    </cfRule>
    <cfRule type="cellIs" dxfId="7753" priority="9345" operator="between">
      <formula>0.95</formula>
      <formula>1</formula>
    </cfRule>
    <cfRule type="cellIs" dxfId="7752" priority="9346" stopIfTrue="1" operator="between">
      <formula>0</formula>
      <formula>0.5</formula>
    </cfRule>
  </conditionalFormatting>
  <conditionalFormatting sqref="Z305">
    <cfRule type="cellIs" dxfId="7751" priority="9337" operator="between">
      <formula>0.76</formula>
      <formula>0.95</formula>
    </cfRule>
    <cfRule type="cellIs" dxfId="7750" priority="9338" operator="between">
      <formula>0.51</formula>
      <formula>0.75</formula>
    </cfRule>
    <cfRule type="cellIs" dxfId="7749" priority="9339" operator="greaterThan">
      <formula>1</formula>
    </cfRule>
    <cfRule type="cellIs" dxfId="7748" priority="9340" operator="between">
      <formula>0.95</formula>
      <formula>1</formula>
    </cfRule>
    <cfRule type="cellIs" dxfId="7747" priority="9341" stopIfTrue="1" operator="between">
      <formula>0</formula>
      <formula>0.5</formula>
    </cfRule>
  </conditionalFormatting>
  <conditionalFormatting sqref="R200 Y200 AF200 AH200:AI200">
    <cfRule type="cellIs" dxfId="7746" priority="9327" operator="between">
      <formula>0.76</formula>
      <formula>0.95</formula>
    </cfRule>
    <cfRule type="cellIs" dxfId="7745" priority="9328" operator="between">
      <formula>0.51</formula>
      <formula>0.75</formula>
    </cfRule>
    <cfRule type="cellIs" dxfId="7744" priority="9329" operator="greaterThan">
      <formula>1</formula>
    </cfRule>
    <cfRule type="cellIs" dxfId="7743" priority="9330" operator="between">
      <formula>0.95</formula>
      <formula>1</formula>
    </cfRule>
    <cfRule type="cellIs" dxfId="7742" priority="9331" stopIfTrue="1" operator="between">
      <formula>0</formula>
      <formula>0.5</formula>
    </cfRule>
  </conditionalFormatting>
  <conditionalFormatting sqref="T200">
    <cfRule type="cellIs" dxfId="7741" priority="9322" operator="between">
      <formula>0.3751</formula>
      <formula>0.475</formula>
    </cfRule>
    <cfRule type="cellIs" dxfId="7740" priority="9323" operator="between">
      <formula>0.2551</formula>
      <formula>0.375</formula>
    </cfRule>
    <cfRule type="cellIs" dxfId="7739" priority="9324" operator="greaterThan">
      <formula>0.505</formula>
    </cfRule>
    <cfRule type="cellIs" dxfId="7738" priority="9325" operator="between">
      <formula>0.48</formula>
      <formula>0.5</formula>
    </cfRule>
    <cfRule type="cellIs" dxfId="7737" priority="9326" stopIfTrue="1" operator="between">
      <formula>0</formula>
      <formula>0.255</formula>
    </cfRule>
  </conditionalFormatting>
  <conditionalFormatting sqref="AA200:AB200">
    <cfRule type="cellIs" dxfId="7736" priority="9317" operator="between">
      <formula>0.56251</formula>
      <formula>0.7125</formula>
    </cfRule>
    <cfRule type="cellIs" dxfId="7735" priority="9318" operator="between">
      <formula>0.3751</formula>
      <formula>0.5625</formula>
    </cfRule>
    <cfRule type="cellIs" dxfId="7734" priority="9319" operator="greaterThan">
      <formula>0.751</formula>
    </cfRule>
    <cfRule type="cellIs" dxfId="7733" priority="9320" operator="between">
      <formula>0.71251</formula>
      <formula>0.75</formula>
    </cfRule>
    <cfRule type="cellIs" dxfId="7732" priority="9321" stopIfTrue="1" operator="between">
      <formula>0</formula>
      <formula>0.375</formula>
    </cfRule>
  </conditionalFormatting>
  <conditionalFormatting sqref="U200">
    <cfRule type="cellIs" dxfId="7731" priority="9307" operator="between">
      <formula>0.376</formula>
      <formula>0.475</formula>
    </cfRule>
    <cfRule type="cellIs" dxfId="7730" priority="9308" operator="between">
      <formula>0.2551</formula>
      <formula>0.3751</formula>
    </cfRule>
    <cfRule type="cellIs" dxfId="7729" priority="9309" operator="greaterThan">
      <formula>0.505</formula>
    </cfRule>
    <cfRule type="cellIs" dxfId="7728" priority="9310" operator="between">
      <formula>0.48</formula>
      <formula>0.5</formula>
    </cfRule>
    <cfRule type="cellIs" dxfId="7727" priority="9311" stopIfTrue="1" operator="between">
      <formula>0</formula>
      <formula>0.255</formula>
    </cfRule>
  </conditionalFormatting>
  <conditionalFormatting sqref="AG200">
    <cfRule type="cellIs" dxfId="7726" priority="9299" operator="between">
      <formula>0.76</formula>
      <formula>0.95</formula>
    </cfRule>
    <cfRule type="cellIs" dxfId="7725" priority="9300" operator="between">
      <formula>0.51</formula>
      <formula>0.75</formula>
    </cfRule>
    <cfRule type="cellIs" dxfId="7724" priority="9301" operator="greaterThan">
      <formula>1</formula>
    </cfRule>
    <cfRule type="cellIs" dxfId="7723" priority="9302" operator="between">
      <formula>0.95</formula>
      <formula>1</formula>
    </cfRule>
    <cfRule type="cellIs" dxfId="7722" priority="9303" stopIfTrue="1" operator="between">
      <formula>0</formula>
      <formula>0.5</formula>
    </cfRule>
  </conditionalFormatting>
  <conditionalFormatting sqref="Z200">
    <cfRule type="cellIs" dxfId="7721" priority="9294" operator="between">
      <formula>0.76</formula>
      <formula>0.95</formula>
    </cfRule>
    <cfRule type="cellIs" dxfId="7720" priority="9295" operator="between">
      <formula>0.51</formula>
      <formula>0.75</formula>
    </cfRule>
    <cfRule type="cellIs" dxfId="7719" priority="9296" operator="greaterThan">
      <formula>1</formula>
    </cfRule>
    <cfRule type="cellIs" dxfId="7718" priority="9297" operator="between">
      <formula>0.95</formula>
      <formula>1</formula>
    </cfRule>
    <cfRule type="cellIs" dxfId="7717" priority="9298" stopIfTrue="1" operator="between">
      <formula>0</formula>
      <formula>0.5</formula>
    </cfRule>
  </conditionalFormatting>
  <conditionalFormatting sqref="AC200">
    <cfRule type="cellIs" dxfId="7716" priority="9289" operator="between">
      <formula>0.56251</formula>
      <formula>0.7125</formula>
    </cfRule>
    <cfRule type="cellIs" dxfId="7715" priority="9290" operator="between">
      <formula>0.3751</formula>
      <formula>0.5625</formula>
    </cfRule>
    <cfRule type="cellIs" dxfId="7714" priority="9291" operator="greaterThan">
      <formula>0.751</formula>
    </cfRule>
    <cfRule type="cellIs" dxfId="7713" priority="9292" operator="between">
      <formula>0.71251</formula>
      <formula>0.75</formula>
    </cfRule>
    <cfRule type="cellIs" dxfId="7712" priority="9293" stopIfTrue="1" operator="between">
      <formula>0</formula>
      <formula>0.375</formula>
    </cfRule>
  </conditionalFormatting>
  <conditionalFormatting sqref="V200">
    <cfRule type="cellIs" dxfId="7711" priority="9284" operator="between">
      <formula>0.376</formula>
      <formula>0.475</formula>
    </cfRule>
    <cfRule type="cellIs" dxfId="7710" priority="9285" operator="between">
      <formula>0.2551</formula>
      <formula>0.3751</formula>
    </cfRule>
    <cfRule type="cellIs" dxfId="7709" priority="9286" operator="greaterThan">
      <formula>0.505</formula>
    </cfRule>
    <cfRule type="cellIs" dxfId="7708" priority="9287" operator="between">
      <formula>0.48</formula>
      <formula>0.5</formula>
    </cfRule>
    <cfRule type="cellIs" dxfId="7707" priority="9288" stopIfTrue="1" operator="between">
      <formula>0</formula>
      <formula>0.255</formula>
    </cfRule>
  </conditionalFormatting>
  <conditionalFormatting sqref="S200">
    <cfRule type="cellIs" dxfId="7706" priority="9264" operator="between">
      <formula>0.76</formula>
      <formula>0.95</formula>
    </cfRule>
    <cfRule type="cellIs" dxfId="7705" priority="9265" operator="between">
      <formula>0.51</formula>
      <formula>0.75</formula>
    </cfRule>
    <cfRule type="cellIs" dxfId="7704" priority="9266" operator="greaterThan">
      <formula>1</formula>
    </cfRule>
    <cfRule type="cellIs" dxfId="7703" priority="9267" operator="between">
      <formula>0.95</formula>
      <formula>1</formula>
    </cfRule>
    <cfRule type="cellIs" dxfId="7702" priority="9268" stopIfTrue="1" operator="between">
      <formula>0</formula>
      <formula>0.5</formula>
    </cfRule>
  </conditionalFormatting>
  <conditionalFormatting sqref="R201:R204 Y201:Y204 AF201:AF204 AH201:AI204">
    <cfRule type="cellIs" dxfId="7701" priority="9244" operator="between">
      <formula>0.76</formula>
      <formula>0.95</formula>
    </cfRule>
    <cfRule type="cellIs" dxfId="7700" priority="9245" operator="between">
      <formula>0.51</formula>
      <formula>0.75</formula>
    </cfRule>
    <cfRule type="cellIs" dxfId="7699" priority="9246" operator="greaterThan">
      <formula>1</formula>
    </cfRule>
    <cfRule type="cellIs" dxfId="7698" priority="9247" operator="between">
      <formula>0.95</formula>
      <formula>1</formula>
    </cfRule>
    <cfRule type="cellIs" dxfId="7697" priority="9248" stopIfTrue="1" operator="between">
      <formula>0</formula>
      <formula>0.5</formula>
    </cfRule>
  </conditionalFormatting>
  <conditionalFormatting sqref="T201:T204">
    <cfRule type="cellIs" dxfId="7696" priority="9239" operator="between">
      <formula>0.3751</formula>
      <formula>0.475</formula>
    </cfRule>
    <cfRule type="cellIs" dxfId="7695" priority="9240" operator="between">
      <formula>0.2551</formula>
      <formula>0.375</formula>
    </cfRule>
    <cfRule type="cellIs" dxfId="7694" priority="9241" operator="greaterThan">
      <formula>0.505</formula>
    </cfRule>
    <cfRule type="cellIs" dxfId="7693" priority="9242" operator="between">
      <formula>0.48</formula>
      <formula>0.5</formula>
    </cfRule>
    <cfRule type="cellIs" dxfId="7692" priority="9243" stopIfTrue="1" operator="between">
      <formula>0</formula>
      <formula>0.255</formula>
    </cfRule>
  </conditionalFormatting>
  <conditionalFormatting sqref="AA201:AB204">
    <cfRule type="cellIs" dxfId="7691" priority="9234" operator="between">
      <formula>0.56251</formula>
      <formula>0.7125</formula>
    </cfRule>
    <cfRule type="cellIs" dxfId="7690" priority="9235" operator="between">
      <formula>0.3751</formula>
      <formula>0.5625</formula>
    </cfRule>
    <cfRule type="cellIs" dxfId="7689" priority="9236" operator="greaterThan">
      <formula>0.751</formula>
    </cfRule>
    <cfRule type="cellIs" dxfId="7688" priority="9237" operator="between">
      <formula>0.71251</formula>
      <formula>0.75</formula>
    </cfRule>
    <cfRule type="cellIs" dxfId="7687" priority="9238" stopIfTrue="1" operator="between">
      <formula>0</formula>
      <formula>0.375</formula>
    </cfRule>
  </conditionalFormatting>
  <conditionalFormatting sqref="U201:U204">
    <cfRule type="cellIs" dxfId="7686" priority="9224" operator="between">
      <formula>0.376</formula>
      <formula>0.475</formula>
    </cfRule>
    <cfRule type="cellIs" dxfId="7685" priority="9225" operator="between">
      <formula>0.2551</formula>
      <formula>0.3751</formula>
    </cfRule>
    <cfRule type="cellIs" dxfId="7684" priority="9226" operator="greaterThan">
      <formula>0.505</formula>
    </cfRule>
    <cfRule type="cellIs" dxfId="7683" priority="9227" operator="between">
      <formula>0.48</formula>
      <formula>0.5</formula>
    </cfRule>
    <cfRule type="cellIs" dxfId="7682" priority="9228" stopIfTrue="1" operator="between">
      <formula>0</formula>
      <formula>0.255</formula>
    </cfRule>
  </conditionalFormatting>
  <conditionalFormatting sqref="AG201:AG203">
    <cfRule type="cellIs" dxfId="7681" priority="9216" operator="between">
      <formula>0.76</formula>
      <formula>0.95</formula>
    </cfRule>
    <cfRule type="cellIs" dxfId="7680" priority="9217" operator="between">
      <formula>0.51</formula>
      <formula>0.75</formula>
    </cfRule>
    <cfRule type="cellIs" dxfId="7679" priority="9218" operator="greaterThan">
      <formula>1</formula>
    </cfRule>
    <cfRule type="cellIs" dxfId="7678" priority="9219" operator="between">
      <formula>0.95</formula>
      <formula>1</formula>
    </cfRule>
    <cfRule type="cellIs" dxfId="7677" priority="9220" stopIfTrue="1" operator="between">
      <formula>0</formula>
      <formula>0.5</formula>
    </cfRule>
  </conditionalFormatting>
  <conditionalFormatting sqref="Z201:Z203">
    <cfRule type="cellIs" dxfId="7676" priority="9211" operator="between">
      <formula>0.76</formula>
      <formula>0.95</formula>
    </cfRule>
    <cfRule type="cellIs" dxfId="7675" priority="9212" operator="between">
      <formula>0.51</formula>
      <formula>0.75</formula>
    </cfRule>
    <cfRule type="cellIs" dxfId="7674" priority="9213" operator="greaterThan">
      <formula>1</formula>
    </cfRule>
    <cfRule type="cellIs" dxfId="7673" priority="9214" operator="between">
      <formula>0.95</formula>
      <formula>1</formula>
    </cfRule>
    <cfRule type="cellIs" dxfId="7672" priority="9215" stopIfTrue="1" operator="between">
      <formula>0</formula>
      <formula>0.5</formula>
    </cfRule>
  </conditionalFormatting>
  <conditionalFormatting sqref="AC201:AC204">
    <cfRule type="cellIs" dxfId="7671" priority="9206" operator="between">
      <formula>0.56251</formula>
      <formula>0.7125</formula>
    </cfRule>
    <cfRule type="cellIs" dxfId="7670" priority="9207" operator="between">
      <formula>0.3751</formula>
      <formula>0.5625</formula>
    </cfRule>
    <cfRule type="cellIs" dxfId="7669" priority="9208" operator="greaterThan">
      <formula>0.751</formula>
    </cfRule>
    <cfRule type="cellIs" dxfId="7668" priority="9209" operator="between">
      <formula>0.71251</formula>
      <formula>0.75</formula>
    </cfRule>
    <cfRule type="cellIs" dxfId="7667" priority="9210" stopIfTrue="1" operator="between">
      <formula>0</formula>
      <formula>0.375</formula>
    </cfRule>
  </conditionalFormatting>
  <conditionalFormatting sqref="V201:V204">
    <cfRule type="cellIs" dxfId="7666" priority="9201" operator="between">
      <formula>0.376</formula>
      <formula>0.475</formula>
    </cfRule>
    <cfRule type="cellIs" dxfId="7665" priority="9202" operator="between">
      <formula>0.2551</formula>
      <formula>0.3751</formula>
    </cfRule>
    <cfRule type="cellIs" dxfId="7664" priority="9203" operator="greaterThan">
      <formula>0.505</formula>
    </cfRule>
    <cfRule type="cellIs" dxfId="7663" priority="9204" operator="between">
      <formula>0.48</formula>
      <formula>0.5</formula>
    </cfRule>
    <cfRule type="cellIs" dxfId="7662" priority="9205" stopIfTrue="1" operator="between">
      <formula>0</formula>
      <formula>0.255</formula>
    </cfRule>
  </conditionalFormatting>
  <conditionalFormatting sqref="R255:S255 Y255:Z255 AF255:AI255">
    <cfRule type="cellIs" dxfId="7661" priority="9176" operator="between">
      <formula>0.76</formula>
      <formula>0.95</formula>
    </cfRule>
    <cfRule type="cellIs" dxfId="7660" priority="9177" operator="between">
      <formula>0.51</formula>
      <formula>0.75</formula>
    </cfRule>
    <cfRule type="cellIs" dxfId="7659" priority="9178" operator="greaterThan">
      <formula>1</formula>
    </cfRule>
    <cfRule type="cellIs" dxfId="7658" priority="9179" operator="between">
      <formula>0.95</formula>
      <formula>1</formula>
    </cfRule>
    <cfRule type="cellIs" dxfId="7657" priority="9180" stopIfTrue="1" operator="between">
      <formula>0</formula>
      <formula>0.5</formula>
    </cfRule>
  </conditionalFormatting>
  <conditionalFormatting sqref="T255">
    <cfRule type="cellIs" dxfId="7656" priority="9171" operator="between">
      <formula>0.3751</formula>
      <formula>0.475</formula>
    </cfRule>
    <cfRule type="cellIs" dxfId="7655" priority="9172" operator="between">
      <formula>0.2551</formula>
      <formula>0.375</formula>
    </cfRule>
    <cfRule type="cellIs" dxfId="7654" priority="9173" operator="greaterThan">
      <formula>0.505</formula>
    </cfRule>
    <cfRule type="cellIs" dxfId="7653" priority="9174" operator="between">
      <formula>0.48</formula>
      <formula>0.5</formula>
    </cfRule>
    <cfRule type="cellIs" dxfId="7652" priority="9175" stopIfTrue="1" operator="between">
      <formula>0</formula>
      <formula>0.255</formula>
    </cfRule>
  </conditionalFormatting>
  <conditionalFormatting sqref="AA255:AC255">
    <cfRule type="cellIs" dxfId="7651" priority="9166" operator="between">
      <formula>0.56251</formula>
      <formula>0.7125</formula>
    </cfRule>
    <cfRule type="cellIs" dxfId="7650" priority="9167" operator="between">
      <formula>0.3751</formula>
      <formula>0.5625</formula>
    </cfRule>
    <cfRule type="cellIs" dxfId="7649" priority="9168" operator="greaterThan">
      <formula>0.751</formula>
    </cfRule>
    <cfRule type="cellIs" dxfId="7648" priority="9169" operator="between">
      <formula>0.71251</formula>
      <formula>0.75</formula>
    </cfRule>
    <cfRule type="cellIs" dxfId="7647" priority="9170" stopIfTrue="1" operator="between">
      <formula>0</formula>
      <formula>0.375</formula>
    </cfRule>
  </conditionalFormatting>
  <conditionalFormatting sqref="U255:V255">
    <cfRule type="cellIs" dxfId="7646" priority="9156" operator="between">
      <formula>0.376</formula>
      <formula>0.475</formula>
    </cfRule>
    <cfRule type="cellIs" dxfId="7645" priority="9157" operator="between">
      <formula>0.2551</formula>
      <formula>0.3751</formula>
    </cfRule>
    <cfRule type="cellIs" dxfId="7644" priority="9158" operator="greaterThan">
      <formula>0.505</formula>
    </cfRule>
    <cfRule type="cellIs" dxfId="7643" priority="9159" operator="between">
      <formula>0.48</formula>
      <formula>0.5</formula>
    </cfRule>
    <cfRule type="cellIs" dxfId="7642" priority="9160" stopIfTrue="1" operator="between">
      <formula>0</formula>
      <formula>0.255</formula>
    </cfRule>
  </conditionalFormatting>
  <conditionalFormatting sqref="AG206 S206 Z206">
    <cfRule type="cellIs" dxfId="7641" priority="9138" operator="between">
      <formula>0.76</formula>
      <formula>0.95</formula>
    </cfRule>
    <cfRule type="cellIs" dxfId="7640" priority="9139" operator="between">
      <formula>0.51</formula>
      <formula>0.75</formula>
    </cfRule>
    <cfRule type="cellIs" dxfId="7639" priority="9140" operator="greaterThan">
      <formula>1</formula>
    </cfRule>
    <cfRule type="cellIs" dxfId="7638" priority="9141" operator="between">
      <formula>0.95</formula>
      <formula>1</formula>
    </cfRule>
    <cfRule type="cellIs" dxfId="7637" priority="9142" stopIfTrue="1" operator="between">
      <formula>0</formula>
      <formula>0.5</formula>
    </cfRule>
  </conditionalFormatting>
  <conditionalFormatting sqref="R206">
    <cfRule type="cellIs" dxfId="7636" priority="9128" operator="between">
      <formula>0.76</formula>
      <formula>0.95</formula>
    </cfRule>
    <cfRule type="cellIs" dxfId="7635" priority="9129" operator="between">
      <formula>0.51</formula>
      <formula>0.75</formula>
    </cfRule>
    <cfRule type="cellIs" dxfId="7634" priority="9130" operator="greaterThan">
      <formula>1</formula>
    </cfRule>
    <cfRule type="cellIs" dxfId="7633" priority="9131" operator="between">
      <formula>0.95</formula>
      <formula>1</formula>
    </cfRule>
    <cfRule type="cellIs" dxfId="7632" priority="9132" stopIfTrue="1" operator="between">
      <formula>0</formula>
      <formula>0.5</formula>
    </cfRule>
  </conditionalFormatting>
  <conditionalFormatting sqref="Y206">
    <cfRule type="cellIs" dxfId="7631" priority="9123" operator="between">
      <formula>0.76</formula>
      <formula>0.95</formula>
    </cfRule>
    <cfRule type="cellIs" dxfId="7630" priority="9124" operator="between">
      <formula>0.51</formula>
      <formula>0.75</formula>
    </cfRule>
    <cfRule type="cellIs" dxfId="7629" priority="9125" operator="greaterThan">
      <formula>1</formula>
    </cfRule>
    <cfRule type="cellIs" dxfId="7628" priority="9126" operator="between">
      <formula>0.95</formula>
      <formula>1</formula>
    </cfRule>
    <cfRule type="cellIs" dxfId="7627" priority="9127" stopIfTrue="1" operator="between">
      <formula>0</formula>
      <formula>0.5</formula>
    </cfRule>
  </conditionalFormatting>
  <conditionalFormatting sqref="AF206">
    <cfRule type="cellIs" dxfId="7626" priority="9118" operator="between">
      <formula>0.76</formula>
      <formula>0.95</formula>
    </cfRule>
    <cfRule type="cellIs" dxfId="7625" priority="9119" operator="between">
      <formula>0.51</formula>
      <formula>0.75</formula>
    </cfRule>
    <cfRule type="cellIs" dxfId="7624" priority="9120" operator="greaterThan">
      <formula>1</formula>
    </cfRule>
    <cfRule type="cellIs" dxfId="7623" priority="9121" operator="between">
      <formula>0.95</formula>
      <formula>1</formula>
    </cfRule>
    <cfRule type="cellIs" dxfId="7622" priority="9122" stopIfTrue="1" operator="between">
      <formula>0</formula>
      <formula>0.5</formula>
    </cfRule>
  </conditionalFormatting>
  <conditionalFormatting sqref="O206">
    <cfRule type="cellIs" dxfId="7621" priority="9108" operator="between">
      <formula>0.1876</formula>
      <formula>0.2375</formula>
    </cfRule>
    <cfRule type="cellIs" dxfId="7620" priority="9109" operator="between">
      <formula>0.1251</formula>
      <formula>0.1875</formula>
    </cfRule>
    <cfRule type="cellIs" dxfId="7619" priority="9110" operator="greaterThan">
      <formula>0.25</formula>
    </cfRule>
    <cfRule type="cellIs" dxfId="7618" priority="9111" operator="between">
      <formula>0.2376</formula>
      <formula>0.25</formula>
    </cfRule>
    <cfRule type="cellIs" dxfId="7617" priority="9112" stopIfTrue="1" operator="between">
      <formula>0</formula>
      <formula>0.125</formula>
    </cfRule>
  </conditionalFormatting>
  <conditionalFormatting sqref="M206">
    <cfRule type="cellIs" dxfId="7616" priority="9103" operator="between">
      <formula>0.1876</formula>
      <formula>0.2375</formula>
    </cfRule>
    <cfRule type="cellIs" dxfId="7615" priority="9104" operator="between">
      <formula>0.1251</formula>
      <formula>0.1875</formula>
    </cfRule>
    <cfRule type="cellIs" dxfId="7614" priority="9105" operator="greaterThan">
      <formula>0.25</formula>
    </cfRule>
    <cfRule type="cellIs" dxfId="7613" priority="9106" operator="between">
      <formula>0.2376</formula>
      <formula>0.25</formula>
    </cfRule>
    <cfRule type="cellIs" dxfId="7612" priority="9107" stopIfTrue="1" operator="between">
      <formula>0</formula>
      <formula>0.125</formula>
    </cfRule>
  </conditionalFormatting>
  <conditionalFormatting sqref="AI205">
    <cfRule type="cellIs" dxfId="7611" priority="9061" operator="between">
      <formula>0.76</formula>
      <formula>0.95</formula>
    </cfRule>
    <cfRule type="cellIs" dxfId="7610" priority="9062" operator="between">
      <formula>0.51</formula>
      <formula>0.75</formula>
    </cfRule>
    <cfRule type="cellIs" dxfId="7609" priority="9063" operator="greaterThan">
      <formula>1</formula>
    </cfRule>
    <cfRule type="cellIs" dxfId="7608" priority="9064" operator="between">
      <formula>0.95</formula>
      <formula>1</formula>
    </cfRule>
    <cfRule type="cellIs" dxfId="7607" priority="9065" stopIfTrue="1" operator="between">
      <formula>0</formula>
      <formula>0.5</formula>
    </cfRule>
  </conditionalFormatting>
  <conditionalFormatting sqref="R205">
    <cfRule type="cellIs" dxfId="7606" priority="9051" operator="between">
      <formula>0.76</formula>
      <formula>0.95</formula>
    </cfRule>
    <cfRule type="cellIs" dxfId="7605" priority="9052" operator="between">
      <formula>0.51</formula>
      <formula>0.75</formula>
    </cfRule>
    <cfRule type="cellIs" dxfId="7604" priority="9053" operator="greaterThan">
      <formula>1</formula>
    </cfRule>
    <cfRule type="cellIs" dxfId="7603" priority="9054" operator="between">
      <formula>0.95</formula>
      <formula>1</formula>
    </cfRule>
    <cfRule type="cellIs" dxfId="7602" priority="9055" stopIfTrue="1" operator="between">
      <formula>0</formula>
      <formula>0.5</formula>
    </cfRule>
  </conditionalFormatting>
  <conditionalFormatting sqref="Y205">
    <cfRule type="cellIs" dxfId="7601" priority="9046" operator="between">
      <formula>0.76</formula>
      <formula>0.95</formula>
    </cfRule>
    <cfRule type="cellIs" dxfId="7600" priority="9047" operator="between">
      <formula>0.51</formula>
      <formula>0.75</formula>
    </cfRule>
    <cfRule type="cellIs" dxfId="7599" priority="9048" operator="greaterThan">
      <formula>1</formula>
    </cfRule>
    <cfRule type="cellIs" dxfId="7598" priority="9049" operator="between">
      <formula>0.95</formula>
      <formula>1</formula>
    </cfRule>
    <cfRule type="cellIs" dxfId="7597" priority="9050" stopIfTrue="1" operator="between">
      <formula>0</formula>
      <formula>0.5</formula>
    </cfRule>
  </conditionalFormatting>
  <conditionalFormatting sqref="AF205">
    <cfRule type="cellIs" dxfId="7596" priority="9041" operator="between">
      <formula>0.76</formula>
      <formula>0.95</formula>
    </cfRule>
    <cfRule type="cellIs" dxfId="7595" priority="9042" operator="between">
      <formula>0.51</formula>
      <formula>0.75</formula>
    </cfRule>
    <cfRule type="cellIs" dxfId="7594" priority="9043" operator="greaterThan">
      <formula>1</formula>
    </cfRule>
    <cfRule type="cellIs" dxfId="7593" priority="9044" operator="between">
      <formula>0.95</formula>
      <formula>1</formula>
    </cfRule>
    <cfRule type="cellIs" dxfId="7592" priority="9045" stopIfTrue="1" operator="between">
      <formula>0</formula>
      <formula>0.5</formula>
    </cfRule>
  </conditionalFormatting>
  <conditionalFormatting sqref="AH205">
    <cfRule type="cellIs" dxfId="7591" priority="9036" operator="between">
      <formula>0.76</formula>
      <formula>0.95</formula>
    </cfRule>
    <cfRule type="cellIs" dxfId="7590" priority="9037" operator="between">
      <formula>0.51</formula>
      <formula>0.75</formula>
    </cfRule>
    <cfRule type="cellIs" dxfId="7589" priority="9038" operator="greaterThan">
      <formula>1</formula>
    </cfRule>
    <cfRule type="cellIs" dxfId="7588" priority="9039" operator="between">
      <formula>0.95</formula>
      <formula>1</formula>
    </cfRule>
    <cfRule type="cellIs" dxfId="7587" priority="9040" stopIfTrue="1" operator="between">
      <formula>0</formula>
      <formula>0.5</formula>
    </cfRule>
  </conditionalFormatting>
  <conditionalFormatting sqref="T205">
    <cfRule type="cellIs" dxfId="7586" priority="9021" operator="between">
      <formula>0.3751</formula>
      <formula>0.475</formula>
    </cfRule>
    <cfRule type="cellIs" dxfId="7585" priority="9022" operator="between">
      <formula>0.2551</formula>
      <formula>0.375</formula>
    </cfRule>
    <cfRule type="cellIs" dxfId="7584" priority="9023" operator="greaterThan">
      <formula>0.505</formula>
    </cfRule>
    <cfRule type="cellIs" dxfId="7583" priority="9024" operator="between">
      <formula>0.48</formula>
      <formula>0.5</formula>
    </cfRule>
    <cfRule type="cellIs" dxfId="7582" priority="9025" stopIfTrue="1" operator="between">
      <formula>0</formula>
      <formula>0.255</formula>
    </cfRule>
  </conditionalFormatting>
  <conditionalFormatting sqref="U205:V205">
    <cfRule type="cellIs" dxfId="7581" priority="9016" operator="between">
      <formula>0.376</formula>
      <formula>0.475</formula>
    </cfRule>
    <cfRule type="cellIs" dxfId="7580" priority="9017" operator="between">
      <formula>0.2551</formula>
      <formula>0.3751</formula>
    </cfRule>
    <cfRule type="cellIs" dxfId="7579" priority="9018" operator="greaterThan">
      <formula>0.505</formula>
    </cfRule>
    <cfRule type="cellIs" dxfId="7578" priority="9019" operator="between">
      <formula>0.48</formula>
      <formula>0.5</formula>
    </cfRule>
    <cfRule type="cellIs" dxfId="7577" priority="9020" stopIfTrue="1" operator="between">
      <formula>0</formula>
      <formula>0.255</formula>
    </cfRule>
  </conditionalFormatting>
  <conditionalFormatting sqref="AA205">
    <cfRule type="cellIs" dxfId="7576" priority="9011" operator="between">
      <formula>0.56251</formula>
      <formula>0.7125</formula>
    </cfRule>
    <cfRule type="cellIs" dxfId="7575" priority="9012" operator="between">
      <formula>0.3751</formula>
      <formula>0.5625</formula>
    </cfRule>
    <cfRule type="cellIs" dxfId="7574" priority="9013" operator="greaterThan">
      <formula>0.751</formula>
    </cfRule>
    <cfRule type="cellIs" dxfId="7573" priority="9014" operator="between">
      <formula>0.71251</formula>
      <formula>0.75</formula>
    </cfRule>
    <cfRule type="cellIs" dxfId="7572" priority="9015" stopIfTrue="1" operator="between">
      <formula>0</formula>
      <formula>0.375</formula>
    </cfRule>
  </conditionalFormatting>
  <conditionalFormatting sqref="AC205">
    <cfRule type="cellIs" dxfId="7571" priority="9006" operator="between">
      <formula>0.56251</formula>
      <formula>0.7125</formula>
    </cfRule>
    <cfRule type="cellIs" dxfId="7570" priority="9007" operator="between">
      <formula>0.3751</formula>
      <formula>0.5625</formula>
    </cfRule>
    <cfRule type="cellIs" dxfId="7569" priority="9008" operator="greaterThan">
      <formula>0.751</formula>
    </cfRule>
    <cfRule type="cellIs" dxfId="7568" priority="9009" operator="between">
      <formula>0.71251</formula>
      <formula>0.75</formula>
    </cfRule>
    <cfRule type="cellIs" dxfId="7567" priority="9010" stopIfTrue="1" operator="between">
      <formula>0</formula>
      <formula>0.375</formula>
    </cfRule>
  </conditionalFormatting>
  <conditionalFormatting sqref="AB205">
    <cfRule type="cellIs" dxfId="7566" priority="9001" operator="between">
      <formula>0.56251</formula>
      <formula>0.7125</formula>
    </cfRule>
    <cfRule type="cellIs" dxfId="7565" priority="9002" operator="between">
      <formula>0.3751</formula>
      <formula>0.5625</formula>
    </cfRule>
    <cfRule type="cellIs" dxfId="7564" priority="9003" operator="greaterThan">
      <formula>0.751</formula>
    </cfRule>
    <cfRule type="cellIs" dxfId="7563" priority="9004" operator="between">
      <formula>0.71251</formula>
      <formula>0.75</formula>
    </cfRule>
    <cfRule type="cellIs" dxfId="7562" priority="9005" stopIfTrue="1" operator="between">
      <formula>0</formula>
      <formula>0.375</formula>
    </cfRule>
  </conditionalFormatting>
  <conditionalFormatting sqref="S201">
    <cfRule type="cellIs" dxfId="7561" priority="8984" operator="between">
      <formula>0.76</formula>
      <formula>0.95</formula>
    </cfRule>
    <cfRule type="cellIs" dxfId="7560" priority="8985" operator="between">
      <formula>0.51</formula>
      <formula>0.75</formula>
    </cfRule>
    <cfRule type="cellIs" dxfId="7559" priority="8986" operator="greaterThan">
      <formula>1</formula>
    </cfRule>
    <cfRule type="cellIs" dxfId="7558" priority="8987" operator="between">
      <formula>0.95</formula>
      <formula>1</formula>
    </cfRule>
    <cfRule type="cellIs" dxfId="7557" priority="8988" stopIfTrue="1" operator="between">
      <formula>0</formula>
      <formula>0.5</formula>
    </cfRule>
  </conditionalFormatting>
  <conditionalFormatting sqref="S204:S205">
    <cfRule type="cellIs" dxfId="7556" priority="8979" operator="between">
      <formula>0.76</formula>
      <formula>0.95</formula>
    </cfRule>
    <cfRule type="cellIs" dxfId="7555" priority="8980" operator="between">
      <formula>0.51</formula>
      <formula>0.75</formula>
    </cfRule>
    <cfRule type="cellIs" dxfId="7554" priority="8981" operator="greaterThan">
      <formula>1</formula>
    </cfRule>
    <cfRule type="cellIs" dxfId="7553" priority="8982" operator="between">
      <formula>0.95</formula>
      <formula>1</formula>
    </cfRule>
    <cfRule type="cellIs" dxfId="7552" priority="8983" stopIfTrue="1" operator="between">
      <formula>0</formula>
      <formula>0.5</formula>
    </cfRule>
  </conditionalFormatting>
  <conditionalFormatting sqref="Z204:Z205">
    <cfRule type="cellIs" dxfId="7551" priority="8974" operator="between">
      <formula>0.76</formula>
      <formula>0.95</formula>
    </cfRule>
    <cfRule type="cellIs" dxfId="7550" priority="8975" operator="between">
      <formula>0.51</formula>
      <formula>0.75</formula>
    </cfRule>
    <cfRule type="cellIs" dxfId="7549" priority="8976" operator="greaterThan">
      <formula>1</formula>
    </cfRule>
    <cfRule type="cellIs" dxfId="7548" priority="8977" operator="between">
      <formula>0.95</formula>
      <formula>1</formula>
    </cfRule>
    <cfRule type="cellIs" dxfId="7547" priority="8978" stopIfTrue="1" operator="between">
      <formula>0</formula>
      <formula>0.5</formula>
    </cfRule>
  </conditionalFormatting>
  <conditionalFormatting sqref="AG204">
    <cfRule type="cellIs" dxfId="7546" priority="8969" operator="between">
      <formula>0.76</formula>
      <formula>0.95</formula>
    </cfRule>
    <cfRule type="cellIs" dxfId="7545" priority="8970" operator="between">
      <formula>0.51</formula>
      <formula>0.75</formula>
    </cfRule>
    <cfRule type="cellIs" dxfId="7544" priority="8971" operator="greaterThan">
      <formula>1</formula>
    </cfRule>
    <cfRule type="cellIs" dxfId="7543" priority="8972" operator="between">
      <formula>0.95</formula>
      <formula>1</formula>
    </cfRule>
    <cfRule type="cellIs" dxfId="7542" priority="8973" stopIfTrue="1" operator="between">
      <formula>0</formula>
      <formula>0.5</formula>
    </cfRule>
  </conditionalFormatting>
  <conditionalFormatting sqref="Y307 AF307 R307 AH307:AI307">
    <cfRule type="cellIs" dxfId="7541" priority="8964" operator="between">
      <formula>0.76</formula>
      <formula>0.95</formula>
    </cfRule>
    <cfRule type="cellIs" dxfId="7540" priority="8965" operator="between">
      <formula>0.51</formula>
      <formula>0.75</formula>
    </cfRule>
    <cfRule type="cellIs" dxfId="7539" priority="8966" operator="greaterThan">
      <formula>1</formula>
    </cfRule>
    <cfRule type="cellIs" dxfId="7538" priority="8967" operator="between">
      <formula>0.95</formula>
      <formula>1</formula>
    </cfRule>
    <cfRule type="cellIs" dxfId="7537" priority="8968" stopIfTrue="1" operator="between">
      <formula>0</formula>
      <formula>0.5</formula>
    </cfRule>
  </conditionalFormatting>
  <conditionalFormatting sqref="T307">
    <cfRule type="cellIs" dxfId="7536" priority="8959" operator="between">
      <formula>0.3751</formula>
      <formula>0.475</formula>
    </cfRule>
    <cfRule type="cellIs" dxfId="7535" priority="8960" operator="between">
      <formula>0.2551</formula>
      <formula>0.375</formula>
    </cfRule>
    <cfRule type="cellIs" dxfId="7534" priority="8961" operator="greaterThan">
      <formula>0.505</formula>
    </cfRule>
    <cfRule type="cellIs" dxfId="7533" priority="8962" operator="between">
      <formula>0.48</formula>
      <formula>0.5</formula>
    </cfRule>
    <cfRule type="cellIs" dxfId="7532" priority="8963" stopIfTrue="1" operator="between">
      <formula>0</formula>
      <formula>0.255</formula>
    </cfRule>
  </conditionalFormatting>
  <conditionalFormatting sqref="AA307:AB307">
    <cfRule type="cellIs" dxfId="7531" priority="8954" operator="between">
      <formula>0.56251</formula>
      <formula>0.7125</formula>
    </cfRule>
    <cfRule type="cellIs" dxfId="7530" priority="8955" operator="between">
      <formula>0.3751</formula>
      <formula>0.5625</formula>
    </cfRule>
    <cfRule type="cellIs" dxfId="7529" priority="8956" operator="greaterThan">
      <formula>0.751</formula>
    </cfRule>
    <cfRule type="cellIs" dxfId="7528" priority="8957" operator="between">
      <formula>0.71251</formula>
      <formula>0.75</formula>
    </cfRule>
    <cfRule type="cellIs" dxfId="7527" priority="8958" stopIfTrue="1" operator="between">
      <formula>0</formula>
      <formula>0.375</formula>
    </cfRule>
  </conditionalFormatting>
  <conditionalFormatting sqref="U307">
    <cfRule type="cellIs" dxfId="7526" priority="8944" operator="between">
      <formula>0.376</formula>
      <formula>0.475</formula>
    </cfRule>
    <cfRule type="cellIs" dxfId="7525" priority="8945" operator="between">
      <formula>0.2551</formula>
      <formula>0.3751</formula>
    </cfRule>
    <cfRule type="cellIs" dxfId="7524" priority="8946" operator="greaterThan">
      <formula>0.505</formula>
    </cfRule>
    <cfRule type="cellIs" dxfId="7523" priority="8947" operator="between">
      <formula>0.48</formula>
      <formula>0.5</formula>
    </cfRule>
    <cfRule type="cellIs" dxfId="7522" priority="8948" stopIfTrue="1" operator="between">
      <formula>0</formula>
      <formula>0.255</formula>
    </cfRule>
  </conditionalFormatting>
  <conditionalFormatting sqref="S307">
    <cfRule type="cellIs" dxfId="7521" priority="8931" operator="between">
      <formula>0.76</formula>
      <formula>0.95</formula>
    </cfRule>
    <cfRule type="cellIs" dxfId="7520" priority="8932" operator="between">
      <formula>0.51</formula>
      <formula>0.75</formula>
    </cfRule>
    <cfRule type="cellIs" dxfId="7519" priority="8933" operator="greaterThan">
      <formula>1</formula>
    </cfRule>
    <cfRule type="cellIs" dxfId="7518" priority="8934" operator="between">
      <formula>0.95</formula>
      <formula>1</formula>
    </cfRule>
    <cfRule type="cellIs" dxfId="7517" priority="8935" stopIfTrue="1" operator="between">
      <formula>0</formula>
      <formula>0.5</formula>
    </cfRule>
  </conditionalFormatting>
  <conditionalFormatting sqref="V307">
    <cfRule type="cellIs" dxfId="7516" priority="8926" operator="between">
      <formula>0.376</formula>
      <formula>0.475</formula>
    </cfRule>
    <cfRule type="cellIs" dxfId="7515" priority="8927" operator="between">
      <formula>0.2551</formula>
      <formula>0.3751</formula>
    </cfRule>
    <cfRule type="cellIs" dxfId="7514" priority="8928" operator="greaterThan">
      <formula>0.505</formula>
    </cfRule>
    <cfRule type="cellIs" dxfId="7513" priority="8929" operator="between">
      <formula>0.48</formula>
      <formula>0.5</formula>
    </cfRule>
    <cfRule type="cellIs" dxfId="7512" priority="8930" stopIfTrue="1" operator="between">
      <formula>0</formula>
      <formula>0.255</formula>
    </cfRule>
  </conditionalFormatting>
  <conditionalFormatting sqref="AC307">
    <cfRule type="cellIs" dxfId="7511" priority="8921" operator="between">
      <formula>0.56251</formula>
      <formula>0.7125</formula>
    </cfRule>
    <cfRule type="cellIs" dxfId="7510" priority="8922" operator="between">
      <formula>0.3751</formula>
      <formula>0.5625</formula>
    </cfRule>
    <cfRule type="cellIs" dxfId="7509" priority="8923" operator="greaterThan">
      <formula>0.751</formula>
    </cfRule>
    <cfRule type="cellIs" dxfId="7508" priority="8924" operator="between">
      <formula>0.71251</formula>
      <formula>0.75</formula>
    </cfRule>
    <cfRule type="cellIs" dxfId="7507" priority="8925" stopIfTrue="1" operator="between">
      <formula>0</formula>
      <formula>0.375</formula>
    </cfRule>
  </conditionalFormatting>
  <conditionalFormatting sqref="AG307">
    <cfRule type="cellIs" dxfId="7506" priority="8916" operator="between">
      <formula>0.76</formula>
      <formula>0.95</formula>
    </cfRule>
    <cfRule type="cellIs" dxfId="7505" priority="8917" operator="between">
      <formula>0.51</formula>
      <formula>0.75</formula>
    </cfRule>
    <cfRule type="cellIs" dxfId="7504" priority="8918" operator="greaterThan">
      <formula>1</formula>
    </cfRule>
    <cfRule type="cellIs" dxfId="7503" priority="8919" operator="between">
      <formula>0.95</formula>
      <formula>1</formula>
    </cfRule>
    <cfRule type="cellIs" dxfId="7502" priority="8920" stopIfTrue="1" operator="between">
      <formula>0</formula>
      <formula>0.5</formula>
    </cfRule>
  </conditionalFormatting>
  <conditionalFormatting sqref="Z307">
    <cfRule type="cellIs" dxfId="7501" priority="8911" operator="between">
      <formula>0.76</formula>
      <formula>0.95</formula>
    </cfRule>
    <cfRule type="cellIs" dxfId="7500" priority="8912" operator="between">
      <formula>0.51</formula>
      <formula>0.75</formula>
    </cfRule>
    <cfRule type="cellIs" dxfId="7499" priority="8913" operator="greaterThan">
      <formula>1</formula>
    </cfRule>
    <cfRule type="cellIs" dxfId="7498" priority="8914" operator="between">
      <formula>0.95</formula>
      <formula>1</formula>
    </cfRule>
    <cfRule type="cellIs" dxfId="7497" priority="8915" stopIfTrue="1" operator="between">
      <formula>0</formula>
      <formula>0.5</formula>
    </cfRule>
  </conditionalFormatting>
  <conditionalFormatting sqref="Y308 AF308 R308 AH308:AI308">
    <cfRule type="cellIs" dxfId="7496" priority="8901" operator="between">
      <formula>0.76</formula>
      <formula>0.95</formula>
    </cfRule>
    <cfRule type="cellIs" dxfId="7495" priority="8902" operator="between">
      <formula>0.51</formula>
      <formula>0.75</formula>
    </cfRule>
    <cfRule type="cellIs" dxfId="7494" priority="8903" operator="greaterThan">
      <formula>1</formula>
    </cfRule>
    <cfRule type="cellIs" dxfId="7493" priority="8904" operator="between">
      <formula>0.95</formula>
      <formula>1</formula>
    </cfRule>
    <cfRule type="cellIs" dxfId="7492" priority="8905" stopIfTrue="1" operator="between">
      <formula>0</formula>
      <formula>0.5</formula>
    </cfRule>
  </conditionalFormatting>
  <conditionalFormatting sqref="T308">
    <cfRule type="cellIs" dxfId="7491" priority="8896" operator="between">
      <formula>0.3751</formula>
      <formula>0.475</formula>
    </cfRule>
    <cfRule type="cellIs" dxfId="7490" priority="8897" operator="between">
      <formula>0.2551</formula>
      <formula>0.375</formula>
    </cfRule>
    <cfRule type="cellIs" dxfId="7489" priority="8898" operator="greaterThan">
      <formula>0.505</formula>
    </cfRule>
    <cfRule type="cellIs" dxfId="7488" priority="8899" operator="between">
      <formula>0.48</formula>
      <formula>0.5</formula>
    </cfRule>
    <cfRule type="cellIs" dxfId="7487" priority="8900" stopIfTrue="1" operator="between">
      <formula>0</formula>
      <formula>0.255</formula>
    </cfRule>
  </conditionalFormatting>
  <conditionalFormatting sqref="AA308:AB308">
    <cfRule type="cellIs" dxfId="7486" priority="8891" operator="between">
      <formula>0.56251</formula>
      <formula>0.7125</formula>
    </cfRule>
    <cfRule type="cellIs" dxfId="7485" priority="8892" operator="between">
      <formula>0.3751</formula>
      <formula>0.5625</formula>
    </cfRule>
    <cfRule type="cellIs" dxfId="7484" priority="8893" operator="greaterThan">
      <formula>0.751</formula>
    </cfRule>
    <cfRule type="cellIs" dxfId="7483" priority="8894" operator="between">
      <formula>0.71251</formula>
      <formula>0.75</formula>
    </cfRule>
    <cfRule type="cellIs" dxfId="7482" priority="8895" stopIfTrue="1" operator="between">
      <formula>0</formula>
      <formula>0.375</formula>
    </cfRule>
  </conditionalFormatting>
  <conditionalFormatting sqref="U308">
    <cfRule type="cellIs" dxfId="7481" priority="8881" operator="between">
      <formula>0.376</formula>
      <formula>0.475</formula>
    </cfRule>
    <cfRule type="cellIs" dxfId="7480" priority="8882" operator="between">
      <formula>0.2551</formula>
      <formula>0.3751</formula>
    </cfRule>
    <cfRule type="cellIs" dxfId="7479" priority="8883" operator="greaterThan">
      <formula>0.505</formula>
    </cfRule>
    <cfRule type="cellIs" dxfId="7478" priority="8884" operator="between">
      <formula>0.48</formula>
      <formula>0.5</formula>
    </cfRule>
    <cfRule type="cellIs" dxfId="7477" priority="8885" stopIfTrue="1" operator="between">
      <formula>0</formula>
      <formula>0.255</formula>
    </cfRule>
  </conditionalFormatting>
  <conditionalFormatting sqref="S308">
    <cfRule type="cellIs" dxfId="7476" priority="8868" operator="between">
      <formula>0.76</formula>
      <formula>0.95</formula>
    </cfRule>
    <cfRule type="cellIs" dxfId="7475" priority="8869" operator="between">
      <formula>0.51</formula>
      <formula>0.75</formula>
    </cfRule>
    <cfRule type="cellIs" dxfId="7474" priority="8870" operator="greaterThan">
      <formula>1</formula>
    </cfRule>
    <cfRule type="cellIs" dxfId="7473" priority="8871" operator="between">
      <formula>0.95</formula>
      <formula>1</formula>
    </cfRule>
    <cfRule type="cellIs" dxfId="7472" priority="8872" stopIfTrue="1" operator="between">
      <formula>0</formula>
      <formula>0.5</formula>
    </cfRule>
  </conditionalFormatting>
  <conditionalFormatting sqref="V308">
    <cfRule type="cellIs" dxfId="7471" priority="8863" operator="between">
      <formula>0.376</formula>
      <formula>0.475</formula>
    </cfRule>
    <cfRule type="cellIs" dxfId="7470" priority="8864" operator="between">
      <formula>0.2551</formula>
      <formula>0.3751</formula>
    </cfRule>
    <cfRule type="cellIs" dxfId="7469" priority="8865" operator="greaterThan">
      <formula>0.505</formula>
    </cfRule>
    <cfRule type="cellIs" dxfId="7468" priority="8866" operator="between">
      <formula>0.48</formula>
      <formula>0.5</formula>
    </cfRule>
    <cfRule type="cellIs" dxfId="7467" priority="8867" stopIfTrue="1" operator="between">
      <formula>0</formula>
      <formula>0.255</formula>
    </cfRule>
  </conditionalFormatting>
  <conditionalFormatting sqref="AC308">
    <cfRule type="cellIs" dxfId="7466" priority="8858" operator="between">
      <formula>0.56251</formula>
      <formula>0.7125</formula>
    </cfRule>
    <cfRule type="cellIs" dxfId="7465" priority="8859" operator="between">
      <formula>0.3751</formula>
      <formula>0.5625</formula>
    </cfRule>
    <cfRule type="cellIs" dxfId="7464" priority="8860" operator="greaterThan">
      <formula>0.751</formula>
    </cfRule>
    <cfRule type="cellIs" dxfId="7463" priority="8861" operator="between">
      <formula>0.71251</formula>
      <formula>0.75</formula>
    </cfRule>
    <cfRule type="cellIs" dxfId="7462" priority="8862" stopIfTrue="1" operator="between">
      <formula>0</formula>
      <formula>0.375</formula>
    </cfRule>
  </conditionalFormatting>
  <conditionalFormatting sqref="AG308">
    <cfRule type="cellIs" dxfId="7461" priority="8853" operator="between">
      <formula>0.76</formula>
      <formula>0.95</formula>
    </cfRule>
    <cfRule type="cellIs" dxfId="7460" priority="8854" operator="between">
      <formula>0.51</formula>
      <formula>0.75</formula>
    </cfRule>
    <cfRule type="cellIs" dxfId="7459" priority="8855" operator="greaterThan">
      <formula>1</formula>
    </cfRule>
    <cfRule type="cellIs" dxfId="7458" priority="8856" operator="between">
      <formula>0.95</formula>
      <formula>1</formula>
    </cfRule>
    <cfRule type="cellIs" dxfId="7457" priority="8857" stopIfTrue="1" operator="between">
      <formula>0</formula>
      <formula>0.5</formula>
    </cfRule>
  </conditionalFormatting>
  <conditionalFormatting sqref="Z308">
    <cfRule type="cellIs" dxfId="7456" priority="8848" operator="between">
      <formula>0.76</formula>
      <formula>0.95</formula>
    </cfRule>
    <cfRule type="cellIs" dxfId="7455" priority="8849" operator="between">
      <formula>0.51</formula>
      <formula>0.75</formula>
    </cfRule>
    <cfRule type="cellIs" dxfId="7454" priority="8850" operator="greaterThan">
      <formula>1</formula>
    </cfRule>
    <cfRule type="cellIs" dxfId="7453" priority="8851" operator="between">
      <formula>0.95</formula>
      <formula>1</formula>
    </cfRule>
    <cfRule type="cellIs" dxfId="7452" priority="8852" stopIfTrue="1" operator="between">
      <formula>0</formula>
      <formula>0.5</formula>
    </cfRule>
  </conditionalFormatting>
  <conditionalFormatting sqref="Y306 AF306 R306 AH306:AI306">
    <cfRule type="cellIs" dxfId="7451" priority="8838" operator="between">
      <formula>0.76</formula>
      <formula>0.95</formula>
    </cfRule>
    <cfRule type="cellIs" dxfId="7450" priority="8839" operator="between">
      <formula>0.51</formula>
      <formula>0.75</formula>
    </cfRule>
    <cfRule type="cellIs" dxfId="7449" priority="8840" operator="greaterThan">
      <formula>1</formula>
    </cfRule>
    <cfRule type="cellIs" dxfId="7448" priority="8841" operator="between">
      <formula>0.95</formula>
      <formula>1</formula>
    </cfRule>
    <cfRule type="cellIs" dxfId="7447" priority="8842" stopIfTrue="1" operator="between">
      <formula>0</formula>
      <formula>0.5</formula>
    </cfRule>
  </conditionalFormatting>
  <conditionalFormatting sqref="T306">
    <cfRule type="cellIs" dxfId="7446" priority="8833" operator="between">
      <formula>0.3751</formula>
      <formula>0.475</formula>
    </cfRule>
    <cfRule type="cellIs" dxfId="7445" priority="8834" operator="between">
      <formula>0.2551</formula>
      <formula>0.375</formula>
    </cfRule>
    <cfRule type="cellIs" dxfId="7444" priority="8835" operator="greaterThan">
      <formula>0.505</formula>
    </cfRule>
    <cfRule type="cellIs" dxfId="7443" priority="8836" operator="between">
      <formula>0.48</formula>
      <formula>0.5</formula>
    </cfRule>
    <cfRule type="cellIs" dxfId="7442" priority="8837" stopIfTrue="1" operator="between">
      <formula>0</formula>
      <formula>0.255</formula>
    </cfRule>
  </conditionalFormatting>
  <conditionalFormatting sqref="AA306:AB306">
    <cfRule type="cellIs" dxfId="7441" priority="8828" operator="between">
      <formula>0.56251</formula>
      <formula>0.7125</formula>
    </cfRule>
    <cfRule type="cellIs" dxfId="7440" priority="8829" operator="between">
      <formula>0.3751</formula>
      <formula>0.5625</formula>
    </cfRule>
    <cfRule type="cellIs" dxfId="7439" priority="8830" operator="greaterThan">
      <formula>0.751</formula>
    </cfRule>
    <cfRule type="cellIs" dxfId="7438" priority="8831" operator="between">
      <formula>0.71251</formula>
      <formula>0.75</formula>
    </cfRule>
    <cfRule type="cellIs" dxfId="7437" priority="8832" stopIfTrue="1" operator="between">
      <formula>0</formula>
      <formula>0.375</formula>
    </cfRule>
  </conditionalFormatting>
  <conditionalFormatting sqref="U306">
    <cfRule type="cellIs" dxfId="7436" priority="8818" operator="between">
      <formula>0.376</formula>
      <formula>0.475</formula>
    </cfRule>
    <cfRule type="cellIs" dxfId="7435" priority="8819" operator="between">
      <formula>0.2551</formula>
      <formula>0.3751</formula>
    </cfRule>
    <cfRule type="cellIs" dxfId="7434" priority="8820" operator="greaterThan">
      <formula>0.505</formula>
    </cfRule>
    <cfRule type="cellIs" dxfId="7433" priority="8821" operator="between">
      <formula>0.48</formula>
      <formula>0.5</formula>
    </cfRule>
    <cfRule type="cellIs" dxfId="7432" priority="8822" stopIfTrue="1" operator="between">
      <formula>0</formula>
      <formula>0.255</formula>
    </cfRule>
  </conditionalFormatting>
  <conditionalFormatting sqref="S306">
    <cfRule type="cellIs" dxfId="7431" priority="8805" operator="between">
      <formula>0.76</formula>
      <formula>0.95</formula>
    </cfRule>
    <cfRule type="cellIs" dxfId="7430" priority="8806" operator="between">
      <formula>0.51</formula>
      <formula>0.75</formula>
    </cfRule>
    <cfRule type="cellIs" dxfId="7429" priority="8807" operator="greaterThan">
      <formula>1</formula>
    </cfRule>
    <cfRule type="cellIs" dxfId="7428" priority="8808" operator="between">
      <formula>0.95</formula>
      <formula>1</formula>
    </cfRule>
    <cfRule type="cellIs" dxfId="7427" priority="8809" stopIfTrue="1" operator="between">
      <formula>0</formula>
      <formula>0.5</formula>
    </cfRule>
  </conditionalFormatting>
  <conditionalFormatting sqref="V306">
    <cfRule type="cellIs" dxfId="7426" priority="8800" operator="between">
      <formula>0.376</formula>
      <formula>0.475</formula>
    </cfRule>
    <cfRule type="cellIs" dxfId="7425" priority="8801" operator="between">
      <formula>0.2551</formula>
      <formula>0.3751</formula>
    </cfRule>
    <cfRule type="cellIs" dxfId="7424" priority="8802" operator="greaterThan">
      <formula>0.505</formula>
    </cfRule>
    <cfRule type="cellIs" dxfId="7423" priority="8803" operator="between">
      <formula>0.48</formula>
      <formula>0.5</formula>
    </cfRule>
    <cfRule type="cellIs" dxfId="7422" priority="8804" stopIfTrue="1" operator="between">
      <formula>0</formula>
      <formula>0.255</formula>
    </cfRule>
  </conditionalFormatting>
  <conditionalFormatting sqref="AC306">
    <cfRule type="cellIs" dxfId="7421" priority="8795" operator="between">
      <formula>0.56251</formula>
      <formula>0.7125</formula>
    </cfRule>
    <cfRule type="cellIs" dxfId="7420" priority="8796" operator="between">
      <formula>0.3751</formula>
      <formula>0.5625</formula>
    </cfRule>
    <cfRule type="cellIs" dxfId="7419" priority="8797" operator="greaterThan">
      <formula>0.751</formula>
    </cfRule>
    <cfRule type="cellIs" dxfId="7418" priority="8798" operator="between">
      <formula>0.71251</formula>
      <formula>0.75</formula>
    </cfRule>
    <cfRule type="cellIs" dxfId="7417" priority="8799" stopIfTrue="1" operator="between">
      <formula>0</formula>
      <formula>0.375</formula>
    </cfRule>
  </conditionalFormatting>
  <conditionalFormatting sqref="AG306">
    <cfRule type="cellIs" dxfId="7416" priority="8790" operator="between">
      <formula>0.76</formula>
      <formula>0.95</formula>
    </cfRule>
    <cfRule type="cellIs" dxfId="7415" priority="8791" operator="between">
      <formula>0.51</formula>
      <formula>0.75</formula>
    </cfRule>
    <cfRule type="cellIs" dxfId="7414" priority="8792" operator="greaterThan">
      <formula>1</formula>
    </cfRule>
    <cfRule type="cellIs" dxfId="7413" priority="8793" operator="between">
      <formula>0.95</formula>
      <formula>1</formula>
    </cfRule>
    <cfRule type="cellIs" dxfId="7412" priority="8794" stopIfTrue="1" operator="between">
      <formula>0</formula>
      <formula>0.5</formula>
    </cfRule>
  </conditionalFormatting>
  <conditionalFormatting sqref="Z306">
    <cfRule type="cellIs" dxfId="7411" priority="8785" operator="between">
      <formula>0.76</formula>
      <formula>0.95</formula>
    </cfRule>
    <cfRule type="cellIs" dxfId="7410" priority="8786" operator="between">
      <formula>0.51</formula>
      <formula>0.75</formula>
    </cfRule>
    <cfRule type="cellIs" dxfId="7409" priority="8787" operator="greaterThan">
      <formula>1</formula>
    </cfRule>
    <cfRule type="cellIs" dxfId="7408" priority="8788" operator="between">
      <formula>0.95</formula>
      <formula>1</formula>
    </cfRule>
    <cfRule type="cellIs" dxfId="7407" priority="8789" stopIfTrue="1" operator="between">
      <formula>0</formula>
      <formula>0.5</formula>
    </cfRule>
  </conditionalFormatting>
  <conditionalFormatting sqref="AH132">
    <cfRule type="cellIs" dxfId="7406" priority="8735" operator="between">
      <formula>0.76</formula>
      <formula>0.95</formula>
    </cfRule>
    <cfRule type="cellIs" dxfId="7405" priority="8736" operator="between">
      <formula>0.51</formula>
      <formula>0.75</formula>
    </cfRule>
    <cfRule type="cellIs" dxfId="7404" priority="8737" operator="greaterThan">
      <formula>1</formula>
    </cfRule>
    <cfRule type="cellIs" dxfId="7403" priority="8738" operator="between">
      <formula>0.95</formula>
      <formula>1</formula>
    </cfRule>
    <cfRule type="cellIs" dxfId="7402" priority="8739" stopIfTrue="1" operator="between">
      <formula>0</formula>
      <formula>0.5</formula>
    </cfRule>
  </conditionalFormatting>
  <conditionalFormatting sqref="M208">
    <cfRule type="cellIs" dxfId="7401" priority="7113" operator="between">
      <formula>0.1876</formula>
      <formula>0.2375</formula>
    </cfRule>
    <cfRule type="cellIs" dxfId="7400" priority="7114" operator="between">
      <formula>0.1251</formula>
      <formula>0.1875</formula>
    </cfRule>
    <cfRule type="cellIs" dxfId="7399" priority="7115" operator="greaterThan">
      <formula>0.25</formula>
    </cfRule>
    <cfRule type="cellIs" dxfId="7398" priority="7116" operator="between">
      <formula>0.2376</formula>
      <formula>0.25</formula>
    </cfRule>
    <cfRule type="cellIs" dxfId="7397" priority="7117" stopIfTrue="1" operator="between">
      <formula>0</formula>
      <formula>0.125</formula>
    </cfRule>
  </conditionalFormatting>
  <conditionalFormatting sqref="N208">
    <cfRule type="cellIs" dxfId="7396" priority="7108" operator="between">
      <formula>0.191</formula>
      <formula>0.24</formula>
    </cfRule>
    <cfRule type="cellIs" dxfId="7395" priority="7109" operator="between">
      <formula>0.1251</formula>
      <formula>0.19</formula>
    </cfRule>
    <cfRule type="cellIs" dxfId="7394" priority="7110" operator="greaterThan">
      <formula>0.2601</formula>
    </cfRule>
    <cfRule type="cellIs" dxfId="7393" priority="7111" operator="between">
      <formula>0.2401</formula>
      <formula>0.26</formula>
    </cfRule>
    <cfRule type="cellIs" dxfId="7392" priority="7112" stopIfTrue="1" operator="between">
      <formula>0</formula>
      <formula>0.125</formula>
    </cfRule>
  </conditionalFormatting>
  <conditionalFormatting sqref="S132">
    <cfRule type="cellIs" dxfId="7391" priority="7103" operator="between">
      <formula>0.76</formula>
      <formula>0.95</formula>
    </cfRule>
    <cfRule type="cellIs" dxfId="7390" priority="7104" operator="between">
      <formula>0.51</formula>
      <formula>0.75</formula>
    </cfRule>
    <cfRule type="cellIs" dxfId="7389" priority="7105" operator="greaterThan">
      <formula>1</formula>
    </cfRule>
    <cfRule type="cellIs" dxfId="7388" priority="7106" operator="between">
      <formula>0.95</formula>
      <formula>1</formula>
    </cfRule>
    <cfRule type="cellIs" dxfId="7387" priority="7107" stopIfTrue="1" operator="between">
      <formula>0</formula>
      <formula>0.5</formula>
    </cfRule>
  </conditionalFormatting>
  <conditionalFormatting sqref="Z132">
    <cfRule type="cellIs" dxfId="7386" priority="7093" operator="between">
      <formula>0.76</formula>
      <formula>0.95</formula>
    </cfRule>
    <cfRule type="cellIs" dxfId="7385" priority="7094" operator="between">
      <formula>0.51</formula>
      <formula>0.75</formula>
    </cfRule>
    <cfRule type="cellIs" dxfId="7384" priority="7095" operator="greaterThan">
      <formula>1</formula>
    </cfRule>
    <cfRule type="cellIs" dxfId="7383" priority="7096" operator="between">
      <formula>0.95</formula>
      <formula>1</formula>
    </cfRule>
    <cfRule type="cellIs" dxfId="7382" priority="7097" stopIfTrue="1" operator="between">
      <formula>0</formula>
      <formula>0.5</formula>
    </cfRule>
  </conditionalFormatting>
  <conditionalFormatting sqref="AG132">
    <cfRule type="cellIs" dxfId="7381" priority="7083" operator="between">
      <formula>0.76</formula>
      <formula>0.95</formula>
    </cfRule>
    <cfRule type="cellIs" dxfId="7380" priority="7084" operator="between">
      <formula>0.51</formula>
      <formula>0.75</formula>
    </cfRule>
    <cfRule type="cellIs" dxfId="7379" priority="7085" operator="greaterThan">
      <formula>1</formula>
    </cfRule>
    <cfRule type="cellIs" dxfId="7378" priority="7086" operator="between">
      <formula>0.95</formula>
      <formula>1</formula>
    </cfRule>
    <cfRule type="cellIs" dxfId="7377" priority="7087" stopIfTrue="1" operator="between">
      <formula>0</formula>
      <formula>0.5</formula>
    </cfRule>
  </conditionalFormatting>
  <conditionalFormatting sqref="S208">
    <cfRule type="cellIs" dxfId="7376" priority="7078" operator="between">
      <formula>0.76</formula>
      <formula>0.95</formula>
    </cfRule>
    <cfRule type="cellIs" dxfId="7375" priority="7079" operator="between">
      <formula>0.51</formula>
      <formula>0.75</formula>
    </cfRule>
    <cfRule type="cellIs" dxfId="7374" priority="7080" operator="greaterThan">
      <formula>1</formula>
    </cfRule>
    <cfRule type="cellIs" dxfId="7373" priority="7081" operator="between">
      <formula>0.95</formula>
      <formula>1</formula>
    </cfRule>
    <cfRule type="cellIs" dxfId="7372" priority="7082" stopIfTrue="1" operator="between">
      <formula>0</formula>
      <formula>0.5</formula>
    </cfRule>
  </conditionalFormatting>
  <conditionalFormatting sqref="Z208">
    <cfRule type="cellIs" dxfId="7371" priority="7063" operator="between">
      <formula>0.76</formula>
      <formula>0.95</formula>
    </cfRule>
    <cfRule type="cellIs" dxfId="7370" priority="7064" operator="between">
      <formula>0.51</formula>
      <formula>0.75</formula>
    </cfRule>
    <cfRule type="cellIs" dxfId="7369" priority="7065" operator="greaterThan">
      <formula>1</formula>
    </cfRule>
    <cfRule type="cellIs" dxfId="7368" priority="7066" operator="between">
      <formula>0.95</formula>
      <formula>1</formula>
    </cfRule>
    <cfRule type="cellIs" dxfId="7367" priority="7067" stopIfTrue="1" operator="between">
      <formula>0</formula>
      <formula>0.5</formula>
    </cfRule>
  </conditionalFormatting>
  <conditionalFormatting sqref="AG208">
    <cfRule type="cellIs" dxfId="7366" priority="7048" operator="between">
      <formula>0.76</formula>
      <formula>0.95</formula>
    </cfRule>
    <cfRule type="cellIs" dxfId="7365" priority="7049" operator="between">
      <formula>0.51</formula>
      <formula>0.75</formula>
    </cfRule>
    <cfRule type="cellIs" dxfId="7364" priority="7050" operator="greaterThan">
      <formula>1</formula>
    </cfRule>
    <cfRule type="cellIs" dxfId="7363" priority="7051" operator="between">
      <formula>0.95</formula>
      <formula>1</formula>
    </cfRule>
    <cfRule type="cellIs" dxfId="7362" priority="7052" stopIfTrue="1" operator="between">
      <formula>0</formula>
      <formula>0.5</formula>
    </cfRule>
  </conditionalFormatting>
  <conditionalFormatting sqref="AH208">
    <cfRule type="cellIs" dxfId="7361" priority="7043" operator="between">
      <formula>0.76</formula>
      <formula>0.95</formula>
    </cfRule>
    <cfRule type="cellIs" dxfId="7360" priority="7044" operator="between">
      <formula>0.51</formula>
      <formula>0.75</formula>
    </cfRule>
    <cfRule type="cellIs" dxfId="7359" priority="7045" operator="greaterThan">
      <formula>1</formula>
    </cfRule>
    <cfRule type="cellIs" dxfId="7358" priority="7046" operator="between">
      <formula>0.95</formula>
      <formula>1</formula>
    </cfRule>
    <cfRule type="cellIs" dxfId="7357" priority="7047" stopIfTrue="1" operator="between">
      <formula>0</formula>
      <formula>0.5</formula>
    </cfRule>
  </conditionalFormatting>
  <conditionalFormatting sqref="M309">
    <cfRule type="cellIs" dxfId="7356" priority="6953" operator="between">
      <formula>0.1876</formula>
      <formula>0.2375</formula>
    </cfRule>
    <cfRule type="cellIs" dxfId="7355" priority="6954" operator="between">
      <formula>0.1251</formula>
      <formula>0.1875</formula>
    </cfRule>
    <cfRule type="cellIs" dxfId="7354" priority="6955" operator="greaterThan">
      <formula>0.25</formula>
    </cfRule>
    <cfRule type="cellIs" dxfId="7353" priority="6956" operator="between">
      <formula>0.2376</formula>
      <formula>0.25</formula>
    </cfRule>
    <cfRule type="cellIs" dxfId="7352" priority="6957" stopIfTrue="1" operator="between">
      <formula>0</formula>
      <formula>0.125</formula>
    </cfRule>
  </conditionalFormatting>
  <conditionalFormatting sqref="AH366:AH368">
    <cfRule type="cellIs" dxfId="7351" priority="6598" operator="between">
      <formula>0.76</formula>
      <formula>0.95</formula>
    </cfRule>
    <cfRule type="cellIs" dxfId="7350" priority="6599" operator="between">
      <formula>0.51</formula>
      <formula>0.75</formula>
    </cfRule>
    <cfRule type="cellIs" dxfId="7349" priority="6600" operator="greaterThan">
      <formula>1</formula>
    </cfRule>
    <cfRule type="cellIs" dxfId="7348" priority="6601" operator="between">
      <formula>0.95</formula>
      <formula>1</formula>
    </cfRule>
    <cfRule type="cellIs" dxfId="7347" priority="6602" stopIfTrue="1" operator="between">
      <formula>0</formula>
      <formula>0.5</formula>
    </cfRule>
  </conditionalFormatting>
  <conditionalFormatting sqref="R309">
    <cfRule type="cellIs" dxfId="7346" priority="6933" operator="between">
      <formula>0.76</formula>
      <formula>0.95</formula>
    </cfRule>
    <cfRule type="cellIs" dxfId="7345" priority="6934" operator="between">
      <formula>0.51</formula>
      <formula>0.75</formula>
    </cfRule>
    <cfRule type="cellIs" dxfId="7344" priority="6935" operator="greaterThan">
      <formula>1</formula>
    </cfRule>
    <cfRule type="cellIs" dxfId="7343" priority="6936" operator="between">
      <formula>0.95</formula>
      <formula>1</formula>
    </cfRule>
    <cfRule type="cellIs" dxfId="7342" priority="6937" stopIfTrue="1" operator="between">
      <formula>0</formula>
      <formula>0.5</formula>
    </cfRule>
  </conditionalFormatting>
  <conditionalFormatting sqref="S309">
    <cfRule type="cellIs" dxfId="7341" priority="6928" operator="between">
      <formula>0.76</formula>
      <formula>0.95</formula>
    </cfRule>
    <cfRule type="cellIs" dxfId="7340" priority="6929" operator="between">
      <formula>0.51</formula>
      <formula>0.75</formula>
    </cfRule>
    <cfRule type="cellIs" dxfId="7339" priority="6930" operator="greaterThan">
      <formula>1</formula>
    </cfRule>
    <cfRule type="cellIs" dxfId="7338" priority="6931" operator="between">
      <formula>0.95</formula>
      <formula>1</formula>
    </cfRule>
    <cfRule type="cellIs" dxfId="7337" priority="6932" stopIfTrue="1" operator="between">
      <formula>0</formula>
      <formula>0.5</formula>
    </cfRule>
  </conditionalFormatting>
  <conditionalFormatting sqref="Y309">
    <cfRule type="cellIs" dxfId="7336" priority="6913" operator="between">
      <formula>0.76</formula>
      <formula>0.95</formula>
    </cfRule>
    <cfRule type="cellIs" dxfId="7335" priority="6914" operator="between">
      <formula>0.51</formula>
      <formula>0.75</formula>
    </cfRule>
    <cfRule type="cellIs" dxfId="7334" priority="6915" operator="greaterThan">
      <formula>1</formula>
    </cfRule>
    <cfRule type="cellIs" dxfId="7333" priority="6916" operator="between">
      <formula>0.95</formula>
      <formula>1</formula>
    </cfRule>
    <cfRule type="cellIs" dxfId="7332" priority="6917" stopIfTrue="1" operator="between">
      <formula>0</formula>
      <formula>0.5</formula>
    </cfRule>
  </conditionalFormatting>
  <conditionalFormatting sqref="Z309">
    <cfRule type="cellIs" dxfId="7331" priority="6908" operator="between">
      <formula>0.76</formula>
      <formula>0.95</formula>
    </cfRule>
    <cfRule type="cellIs" dxfId="7330" priority="6909" operator="between">
      <formula>0.51</formula>
      <formula>0.75</formula>
    </cfRule>
    <cfRule type="cellIs" dxfId="7329" priority="6910" operator="greaterThan">
      <formula>1</formula>
    </cfRule>
    <cfRule type="cellIs" dxfId="7328" priority="6911" operator="between">
      <formula>0.95</formula>
      <formula>1</formula>
    </cfRule>
    <cfRule type="cellIs" dxfId="7327" priority="6912" stopIfTrue="1" operator="between">
      <formula>0</formula>
      <formula>0.5</formula>
    </cfRule>
  </conditionalFormatting>
  <conditionalFormatting sqref="AF309">
    <cfRule type="cellIs" dxfId="7326" priority="6893" operator="between">
      <formula>0.76</formula>
      <formula>0.95</formula>
    </cfRule>
    <cfRule type="cellIs" dxfId="7325" priority="6894" operator="between">
      <formula>0.51</formula>
      <formula>0.75</formula>
    </cfRule>
    <cfRule type="cellIs" dxfId="7324" priority="6895" operator="greaterThan">
      <formula>1</formula>
    </cfRule>
    <cfRule type="cellIs" dxfId="7323" priority="6896" operator="between">
      <formula>0.95</formula>
      <formula>1</formula>
    </cfRule>
    <cfRule type="cellIs" dxfId="7322" priority="6897" stopIfTrue="1" operator="between">
      <formula>0</formula>
      <formula>0.5</formula>
    </cfRule>
  </conditionalFormatting>
  <conditionalFormatting sqref="AG309">
    <cfRule type="cellIs" dxfId="7321" priority="6888" operator="between">
      <formula>0.76</formula>
      <formula>0.95</formula>
    </cfRule>
    <cfRule type="cellIs" dxfId="7320" priority="6889" operator="between">
      <formula>0.51</formula>
      <formula>0.75</formula>
    </cfRule>
    <cfRule type="cellIs" dxfId="7319" priority="6890" operator="greaterThan">
      <formula>1</formula>
    </cfRule>
    <cfRule type="cellIs" dxfId="7318" priority="6891" operator="between">
      <formula>0.95</formula>
      <formula>1</formula>
    </cfRule>
    <cfRule type="cellIs" dxfId="7317" priority="6892" stopIfTrue="1" operator="between">
      <formula>0</formula>
      <formula>0.5</formula>
    </cfRule>
  </conditionalFormatting>
  <conditionalFormatting sqref="AH309">
    <cfRule type="cellIs" dxfId="7316" priority="6883" operator="between">
      <formula>0.76</formula>
      <formula>0.95</formula>
    </cfRule>
    <cfRule type="cellIs" dxfId="7315" priority="6884" operator="between">
      <formula>0.51</formula>
      <formula>0.75</formula>
    </cfRule>
    <cfRule type="cellIs" dxfId="7314" priority="6885" operator="greaterThan">
      <formula>1</formula>
    </cfRule>
    <cfRule type="cellIs" dxfId="7313" priority="6886" operator="between">
      <formula>0.95</formula>
      <formula>1</formula>
    </cfRule>
    <cfRule type="cellIs" dxfId="7312" priority="6887" stopIfTrue="1" operator="between">
      <formula>0</formula>
      <formula>0.5</formula>
    </cfRule>
  </conditionalFormatting>
  <conditionalFormatting sqref="M365">
    <cfRule type="cellIs" dxfId="7311" priority="6873" operator="between">
      <formula>0.1876</formula>
      <formula>0.2375</formula>
    </cfRule>
    <cfRule type="cellIs" dxfId="7310" priority="6874" operator="between">
      <formula>0.1251</formula>
      <formula>0.1875</formula>
    </cfRule>
    <cfRule type="cellIs" dxfId="7309" priority="6875" operator="greaterThan">
      <formula>0.25</formula>
    </cfRule>
    <cfRule type="cellIs" dxfId="7308" priority="6876" operator="between">
      <formula>0.2376</formula>
      <formula>0.25</formula>
    </cfRule>
    <cfRule type="cellIs" dxfId="7307" priority="6877" stopIfTrue="1" operator="between">
      <formula>0</formula>
      <formula>0.25</formula>
    </cfRule>
  </conditionalFormatting>
  <conditionalFormatting sqref="R365">
    <cfRule type="cellIs" dxfId="7306" priority="6863" operator="between">
      <formula>0.76</formula>
      <formula>0.95</formula>
    </cfRule>
    <cfRule type="cellIs" dxfId="7305" priority="6864" operator="between">
      <formula>0.51</formula>
      <formula>0.75</formula>
    </cfRule>
    <cfRule type="cellIs" dxfId="7304" priority="6865" operator="greaterThan">
      <formula>1</formula>
    </cfRule>
    <cfRule type="cellIs" dxfId="7303" priority="6866" operator="between">
      <formula>0.95</formula>
      <formula>1</formula>
    </cfRule>
    <cfRule type="cellIs" dxfId="7302" priority="6867" stopIfTrue="1" operator="between">
      <formula>0</formula>
      <formula>0.5</formula>
    </cfRule>
  </conditionalFormatting>
  <conditionalFormatting sqref="S365">
    <cfRule type="cellIs" dxfId="7301" priority="6858" operator="between">
      <formula>0.76</formula>
      <formula>0.95</formula>
    </cfRule>
    <cfRule type="cellIs" dxfId="7300" priority="6859" operator="between">
      <formula>0.51</formula>
      <formula>0.75</formula>
    </cfRule>
    <cfRule type="cellIs" dxfId="7299" priority="6860" operator="greaterThan">
      <formula>1</formula>
    </cfRule>
    <cfRule type="cellIs" dxfId="7298" priority="6861" operator="between">
      <formula>0.95</formula>
      <formula>1</formula>
    </cfRule>
    <cfRule type="cellIs" dxfId="7297" priority="6862" stopIfTrue="1" operator="between">
      <formula>0</formula>
      <formula>0.5</formula>
    </cfRule>
  </conditionalFormatting>
  <conditionalFormatting sqref="Y365">
    <cfRule type="cellIs" dxfId="7296" priority="6843" operator="between">
      <formula>0.76</formula>
      <formula>0.95</formula>
    </cfRule>
    <cfRule type="cellIs" dxfId="7295" priority="6844" operator="between">
      <formula>0.51</formula>
      <formula>0.75</formula>
    </cfRule>
    <cfRule type="cellIs" dxfId="7294" priority="6845" operator="greaterThan">
      <formula>1</formula>
    </cfRule>
    <cfRule type="cellIs" dxfId="7293" priority="6846" operator="between">
      <formula>0.95</formula>
      <formula>1</formula>
    </cfRule>
    <cfRule type="cellIs" dxfId="7292" priority="6847" stopIfTrue="1" operator="between">
      <formula>0</formula>
      <formula>0.5</formula>
    </cfRule>
  </conditionalFormatting>
  <conditionalFormatting sqref="Z365">
    <cfRule type="cellIs" dxfId="7291" priority="6838" operator="between">
      <formula>0.76</formula>
      <formula>0.95</formula>
    </cfRule>
    <cfRule type="cellIs" dxfId="7290" priority="6839" operator="between">
      <formula>0.51</formula>
      <formula>0.75</formula>
    </cfRule>
    <cfRule type="cellIs" dxfId="7289" priority="6840" operator="greaterThan">
      <formula>1</formula>
    </cfRule>
    <cfRule type="cellIs" dxfId="7288" priority="6841" operator="between">
      <formula>0.95</formula>
      <formula>1</formula>
    </cfRule>
    <cfRule type="cellIs" dxfId="7287" priority="6842" stopIfTrue="1" operator="between">
      <formula>0</formula>
      <formula>0.5</formula>
    </cfRule>
  </conditionalFormatting>
  <conditionalFormatting sqref="AF365">
    <cfRule type="cellIs" dxfId="7286" priority="6823" operator="between">
      <formula>0.76</formula>
      <formula>0.95</formula>
    </cfRule>
    <cfRule type="cellIs" dxfId="7285" priority="6824" operator="between">
      <formula>0.51</formula>
      <formula>0.75</formula>
    </cfRule>
    <cfRule type="cellIs" dxfId="7284" priority="6825" operator="greaterThan">
      <formula>1</formula>
    </cfRule>
    <cfRule type="cellIs" dxfId="7283" priority="6826" operator="between">
      <formula>0.95</formula>
      <formula>1</formula>
    </cfRule>
    <cfRule type="cellIs" dxfId="7282" priority="6827" stopIfTrue="1" operator="between">
      <formula>0</formula>
      <formula>0.5</formula>
    </cfRule>
  </conditionalFormatting>
  <conditionalFormatting sqref="AG365">
    <cfRule type="cellIs" dxfId="7281" priority="6818" operator="between">
      <formula>0.76</formula>
      <formula>0.95</formula>
    </cfRule>
    <cfRule type="cellIs" dxfId="7280" priority="6819" operator="between">
      <formula>0.51</formula>
      <formula>0.75</formula>
    </cfRule>
    <cfRule type="cellIs" dxfId="7279" priority="6820" operator="greaterThan">
      <formula>1</formula>
    </cfRule>
    <cfRule type="cellIs" dxfId="7278" priority="6821" operator="between">
      <formula>0.95</formula>
      <formula>1</formula>
    </cfRule>
    <cfRule type="cellIs" dxfId="7277" priority="6822" stopIfTrue="1" operator="between">
      <formula>0</formula>
      <formula>0.5</formula>
    </cfRule>
  </conditionalFormatting>
  <conditionalFormatting sqref="AH365">
    <cfRule type="cellIs" dxfId="7276" priority="6813" operator="between">
      <formula>0.76</formula>
      <formula>0.95</formula>
    </cfRule>
    <cfRule type="cellIs" dxfId="7275" priority="6814" operator="between">
      <formula>0.51</formula>
      <formula>0.75</formula>
    </cfRule>
    <cfRule type="cellIs" dxfId="7274" priority="6815" operator="greaterThan">
      <formula>1</formula>
    </cfRule>
    <cfRule type="cellIs" dxfId="7273" priority="6816" operator="between">
      <formula>0.95</formula>
      <formula>1</formula>
    </cfRule>
    <cfRule type="cellIs" dxfId="7272" priority="6817" stopIfTrue="1" operator="between">
      <formula>0</formula>
      <formula>0.5</formula>
    </cfRule>
  </conditionalFormatting>
  <conditionalFormatting sqref="AI132">
    <cfRule type="cellIs" dxfId="7271" priority="6583" operator="between">
      <formula>0.76</formula>
      <formula>0.95</formula>
    </cfRule>
    <cfRule type="cellIs" dxfId="7270" priority="6584" operator="between">
      <formula>0.51</formula>
      <formula>0.75</formula>
    </cfRule>
    <cfRule type="cellIs" dxfId="7269" priority="6585" operator="greaterThan">
      <formula>1</formula>
    </cfRule>
    <cfRule type="cellIs" dxfId="7268" priority="6586" operator="between">
      <formula>0.95</formula>
      <formula>1</formula>
    </cfRule>
    <cfRule type="cellIs" dxfId="7267" priority="6587" stopIfTrue="1" operator="between">
      <formula>0</formula>
      <formula>0.5</formula>
    </cfRule>
  </conditionalFormatting>
  <conditionalFormatting sqref="Y366:Y368">
    <cfRule type="cellIs" dxfId="7266" priority="6653" operator="between">
      <formula>0.76</formula>
      <formula>0.95</formula>
    </cfRule>
    <cfRule type="cellIs" dxfId="7265" priority="6654" operator="between">
      <formula>0.51</formula>
      <formula>0.75</formula>
    </cfRule>
    <cfRule type="cellIs" dxfId="7264" priority="6655" operator="greaterThan">
      <formula>1</formula>
    </cfRule>
    <cfRule type="cellIs" dxfId="7263" priority="6656" operator="between">
      <formula>0.95</formula>
      <formula>1</formula>
    </cfRule>
    <cfRule type="cellIs" dxfId="7262" priority="6657" stopIfTrue="1" operator="between">
      <formula>0</formula>
      <formula>0.5</formula>
    </cfRule>
  </conditionalFormatting>
  <conditionalFormatting sqref="AI309">
    <cfRule type="cellIs" dxfId="7261" priority="6543" operator="between">
      <formula>0.76</formula>
      <formula>0.95</formula>
    </cfRule>
    <cfRule type="cellIs" dxfId="7260" priority="6544" operator="between">
      <formula>0.51</formula>
      <formula>0.75</formula>
    </cfRule>
    <cfRule type="cellIs" dxfId="7259" priority="6545" operator="greaterThan">
      <formula>1</formula>
    </cfRule>
    <cfRule type="cellIs" dxfId="7258" priority="6546" operator="between">
      <formula>0.95</formula>
      <formula>1</formula>
    </cfRule>
    <cfRule type="cellIs" dxfId="7257" priority="6547" stopIfTrue="1" operator="between">
      <formula>0</formula>
      <formula>0.5</formula>
    </cfRule>
  </conditionalFormatting>
  <conditionalFormatting sqref="AI366:AI368">
    <cfRule type="cellIs" dxfId="7256" priority="6613" operator="between">
      <formula>0.76</formula>
      <formula>0.95</formula>
    </cfRule>
    <cfRule type="cellIs" dxfId="7255" priority="6614" operator="between">
      <formula>0.51</formula>
      <formula>0.75</formula>
    </cfRule>
    <cfRule type="cellIs" dxfId="7254" priority="6615" operator="greaterThan">
      <formula>1</formula>
    </cfRule>
    <cfRule type="cellIs" dxfId="7253" priority="6616" operator="between">
      <formula>0.95</formula>
      <formula>1</formula>
    </cfRule>
    <cfRule type="cellIs" dxfId="7252" priority="6617" stopIfTrue="1" operator="between">
      <formula>0</formula>
      <formula>0.5</formula>
    </cfRule>
  </conditionalFormatting>
  <conditionalFormatting sqref="AF366:AF368">
    <cfRule type="cellIs" dxfId="7251" priority="6608" operator="between">
      <formula>0.76</formula>
      <formula>0.95</formula>
    </cfRule>
    <cfRule type="cellIs" dxfId="7250" priority="6609" operator="between">
      <formula>0.51</formula>
      <formula>0.75</formula>
    </cfRule>
    <cfRule type="cellIs" dxfId="7249" priority="6610" operator="greaterThan">
      <formula>1</formula>
    </cfRule>
    <cfRule type="cellIs" dxfId="7248" priority="6611" operator="between">
      <formula>0.95</formula>
      <formula>1</formula>
    </cfRule>
    <cfRule type="cellIs" dxfId="7247" priority="6612" stopIfTrue="1" operator="between">
      <formula>0</formula>
      <formula>0.5</formula>
    </cfRule>
  </conditionalFormatting>
  <conditionalFormatting sqref="AG366:AG368">
    <cfRule type="cellIs" dxfId="7246" priority="6603" operator="between">
      <formula>0.76</formula>
      <formula>0.95</formula>
    </cfRule>
    <cfRule type="cellIs" dxfId="7245" priority="6604" operator="between">
      <formula>0.51</formula>
      <formula>0.75</formula>
    </cfRule>
    <cfRule type="cellIs" dxfId="7244" priority="6605" operator="greaterThan">
      <formula>1</formula>
    </cfRule>
    <cfRule type="cellIs" dxfId="7243" priority="6606" operator="between">
      <formula>0.95</formula>
      <formula>1</formula>
    </cfRule>
    <cfRule type="cellIs" dxfId="7242" priority="6607" stopIfTrue="1" operator="between">
      <formula>0</formula>
      <formula>0.5</formula>
    </cfRule>
  </conditionalFormatting>
  <conditionalFormatting sqref="V366">
    <cfRule type="cellIs" dxfId="7241" priority="6733" operator="between">
      <formula>0.376</formula>
      <formula>0.475</formula>
    </cfRule>
    <cfRule type="cellIs" dxfId="7240" priority="6734" operator="between">
      <formula>0.2551</formula>
      <formula>0.3751</formula>
    </cfRule>
    <cfRule type="cellIs" dxfId="7239" priority="6735" operator="greaterThan">
      <formula>0.505</formula>
    </cfRule>
    <cfRule type="cellIs" dxfId="7238" priority="6736" operator="between">
      <formula>0.48</formula>
      <formula>0.5</formula>
    </cfRule>
    <cfRule type="cellIs" dxfId="7237" priority="6737" stopIfTrue="1" operator="between">
      <formula>0</formula>
      <formula>0.255</formula>
    </cfRule>
  </conditionalFormatting>
  <conditionalFormatting sqref="R366:R368">
    <cfRule type="cellIs" dxfId="7236" priority="6728" operator="between">
      <formula>0.76</formula>
      <formula>0.95</formula>
    </cfRule>
    <cfRule type="cellIs" dxfId="7235" priority="6729" operator="between">
      <formula>0.51</formula>
      <formula>0.75</formula>
    </cfRule>
    <cfRule type="cellIs" dxfId="7234" priority="6730" operator="greaterThan">
      <formula>1</formula>
    </cfRule>
    <cfRule type="cellIs" dxfId="7233" priority="6731" operator="between">
      <formula>0.95</formula>
      <formula>1</formula>
    </cfRule>
    <cfRule type="cellIs" dxfId="7232" priority="6732" stopIfTrue="1" operator="between">
      <formula>0</formula>
      <formula>0.5</formula>
    </cfRule>
  </conditionalFormatting>
  <conditionalFormatting sqref="S366">
    <cfRule type="cellIs" dxfId="7231" priority="6723" operator="between">
      <formula>0.76</formula>
      <formula>0.95</formula>
    </cfRule>
    <cfRule type="cellIs" dxfId="7230" priority="6724" operator="between">
      <formula>0.51</formula>
      <formula>0.75</formula>
    </cfRule>
    <cfRule type="cellIs" dxfId="7229" priority="6725" operator="greaterThan">
      <formula>1</formula>
    </cfRule>
    <cfRule type="cellIs" dxfId="7228" priority="6726" operator="between">
      <formula>0.95</formula>
      <formula>1</formula>
    </cfRule>
    <cfRule type="cellIs" dxfId="7227" priority="6727" stopIfTrue="1" operator="between">
      <formula>0</formula>
      <formula>0.5</formula>
    </cfRule>
  </conditionalFormatting>
  <conditionalFormatting sqref="T366:T367">
    <cfRule type="cellIs" dxfId="7226" priority="6718" operator="between">
      <formula>0.37505</formula>
      <formula>0.475</formula>
    </cfRule>
    <cfRule type="cellIs" dxfId="7225" priority="6719" operator="between">
      <formula>0.2505</formula>
      <formula>0.375</formula>
    </cfRule>
    <cfRule type="cellIs" dxfId="7224" priority="6720" operator="greaterThan">
      <formula>0.505</formula>
    </cfRule>
    <cfRule type="cellIs" dxfId="7223" priority="6721" operator="between">
      <formula>0.47505</formula>
      <formula>0.5</formula>
    </cfRule>
    <cfRule type="cellIs" dxfId="7222" priority="6722" stopIfTrue="1" operator="between">
      <formula>0</formula>
      <formula>0.25</formula>
    </cfRule>
  </conditionalFormatting>
  <conditionalFormatting sqref="U366">
    <cfRule type="cellIs" dxfId="7221" priority="6713" operator="between">
      <formula>0.191</formula>
      <formula>0.24</formula>
    </cfRule>
    <cfRule type="cellIs" dxfId="7220" priority="6714" operator="between">
      <formula>0.1251</formula>
      <formula>0.19</formula>
    </cfRule>
    <cfRule type="cellIs" dxfId="7219" priority="6715" operator="greaterThan">
      <formula>0.2601</formula>
    </cfRule>
    <cfRule type="cellIs" dxfId="7218" priority="6716" operator="between">
      <formula>0.2401</formula>
      <formula>0.26</formula>
    </cfRule>
    <cfRule type="cellIs" dxfId="7217" priority="6717" stopIfTrue="1" operator="between">
      <formula>0</formula>
      <formula>0.125</formula>
    </cfRule>
  </conditionalFormatting>
  <conditionalFormatting sqref="AI365">
    <cfRule type="cellIs" dxfId="7216" priority="6528" operator="between">
      <formula>0.76</formula>
      <formula>0.95</formula>
    </cfRule>
    <cfRule type="cellIs" dxfId="7215" priority="6529" operator="between">
      <formula>0.51</formula>
      <formula>0.75</formula>
    </cfRule>
    <cfRule type="cellIs" dxfId="7214" priority="6530" operator="greaterThan">
      <formula>1</formula>
    </cfRule>
    <cfRule type="cellIs" dxfId="7213" priority="6531" operator="between">
      <formula>0.95</formula>
      <formula>1</formula>
    </cfRule>
    <cfRule type="cellIs" dxfId="7212" priority="6532" stopIfTrue="1" operator="between">
      <formula>0</formula>
      <formula>0.5</formula>
    </cfRule>
  </conditionalFormatting>
  <conditionalFormatting sqref="O208">
    <cfRule type="cellIs" dxfId="7211" priority="6578" operator="between">
      <formula>0.1876</formula>
      <formula>0.2375</formula>
    </cfRule>
    <cfRule type="cellIs" dxfId="7210" priority="6579" operator="between">
      <formula>0.1251</formula>
      <formula>0.1875</formula>
    </cfRule>
    <cfRule type="cellIs" dxfId="7209" priority="6580" operator="greaterThan">
      <formula>0.25</formula>
    </cfRule>
    <cfRule type="cellIs" dxfId="7208" priority="6581" operator="between">
      <formula>0.2376</formula>
      <formula>0.25</formula>
    </cfRule>
    <cfRule type="cellIs" dxfId="7207" priority="6582" stopIfTrue="1" operator="between">
      <formula>0</formula>
      <formula>0.125</formula>
    </cfRule>
  </conditionalFormatting>
  <conditionalFormatting sqref="Z366:Z368">
    <cfRule type="cellIs" dxfId="7206" priority="6648" operator="between">
      <formula>0.76</formula>
      <formula>0.95</formula>
    </cfRule>
    <cfRule type="cellIs" dxfId="7205" priority="6649" operator="between">
      <formula>0.51</formula>
      <formula>0.75</formula>
    </cfRule>
    <cfRule type="cellIs" dxfId="7204" priority="6650" operator="greaterThan">
      <formula>1</formula>
    </cfRule>
    <cfRule type="cellIs" dxfId="7203" priority="6651" operator="between">
      <formula>0.95</formula>
      <formula>1</formula>
    </cfRule>
    <cfRule type="cellIs" dxfId="7202" priority="6652" stopIfTrue="1" operator="between">
      <formula>0</formula>
      <formula>0.5</formula>
    </cfRule>
  </conditionalFormatting>
  <conditionalFormatting sqref="AI208">
    <cfRule type="cellIs" dxfId="7201" priority="6563" operator="between">
      <formula>0.76</formula>
      <formula>0.95</formula>
    </cfRule>
    <cfRule type="cellIs" dxfId="7200" priority="6564" operator="between">
      <formula>0.51</formula>
      <formula>0.75</formula>
    </cfRule>
    <cfRule type="cellIs" dxfId="7199" priority="6565" operator="greaterThan">
      <formula>1</formula>
    </cfRule>
    <cfRule type="cellIs" dxfId="7198" priority="6566" operator="between">
      <formula>0.95</formula>
      <formula>1</formula>
    </cfRule>
    <cfRule type="cellIs" dxfId="7197" priority="6567" stopIfTrue="1" operator="between">
      <formula>0</formula>
      <formula>0.5</formula>
    </cfRule>
  </conditionalFormatting>
  <conditionalFormatting sqref="R36">
    <cfRule type="cellIs" dxfId="7196" priority="6518" operator="between">
      <formula>0.76</formula>
      <formula>0.95</formula>
    </cfRule>
    <cfRule type="cellIs" dxfId="7195" priority="6519" operator="between">
      <formula>0.51</formula>
      <formula>0.75</formula>
    </cfRule>
    <cfRule type="cellIs" dxfId="7194" priority="6520" operator="greaterThan">
      <formula>1</formula>
    </cfRule>
    <cfRule type="cellIs" dxfId="7193" priority="6521" operator="between">
      <formula>0.95</formula>
      <formula>1</formula>
    </cfRule>
    <cfRule type="cellIs" dxfId="7192" priority="6522" stopIfTrue="1" operator="between">
      <formula>0</formula>
      <formula>0.5</formula>
    </cfRule>
  </conditionalFormatting>
  <conditionalFormatting sqref="T36">
    <cfRule type="cellIs" dxfId="7191" priority="6513" operator="between">
      <formula>0.3751</formula>
      <formula>0.475</formula>
    </cfRule>
    <cfRule type="cellIs" dxfId="7190" priority="6514" operator="between">
      <formula>0.2551</formula>
      <formula>0.375</formula>
    </cfRule>
    <cfRule type="cellIs" dxfId="7189" priority="6515" operator="greaterThan">
      <formula>0.505</formula>
    </cfRule>
    <cfRule type="cellIs" dxfId="7188" priority="6516" operator="between">
      <formula>0.48</formula>
      <formula>0.5</formula>
    </cfRule>
    <cfRule type="cellIs" dxfId="7187" priority="6517" stopIfTrue="1" operator="between">
      <formula>0</formula>
      <formula>0.255</formula>
    </cfRule>
  </conditionalFormatting>
  <conditionalFormatting sqref="Y36 AF36 AH36:AI36">
    <cfRule type="cellIs" dxfId="7186" priority="6500" operator="between">
      <formula>0.76</formula>
      <formula>0.95</formula>
    </cfRule>
    <cfRule type="cellIs" dxfId="7185" priority="6501" operator="between">
      <formula>0.51</formula>
      <formula>0.75</formula>
    </cfRule>
    <cfRule type="cellIs" dxfId="7184" priority="6502" operator="greaterThan">
      <formula>1</formula>
    </cfRule>
    <cfRule type="cellIs" dxfId="7183" priority="6503" operator="between">
      <formula>0.95</formula>
      <formula>1</formula>
    </cfRule>
    <cfRule type="cellIs" dxfId="7182" priority="6504" stopIfTrue="1" operator="between">
      <formula>0</formula>
      <formula>0.5</formula>
    </cfRule>
  </conditionalFormatting>
  <conditionalFormatting sqref="AA36:AB36">
    <cfRule type="cellIs" dxfId="7181" priority="6495" operator="between">
      <formula>0.56251</formula>
      <formula>0.7125</formula>
    </cfRule>
    <cfRule type="cellIs" dxfId="7180" priority="6496" operator="between">
      <formula>0.3751</formula>
      <formula>0.5625</formula>
    </cfRule>
    <cfRule type="cellIs" dxfId="7179" priority="6497" operator="greaterThan">
      <formula>0.751</formula>
    </cfRule>
    <cfRule type="cellIs" dxfId="7178" priority="6498" operator="between">
      <formula>0.71251</formula>
      <formula>0.75</formula>
    </cfRule>
    <cfRule type="cellIs" dxfId="7177" priority="6499" stopIfTrue="1" operator="between">
      <formula>0</formula>
      <formula>0.375</formula>
    </cfRule>
  </conditionalFormatting>
  <conditionalFormatting sqref="U36">
    <cfRule type="cellIs" dxfId="7176" priority="6490" operator="between">
      <formula>0.376</formula>
      <formula>0.475</formula>
    </cfRule>
    <cfRule type="cellIs" dxfId="7175" priority="6491" operator="between">
      <formula>0.2551</formula>
      <formula>0.3751</formula>
    </cfRule>
    <cfRule type="cellIs" dxfId="7174" priority="6492" operator="greaterThan">
      <formula>0.505</formula>
    </cfRule>
    <cfRule type="cellIs" dxfId="7173" priority="6493" operator="between">
      <formula>0.48</formula>
      <formula>0.5</formula>
    </cfRule>
    <cfRule type="cellIs" dxfId="7172" priority="6494" stopIfTrue="1" operator="between">
      <formula>0</formula>
      <formula>0.255</formula>
    </cfRule>
  </conditionalFormatting>
  <conditionalFormatting sqref="AG36">
    <cfRule type="cellIs" dxfId="7171" priority="6480" operator="between">
      <formula>0.76</formula>
      <formula>0.95</formula>
    </cfRule>
    <cfRule type="cellIs" dxfId="7170" priority="6481" operator="between">
      <formula>0.51</formula>
      <formula>0.75</formula>
    </cfRule>
    <cfRule type="cellIs" dxfId="7169" priority="6482" operator="greaterThan">
      <formula>1</formula>
    </cfRule>
    <cfRule type="cellIs" dxfId="7168" priority="6483" operator="between">
      <formula>0.95</formula>
      <formula>1</formula>
    </cfRule>
    <cfRule type="cellIs" dxfId="7167" priority="6484" stopIfTrue="1" operator="between">
      <formula>0</formula>
      <formula>0.5</formula>
    </cfRule>
  </conditionalFormatting>
  <conditionalFormatting sqref="S36">
    <cfRule type="cellIs" dxfId="7166" priority="6460" operator="between">
      <formula>0.76</formula>
      <formula>0.95</formula>
    </cfRule>
    <cfRule type="cellIs" dxfId="7165" priority="6461" operator="between">
      <formula>0.51</formula>
      <formula>0.75</formula>
    </cfRule>
    <cfRule type="cellIs" dxfId="7164" priority="6462" operator="greaterThan">
      <formula>1</formula>
    </cfRule>
    <cfRule type="cellIs" dxfId="7163" priority="6463" operator="between">
      <formula>0.95</formula>
      <formula>1</formula>
    </cfRule>
    <cfRule type="cellIs" dxfId="7162" priority="6464" stopIfTrue="1" operator="between">
      <formula>0</formula>
      <formula>0.5</formula>
    </cfRule>
  </conditionalFormatting>
  <conditionalFormatting sqref="V36">
    <cfRule type="cellIs" dxfId="7161" priority="6455" operator="between">
      <formula>0.376</formula>
      <formula>0.475</formula>
    </cfRule>
    <cfRule type="cellIs" dxfId="7160" priority="6456" operator="between">
      <formula>0.2551</formula>
      <formula>0.3751</formula>
    </cfRule>
    <cfRule type="cellIs" dxfId="7159" priority="6457" operator="greaterThan">
      <formula>0.505</formula>
    </cfRule>
    <cfRule type="cellIs" dxfId="7158" priority="6458" operator="between">
      <formula>0.48</formula>
      <formula>0.5</formula>
    </cfRule>
    <cfRule type="cellIs" dxfId="7157" priority="6459" stopIfTrue="1" operator="between">
      <formula>0</formula>
      <formula>0.255</formula>
    </cfRule>
  </conditionalFormatting>
  <conditionalFormatting sqref="Z36">
    <cfRule type="cellIs" dxfId="7156" priority="6450" operator="between">
      <formula>0.76</formula>
      <formula>0.95</formula>
    </cfRule>
    <cfRule type="cellIs" dxfId="7155" priority="6451" operator="between">
      <formula>0.51</formula>
      <formula>0.75</formula>
    </cfRule>
    <cfRule type="cellIs" dxfId="7154" priority="6452" operator="greaterThan">
      <formula>1</formula>
    </cfRule>
    <cfRule type="cellIs" dxfId="7153" priority="6453" operator="between">
      <formula>0.95</formula>
      <formula>1</formula>
    </cfRule>
    <cfRule type="cellIs" dxfId="7152" priority="6454" stopIfTrue="1" operator="between">
      <formula>0</formula>
      <formula>0.5</formula>
    </cfRule>
  </conditionalFormatting>
  <conditionalFormatting sqref="AC36">
    <cfRule type="cellIs" dxfId="7151" priority="6445" operator="between">
      <formula>0.56251</formula>
      <formula>0.7125</formula>
    </cfRule>
    <cfRule type="cellIs" dxfId="7150" priority="6446" operator="between">
      <formula>0.3751</formula>
      <formula>0.5625</formula>
    </cfRule>
    <cfRule type="cellIs" dxfId="7149" priority="6447" operator="greaterThan">
      <formula>0.751</formula>
    </cfRule>
    <cfRule type="cellIs" dxfId="7148" priority="6448" operator="between">
      <formula>0.71251</formula>
      <formula>0.75</formula>
    </cfRule>
    <cfRule type="cellIs" dxfId="7147" priority="6449" stopIfTrue="1" operator="between">
      <formula>0</formula>
      <formula>0.375</formula>
    </cfRule>
  </conditionalFormatting>
  <conditionalFormatting sqref="R37:R39">
    <cfRule type="cellIs" dxfId="7146" priority="6440" operator="between">
      <formula>0.76</formula>
      <formula>0.95</formula>
    </cfRule>
    <cfRule type="cellIs" dxfId="7145" priority="6441" operator="between">
      <formula>0.51</formula>
      <formula>0.75</formula>
    </cfRule>
    <cfRule type="cellIs" dxfId="7144" priority="6442" operator="greaterThan">
      <formula>1</formula>
    </cfRule>
    <cfRule type="cellIs" dxfId="7143" priority="6443" operator="between">
      <formula>0.95</formula>
      <formula>1</formula>
    </cfRule>
    <cfRule type="cellIs" dxfId="7142" priority="6444" stopIfTrue="1" operator="between">
      <formula>0</formula>
      <formula>0.5</formula>
    </cfRule>
  </conditionalFormatting>
  <conditionalFormatting sqref="T37:T39">
    <cfRule type="cellIs" dxfId="7141" priority="6435" operator="between">
      <formula>0.3751</formula>
      <formula>0.475</formula>
    </cfRule>
    <cfRule type="cellIs" dxfId="7140" priority="6436" operator="between">
      <formula>0.2551</formula>
      <formula>0.375</formula>
    </cfRule>
    <cfRule type="cellIs" dxfId="7139" priority="6437" operator="greaterThan">
      <formula>0.505</formula>
    </cfRule>
    <cfRule type="cellIs" dxfId="7138" priority="6438" operator="between">
      <formula>0.48</formula>
      <formula>0.5</formula>
    </cfRule>
    <cfRule type="cellIs" dxfId="7137" priority="6439" stopIfTrue="1" operator="between">
      <formula>0</formula>
      <formula>0.255</formula>
    </cfRule>
  </conditionalFormatting>
  <conditionalFormatting sqref="Y37:Y39 AF37:AF39 AH37:AI39">
    <cfRule type="cellIs" dxfId="7136" priority="6422" operator="between">
      <formula>0.76</formula>
      <formula>0.95</formula>
    </cfRule>
    <cfRule type="cellIs" dxfId="7135" priority="6423" operator="between">
      <formula>0.51</formula>
      <formula>0.75</formula>
    </cfRule>
    <cfRule type="cellIs" dxfId="7134" priority="6424" operator="greaterThan">
      <formula>1</formula>
    </cfRule>
    <cfRule type="cellIs" dxfId="7133" priority="6425" operator="between">
      <formula>0.95</formula>
      <formula>1</formula>
    </cfRule>
    <cfRule type="cellIs" dxfId="7132" priority="6426" stopIfTrue="1" operator="between">
      <formula>0</formula>
      <formula>0.5</formula>
    </cfRule>
  </conditionalFormatting>
  <conditionalFormatting sqref="AA37:AB39">
    <cfRule type="cellIs" dxfId="7131" priority="6417" operator="between">
      <formula>0.56251</formula>
      <formula>0.7125</formula>
    </cfRule>
    <cfRule type="cellIs" dxfId="7130" priority="6418" operator="between">
      <formula>0.3751</formula>
      <formula>0.5625</formula>
    </cfRule>
    <cfRule type="cellIs" dxfId="7129" priority="6419" operator="greaterThan">
      <formula>0.751</formula>
    </cfRule>
    <cfRule type="cellIs" dxfId="7128" priority="6420" operator="between">
      <formula>0.71251</formula>
      <formula>0.75</formula>
    </cfRule>
    <cfRule type="cellIs" dxfId="7127" priority="6421" stopIfTrue="1" operator="between">
      <formula>0</formula>
      <formula>0.375</formula>
    </cfRule>
  </conditionalFormatting>
  <conditionalFormatting sqref="U37:U39">
    <cfRule type="cellIs" dxfId="7126" priority="6412" operator="between">
      <formula>0.376</formula>
      <formula>0.475</formula>
    </cfRule>
    <cfRule type="cellIs" dxfId="7125" priority="6413" operator="between">
      <formula>0.2551</formula>
      <formula>0.3751</formula>
    </cfRule>
    <cfRule type="cellIs" dxfId="7124" priority="6414" operator="greaterThan">
      <formula>0.505</formula>
    </cfRule>
    <cfRule type="cellIs" dxfId="7123" priority="6415" operator="between">
      <formula>0.48</formula>
      <formula>0.5</formula>
    </cfRule>
    <cfRule type="cellIs" dxfId="7122" priority="6416" stopIfTrue="1" operator="between">
      <formula>0</formula>
      <formula>0.255</formula>
    </cfRule>
  </conditionalFormatting>
  <conditionalFormatting sqref="AG37:AG39">
    <cfRule type="cellIs" dxfId="7121" priority="6407" operator="between">
      <formula>0.76</formula>
      <formula>0.95</formula>
    </cfRule>
    <cfRule type="cellIs" dxfId="7120" priority="6408" operator="between">
      <formula>0.51</formula>
      <formula>0.75</formula>
    </cfRule>
    <cfRule type="cellIs" dxfId="7119" priority="6409" operator="greaterThan">
      <formula>1</formula>
    </cfRule>
    <cfRule type="cellIs" dxfId="7118" priority="6410" operator="between">
      <formula>0.95</formula>
      <formula>1</formula>
    </cfRule>
    <cfRule type="cellIs" dxfId="7117" priority="6411" stopIfTrue="1" operator="between">
      <formula>0</formula>
      <formula>0.5</formula>
    </cfRule>
  </conditionalFormatting>
  <conditionalFormatting sqref="S37:S39">
    <cfRule type="cellIs" dxfId="7116" priority="6387" operator="between">
      <formula>0.76</formula>
      <formula>0.95</formula>
    </cfRule>
    <cfRule type="cellIs" dxfId="7115" priority="6388" operator="between">
      <formula>0.51</formula>
      <formula>0.75</formula>
    </cfRule>
    <cfRule type="cellIs" dxfId="7114" priority="6389" operator="greaterThan">
      <formula>1</formula>
    </cfRule>
    <cfRule type="cellIs" dxfId="7113" priority="6390" operator="between">
      <formula>0.95</formula>
      <formula>1</formula>
    </cfRule>
    <cfRule type="cellIs" dxfId="7112" priority="6391" stopIfTrue="1" operator="between">
      <formula>0</formula>
      <formula>0.5</formula>
    </cfRule>
  </conditionalFormatting>
  <conditionalFormatting sqref="V37:V39">
    <cfRule type="cellIs" dxfId="7111" priority="6382" operator="between">
      <formula>0.376</formula>
      <formula>0.475</formula>
    </cfRule>
    <cfRule type="cellIs" dxfId="7110" priority="6383" operator="between">
      <formula>0.2551</formula>
      <formula>0.3751</formula>
    </cfRule>
    <cfRule type="cellIs" dxfId="7109" priority="6384" operator="greaterThan">
      <formula>0.505</formula>
    </cfRule>
    <cfRule type="cellIs" dxfId="7108" priority="6385" operator="between">
      <formula>0.48</formula>
      <formula>0.5</formula>
    </cfRule>
    <cfRule type="cellIs" dxfId="7107" priority="6386" stopIfTrue="1" operator="between">
      <formula>0</formula>
      <formula>0.255</formula>
    </cfRule>
  </conditionalFormatting>
  <conditionalFormatting sqref="Z37:Z39">
    <cfRule type="cellIs" dxfId="7106" priority="6377" operator="between">
      <formula>0.76</formula>
      <formula>0.95</formula>
    </cfRule>
    <cfRule type="cellIs" dxfId="7105" priority="6378" operator="between">
      <formula>0.51</formula>
      <formula>0.75</formula>
    </cfRule>
    <cfRule type="cellIs" dxfId="7104" priority="6379" operator="greaterThan">
      <formula>1</formula>
    </cfRule>
    <cfRule type="cellIs" dxfId="7103" priority="6380" operator="between">
      <formula>0.95</formula>
      <formula>1</formula>
    </cfRule>
    <cfRule type="cellIs" dxfId="7102" priority="6381" stopIfTrue="1" operator="between">
      <formula>0</formula>
      <formula>0.5</formula>
    </cfRule>
  </conditionalFormatting>
  <conditionalFormatting sqref="AC37:AC39">
    <cfRule type="cellIs" dxfId="7101" priority="6372" operator="between">
      <formula>0.56251</formula>
      <formula>0.7125</formula>
    </cfRule>
    <cfRule type="cellIs" dxfId="7100" priority="6373" operator="between">
      <formula>0.3751</formula>
      <formula>0.5625</formula>
    </cfRule>
    <cfRule type="cellIs" dxfId="7099" priority="6374" operator="greaterThan">
      <formula>0.751</formula>
    </cfRule>
    <cfRule type="cellIs" dxfId="7098" priority="6375" operator="between">
      <formula>0.71251</formula>
      <formula>0.75</formula>
    </cfRule>
    <cfRule type="cellIs" dxfId="7097" priority="6376" stopIfTrue="1" operator="between">
      <formula>0</formula>
      <formula>0.375</formula>
    </cfRule>
  </conditionalFormatting>
  <conditionalFormatting sqref="R162 Y162 AF162:AI162">
    <cfRule type="cellIs" dxfId="7096" priority="6221" operator="between">
      <formula>0.76</formula>
      <formula>0.95</formula>
    </cfRule>
    <cfRule type="cellIs" dxfId="7095" priority="6222" operator="between">
      <formula>0.51</formula>
      <formula>0.75</formula>
    </cfRule>
    <cfRule type="cellIs" dxfId="7094" priority="6223" operator="greaterThan">
      <formula>1</formula>
    </cfRule>
    <cfRule type="cellIs" dxfId="7093" priority="6224" operator="between">
      <formula>0.95</formula>
      <formula>1</formula>
    </cfRule>
    <cfRule type="cellIs" dxfId="7092" priority="6225" stopIfTrue="1" operator="between">
      <formula>0</formula>
      <formula>0.5</formula>
    </cfRule>
  </conditionalFormatting>
  <conditionalFormatting sqref="T162">
    <cfRule type="cellIs" dxfId="7091" priority="6216" operator="between">
      <formula>0.3751</formula>
      <formula>0.475</formula>
    </cfRule>
    <cfRule type="cellIs" dxfId="7090" priority="6217" operator="between">
      <formula>0.2551</formula>
      <formula>0.375</formula>
    </cfRule>
    <cfRule type="cellIs" dxfId="7089" priority="6218" operator="greaterThan">
      <formula>0.505</formula>
    </cfRule>
    <cfRule type="cellIs" dxfId="7088" priority="6219" operator="between">
      <formula>0.48</formula>
      <formula>0.5</formula>
    </cfRule>
    <cfRule type="cellIs" dxfId="7087" priority="6220" stopIfTrue="1" operator="between">
      <formula>0</formula>
      <formula>0.255</formula>
    </cfRule>
  </conditionalFormatting>
  <conditionalFormatting sqref="AA162:AB162">
    <cfRule type="cellIs" dxfId="7086" priority="6211" operator="between">
      <formula>0.56251</formula>
      <formula>0.7125</formula>
    </cfRule>
    <cfRule type="cellIs" dxfId="7085" priority="6212" operator="between">
      <formula>0.3751</formula>
      <formula>0.5625</formula>
    </cfRule>
    <cfRule type="cellIs" dxfId="7084" priority="6213" operator="greaterThan">
      <formula>0.751</formula>
    </cfRule>
    <cfRule type="cellIs" dxfId="7083" priority="6214" operator="between">
      <formula>0.71251</formula>
      <formula>0.75</formula>
    </cfRule>
    <cfRule type="cellIs" dxfId="7082" priority="6215" stopIfTrue="1" operator="between">
      <formula>0</formula>
      <formula>0.375</formula>
    </cfRule>
  </conditionalFormatting>
  <conditionalFormatting sqref="U162">
    <cfRule type="cellIs" dxfId="7081" priority="6201" operator="between">
      <formula>0.376</formula>
      <formula>0.475</formula>
    </cfRule>
    <cfRule type="cellIs" dxfId="7080" priority="6202" operator="between">
      <formula>0.2551</formula>
      <formula>0.3751</formula>
    </cfRule>
    <cfRule type="cellIs" dxfId="7079" priority="6203" operator="greaterThan">
      <formula>0.505</formula>
    </cfRule>
    <cfRule type="cellIs" dxfId="7078" priority="6204" operator="between">
      <formula>0.48</formula>
      <formula>0.5</formula>
    </cfRule>
    <cfRule type="cellIs" dxfId="7077" priority="6205" stopIfTrue="1" operator="between">
      <formula>0</formula>
      <formula>0.255</formula>
    </cfRule>
  </conditionalFormatting>
  <conditionalFormatting sqref="S162">
    <cfRule type="cellIs" dxfId="7076" priority="6166" operator="between">
      <formula>0.76</formula>
      <formula>0.95</formula>
    </cfRule>
    <cfRule type="cellIs" dxfId="7075" priority="6167" operator="between">
      <formula>0.51</formula>
      <formula>0.75</formula>
    </cfRule>
    <cfRule type="cellIs" dxfId="7074" priority="6168" operator="greaterThan">
      <formula>1</formula>
    </cfRule>
    <cfRule type="cellIs" dxfId="7073" priority="6169" operator="between">
      <formula>0.95</formula>
      <formula>1</formula>
    </cfRule>
    <cfRule type="cellIs" dxfId="7072" priority="6170" stopIfTrue="1" operator="between">
      <formula>0</formula>
      <formula>0.5</formula>
    </cfRule>
  </conditionalFormatting>
  <conditionalFormatting sqref="V162">
    <cfRule type="cellIs" dxfId="7071" priority="6161" operator="between">
      <formula>0.376</formula>
      <formula>0.475</formula>
    </cfRule>
    <cfRule type="cellIs" dxfId="7070" priority="6162" operator="between">
      <formula>0.2551</formula>
      <formula>0.3751</formula>
    </cfRule>
    <cfRule type="cellIs" dxfId="7069" priority="6163" operator="greaterThan">
      <formula>0.505</formula>
    </cfRule>
    <cfRule type="cellIs" dxfId="7068" priority="6164" operator="between">
      <formula>0.48</formula>
      <formula>0.5</formula>
    </cfRule>
    <cfRule type="cellIs" dxfId="7067" priority="6165" stopIfTrue="1" operator="between">
      <formula>0</formula>
      <formula>0.255</formula>
    </cfRule>
  </conditionalFormatting>
  <conditionalFormatting sqref="Z162">
    <cfRule type="cellIs" dxfId="7066" priority="6156" operator="between">
      <formula>0.76</formula>
      <formula>0.95</formula>
    </cfRule>
    <cfRule type="cellIs" dxfId="7065" priority="6157" operator="between">
      <formula>0.51</formula>
      <formula>0.75</formula>
    </cfRule>
    <cfRule type="cellIs" dxfId="7064" priority="6158" operator="greaterThan">
      <formula>1</formula>
    </cfRule>
    <cfRule type="cellIs" dxfId="7063" priority="6159" operator="between">
      <formula>0.95</formula>
      <formula>1</formula>
    </cfRule>
    <cfRule type="cellIs" dxfId="7062" priority="6160" stopIfTrue="1" operator="between">
      <formula>0</formula>
      <formula>0.5</formula>
    </cfRule>
  </conditionalFormatting>
  <conditionalFormatting sqref="AC162">
    <cfRule type="cellIs" dxfId="7061" priority="6151" operator="between">
      <formula>0.56251</formula>
      <formula>0.7125</formula>
    </cfRule>
    <cfRule type="cellIs" dxfId="7060" priority="6152" operator="between">
      <formula>0.3751</formula>
      <formula>0.5625</formula>
    </cfRule>
    <cfRule type="cellIs" dxfId="7059" priority="6153" operator="greaterThan">
      <formula>0.751</formula>
    </cfRule>
    <cfRule type="cellIs" dxfId="7058" priority="6154" operator="between">
      <formula>0.71251</formula>
      <formula>0.75</formula>
    </cfRule>
    <cfRule type="cellIs" dxfId="7057" priority="6155" stopIfTrue="1" operator="between">
      <formula>0</formula>
      <formula>0.375</formula>
    </cfRule>
  </conditionalFormatting>
  <conditionalFormatting sqref="R163 Y163 AF163:AI163">
    <cfRule type="cellIs" dxfId="7056" priority="6146" operator="between">
      <formula>0.76</formula>
      <formula>0.95</formula>
    </cfRule>
    <cfRule type="cellIs" dxfId="7055" priority="6147" operator="between">
      <formula>0.51</formula>
      <formula>0.75</formula>
    </cfRule>
    <cfRule type="cellIs" dxfId="7054" priority="6148" operator="greaterThan">
      <formula>1</formula>
    </cfRule>
    <cfRule type="cellIs" dxfId="7053" priority="6149" operator="between">
      <formula>0.95</formula>
      <formula>1</formula>
    </cfRule>
    <cfRule type="cellIs" dxfId="7052" priority="6150" stopIfTrue="1" operator="between">
      <formula>0</formula>
      <formula>0.5</formula>
    </cfRule>
  </conditionalFormatting>
  <conditionalFormatting sqref="T163">
    <cfRule type="cellIs" dxfId="7051" priority="6141" operator="between">
      <formula>0.3751</formula>
      <formula>0.475</formula>
    </cfRule>
    <cfRule type="cellIs" dxfId="7050" priority="6142" operator="between">
      <formula>0.2551</formula>
      <formula>0.375</formula>
    </cfRule>
    <cfRule type="cellIs" dxfId="7049" priority="6143" operator="greaterThan">
      <formula>0.505</formula>
    </cfRule>
    <cfRule type="cellIs" dxfId="7048" priority="6144" operator="between">
      <formula>0.48</formula>
      <formula>0.5</formula>
    </cfRule>
    <cfRule type="cellIs" dxfId="7047" priority="6145" stopIfTrue="1" operator="between">
      <formula>0</formula>
      <formula>0.255</formula>
    </cfRule>
  </conditionalFormatting>
  <conditionalFormatting sqref="AA163:AB163">
    <cfRule type="cellIs" dxfId="7046" priority="6136" operator="between">
      <formula>0.56251</formula>
      <formula>0.7125</formula>
    </cfRule>
    <cfRule type="cellIs" dxfId="7045" priority="6137" operator="between">
      <formula>0.3751</formula>
      <formula>0.5625</formula>
    </cfRule>
    <cfRule type="cellIs" dxfId="7044" priority="6138" operator="greaterThan">
      <formula>0.751</formula>
    </cfRule>
    <cfRule type="cellIs" dxfId="7043" priority="6139" operator="between">
      <formula>0.71251</formula>
      <formula>0.75</formula>
    </cfRule>
    <cfRule type="cellIs" dxfId="7042" priority="6140" stopIfTrue="1" operator="between">
      <formula>0</formula>
      <formula>0.375</formula>
    </cfRule>
  </conditionalFormatting>
  <conditionalFormatting sqref="U163">
    <cfRule type="cellIs" dxfId="7041" priority="6126" operator="between">
      <formula>0.376</formula>
      <formula>0.475</formula>
    </cfRule>
    <cfRule type="cellIs" dxfId="7040" priority="6127" operator="between">
      <formula>0.2551</formula>
      <formula>0.3751</formula>
    </cfRule>
    <cfRule type="cellIs" dxfId="7039" priority="6128" operator="greaterThan">
      <formula>0.505</formula>
    </cfRule>
    <cfRule type="cellIs" dxfId="7038" priority="6129" operator="between">
      <formula>0.48</formula>
      <formula>0.5</formula>
    </cfRule>
    <cfRule type="cellIs" dxfId="7037" priority="6130" stopIfTrue="1" operator="between">
      <formula>0</formula>
      <formula>0.255</formula>
    </cfRule>
  </conditionalFormatting>
  <conditionalFormatting sqref="S163">
    <cfRule type="cellIs" dxfId="7036" priority="6091" operator="between">
      <formula>0.76</formula>
      <formula>0.95</formula>
    </cfRule>
    <cfRule type="cellIs" dxfId="7035" priority="6092" operator="between">
      <formula>0.51</formula>
      <formula>0.75</formula>
    </cfRule>
    <cfRule type="cellIs" dxfId="7034" priority="6093" operator="greaterThan">
      <formula>1</formula>
    </cfRule>
    <cfRule type="cellIs" dxfId="7033" priority="6094" operator="between">
      <formula>0.95</formula>
      <formula>1</formula>
    </cfRule>
    <cfRule type="cellIs" dxfId="7032" priority="6095" stopIfTrue="1" operator="between">
      <formula>0</formula>
      <formula>0.5</formula>
    </cfRule>
  </conditionalFormatting>
  <conditionalFormatting sqref="V163">
    <cfRule type="cellIs" dxfId="7031" priority="6086" operator="between">
      <formula>0.376</formula>
      <formula>0.475</formula>
    </cfRule>
    <cfRule type="cellIs" dxfId="7030" priority="6087" operator="between">
      <formula>0.2551</formula>
      <formula>0.3751</formula>
    </cfRule>
    <cfRule type="cellIs" dxfId="7029" priority="6088" operator="greaterThan">
      <formula>0.505</formula>
    </cfRule>
    <cfRule type="cellIs" dxfId="7028" priority="6089" operator="between">
      <formula>0.48</formula>
      <formula>0.5</formula>
    </cfRule>
    <cfRule type="cellIs" dxfId="7027" priority="6090" stopIfTrue="1" operator="between">
      <formula>0</formula>
      <formula>0.255</formula>
    </cfRule>
  </conditionalFormatting>
  <conditionalFormatting sqref="Z163">
    <cfRule type="cellIs" dxfId="7026" priority="6081" operator="between">
      <formula>0.76</formula>
      <formula>0.95</formula>
    </cfRule>
    <cfRule type="cellIs" dxfId="7025" priority="6082" operator="between">
      <formula>0.51</formula>
      <formula>0.75</formula>
    </cfRule>
    <cfRule type="cellIs" dxfId="7024" priority="6083" operator="greaterThan">
      <formula>1</formula>
    </cfRule>
    <cfRule type="cellIs" dxfId="7023" priority="6084" operator="between">
      <formula>0.95</formula>
      <formula>1</formula>
    </cfRule>
    <cfRule type="cellIs" dxfId="7022" priority="6085" stopIfTrue="1" operator="between">
      <formula>0</formula>
      <formula>0.5</formula>
    </cfRule>
  </conditionalFormatting>
  <conditionalFormatting sqref="AC163">
    <cfRule type="cellIs" dxfId="7021" priority="6076" operator="between">
      <formula>0.56251</formula>
      <formula>0.7125</formula>
    </cfRule>
    <cfRule type="cellIs" dxfId="7020" priority="6077" operator="between">
      <formula>0.3751</formula>
      <formula>0.5625</formula>
    </cfRule>
    <cfRule type="cellIs" dxfId="7019" priority="6078" operator="greaterThan">
      <formula>0.751</formula>
    </cfRule>
    <cfRule type="cellIs" dxfId="7018" priority="6079" operator="between">
      <formula>0.71251</formula>
      <formula>0.75</formula>
    </cfRule>
    <cfRule type="cellIs" dxfId="7017" priority="6080" stopIfTrue="1" operator="between">
      <formula>0</formula>
      <formula>0.375</formula>
    </cfRule>
  </conditionalFormatting>
  <conditionalFormatting sqref="R164 Y164 AF164:AI164">
    <cfRule type="cellIs" dxfId="7016" priority="6071" operator="between">
      <formula>0.76</formula>
      <formula>0.95</formula>
    </cfRule>
    <cfRule type="cellIs" dxfId="7015" priority="6072" operator="between">
      <formula>0.51</formula>
      <formula>0.75</formula>
    </cfRule>
    <cfRule type="cellIs" dxfId="7014" priority="6073" operator="greaterThan">
      <formula>1</formula>
    </cfRule>
    <cfRule type="cellIs" dxfId="7013" priority="6074" operator="between">
      <formula>0.95</formula>
      <formula>1</formula>
    </cfRule>
    <cfRule type="cellIs" dxfId="7012" priority="6075" stopIfTrue="1" operator="between">
      <formula>0</formula>
      <formula>0.5</formula>
    </cfRule>
  </conditionalFormatting>
  <conditionalFormatting sqref="T164">
    <cfRule type="cellIs" dxfId="7011" priority="6066" operator="between">
      <formula>0.3751</formula>
      <formula>0.475</formula>
    </cfRule>
    <cfRule type="cellIs" dxfId="7010" priority="6067" operator="between">
      <formula>0.2551</formula>
      <formula>0.375</formula>
    </cfRule>
    <cfRule type="cellIs" dxfId="7009" priority="6068" operator="greaterThan">
      <formula>0.505</formula>
    </cfRule>
    <cfRule type="cellIs" dxfId="7008" priority="6069" operator="between">
      <formula>0.48</formula>
      <formula>0.5</formula>
    </cfRule>
    <cfRule type="cellIs" dxfId="7007" priority="6070" stopIfTrue="1" operator="between">
      <formula>0</formula>
      <formula>0.255</formula>
    </cfRule>
  </conditionalFormatting>
  <conditionalFormatting sqref="AA164:AB164">
    <cfRule type="cellIs" dxfId="7006" priority="6061" operator="between">
      <formula>0.56251</formula>
      <formula>0.7125</formula>
    </cfRule>
    <cfRule type="cellIs" dxfId="7005" priority="6062" operator="between">
      <formula>0.3751</formula>
      <formula>0.5625</formula>
    </cfRule>
    <cfRule type="cellIs" dxfId="7004" priority="6063" operator="greaterThan">
      <formula>0.751</formula>
    </cfRule>
    <cfRule type="cellIs" dxfId="7003" priority="6064" operator="between">
      <formula>0.71251</formula>
      <formula>0.75</formula>
    </cfRule>
    <cfRule type="cellIs" dxfId="7002" priority="6065" stopIfTrue="1" operator="between">
      <formula>0</formula>
      <formula>0.375</formula>
    </cfRule>
  </conditionalFormatting>
  <conditionalFormatting sqref="U164">
    <cfRule type="cellIs" dxfId="7001" priority="6051" operator="between">
      <formula>0.376</formula>
      <formula>0.475</formula>
    </cfRule>
    <cfRule type="cellIs" dxfId="7000" priority="6052" operator="between">
      <formula>0.2551</formula>
      <formula>0.3751</formula>
    </cfRule>
    <cfRule type="cellIs" dxfId="6999" priority="6053" operator="greaterThan">
      <formula>0.505</formula>
    </cfRule>
    <cfRule type="cellIs" dxfId="6998" priority="6054" operator="between">
      <formula>0.48</formula>
      <formula>0.5</formula>
    </cfRule>
    <cfRule type="cellIs" dxfId="6997" priority="6055" stopIfTrue="1" operator="between">
      <formula>0</formula>
      <formula>0.255</formula>
    </cfRule>
  </conditionalFormatting>
  <conditionalFormatting sqref="S164">
    <cfRule type="cellIs" dxfId="6996" priority="6016" operator="between">
      <formula>0.76</formula>
      <formula>0.95</formula>
    </cfRule>
    <cfRule type="cellIs" dxfId="6995" priority="6017" operator="between">
      <formula>0.51</formula>
      <formula>0.75</formula>
    </cfRule>
    <cfRule type="cellIs" dxfId="6994" priority="6018" operator="greaterThan">
      <formula>1</formula>
    </cfRule>
    <cfRule type="cellIs" dxfId="6993" priority="6019" operator="between">
      <formula>0.95</formula>
      <formula>1</formula>
    </cfRule>
    <cfRule type="cellIs" dxfId="6992" priority="6020" stopIfTrue="1" operator="between">
      <formula>0</formula>
      <formula>0.5</formula>
    </cfRule>
  </conditionalFormatting>
  <conditionalFormatting sqref="V164">
    <cfRule type="cellIs" dxfId="6991" priority="6011" operator="between">
      <formula>0.376</formula>
      <formula>0.475</formula>
    </cfRule>
    <cfRule type="cellIs" dxfId="6990" priority="6012" operator="between">
      <formula>0.2551</formula>
      <formula>0.3751</formula>
    </cfRule>
    <cfRule type="cellIs" dxfId="6989" priority="6013" operator="greaterThan">
      <formula>0.505</formula>
    </cfRule>
    <cfRule type="cellIs" dxfId="6988" priority="6014" operator="between">
      <formula>0.48</formula>
      <formula>0.5</formula>
    </cfRule>
    <cfRule type="cellIs" dxfId="6987" priority="6015" stopIfTrue="1" operator="between">
      <formula>0</formula>
      <formula>0.255</formula>
    </cfRule>
  </conditionalFormatting>
  <conditionalFormatting sqref="Z164">
    <cfRule type="cellIs" dxfId="6986" priority="6006" operator="between">
      <formula>0.76</formula>
      <formula>0.95</formula>
    </cfRule>
    <cfRule type="cellIs" dxfId="6985" priority="6007" operator="between">
      <formula>0.51</formula>
      <formula>0.75</formula>
    </cfRule>
    <cfRule type="cellIs" dxfId="6984" priority="6008" operator="greaterThan">
      <formula>1</formula>
    </cfRule>
    <cfRule type="cellIs" dxfId="6983" priority="6009" operator="between">
      <formula>0.95</formula>
      <formula>1</formula>
    </cfRule>
    <cfRule type="cellIs" dxfId="6982" priority="6010" stopIfTrue="1" operator="between">
      <formula>0</formula>
      <formula>0.5</formula>
    </cfRule>
  </conditionalFormatting>
  <conditionalFormatting sqref="AC164">
    <cfRule type="cellIs" dxfId="6981" priority="6001" operator="between">
      <formula>0.56251</formula>
      <formula>0.7125</formula>
    </cfRule>
    <cfRule type="cellIs" dxfId="6980" priority="6002" operator="between">
      <formula>0.3751</formula>
      <formula>0.5625</formula>
    </cfRule>
    <cfRule type="cellIs" dxfId="6979" priority="6003" operator="greaterThan">
      <formula>0.751</formula>
    </cfRule>
    <cfRule type="cellIs" dxfId="6978" priority="6004" operator="between">
      <formula>0.71251</formula>
      <formula>0.75</formula>
    </cfRule>
    <cfRule type="cellIs" dxfId="6977" priority="6005" stopIfTrue="1" operator="between">
      <formula>0</formula>
      <formula>0.375</formula>
    </cfRule>
  </conditionalFormatting>
  <conditionalFormatting sqref="AF221:AI221 R221:S221 Y221:Z221">
    <cfRule type="cellIs" dxfId="6976" priority="5996" operator="between">
      <formula>0.76</formula>
      <formula>0.95</formula>
    </cfRule>
    <cfRule type="cellIs" dxfId="6975" priority="5997" operator="between">
      <formula>0.51</formula>
      <formula>0.75</formula>
    </cfRule>
    <cfRule type="cellIs" dxfId="6974" priority="5998" operator="greaterThan">
      <formula>1</formula>
    </cfRule>
    <cfRule type="cellIs" dxfId="6973" priority="5999" operator="between">
      <formula>0.95</formula>
      <formula>1</formula>
    </cfRule>
    <cfRule type="cellIs" dxfId="6972" priority="6000" stopIfTrue="1" operator="between">
      <formula>0</formula>
      <formula>0.5</formula>
    </cfRule>
  </conditionalFormatting>
  <conditionalFormatting sqref="T221">
    <cfRule type="cellIs" dxfId="6971" priority="5991" operator="between">
      <formula>0.3751</formula>
      <formula>0.475</formula>
    </cfRule>
    <cfRule type="cellIs" dxfId="6970" priority="5992" operator="between">
      <formula>0.2551</formula>
      <formula>0.375</formula>
    </cfRule>
    <cfRule type="cellIs" dxfId="6969" priority="5993" operator="greaterThan">
      <formula>0.505</formula>
    </cfRule>
    <cfRule type="cellIs" dxfId="6968" priority="5994" operator="between">
      <formula>0.48</formula>
      <formula>0.5</formula>
    </cfRule>
    <cfRule type="cellIs" dxfId="6967" priority="5995" stopIfTrue="1" operator="between">
      <formula>0</formula>
      <formula>0.255</formula>
    </cfRule>
  </conditionalFormatting>
  <conditionalFormatting sqref="AA221:AC221">
    <cfRule type="cellIs" dxfId="6966" priority="5986" operator="between">
      <formula>0.56251</formula>
      <formula>0.7125</formula>
    </cfRule>
    <cfRule type="cellIs" dxfId="6965" priority="5987" operator="between">
      <formula>0.3751</formula>
      <formula>0.5625</formula>
    </cfRule>
    <cfRule type="cellIs" dxfId="6964" priority="5988" operator="greaterThan">
      <formula>0.751</formula>
    </cfRule>
    <cfRule type="cellIs" dxfId="6963" priority="5989" operator="between">
      <formula>0.71251</formula>
      <formula>0.75</formula>
    </cfRule>
    <cfRule type="cellIs" dxfId="6962" priority="5990" stopIfTrue="1" operator="between">
      <formula>0</formula>
      <formula>0.375</formula>
    </cfRule>
  </conditionalFormatting>
  <conditionalFormatting sqref="U221:V221">
    <cfRule type="cellIs" dxfId="6961" priority="5976" operator="between">
      <formula>0.376</formula>
      <formula>0.475</formula>
    </cfRule>
    <cfRule type="cellIs" dxfId="6960" priority="5977" operator="between">
      <formula>0.2551</formula>
      <formula>0.3751</formula>
    </cfRule>
    <cfRule type="cellIs" dxfId="6959" priority="5978" operator="greaterThan">
      <formula>0.505</formula>
    </cfRule>
    <cfRule type="cellIs" dxfId="6958" priority="5979" operator="between">
      <formula>0.48</formula>
      <formula>0.5</formula>
    </cfRule>
    <cfRule type="cellIs" dxfId="6957" priority="5980" stopIfTrue="1" operator="between">
      <formula>0</formula>
      <formula>0.255</formula>
    </cfRule>
  </conditionalFormatting>
  <conditionalFormatting sqref="R234:S235 Y234:Z235 AF234:AI235">
    <cfRule type="cellIs" dxfId="6956" priority="5500" operator="between">
      <formula>0.76</formula>
      <formula>0.95</formula>
    </cfRule>
    <cfRule type="cellIs" dxfId="6955" priority="5501" operator="between">
      <formula>0.51</formula>
      <formula>0.75</formula>
    </cfRule>
    <cfRule type="cellIs" dxfId="6954" priority="5502" operator="greaterThan">
      <formula>1</formula>
    </cfRule>
    <cfRule type="cellIs" dxfId="6953" priority="5503" operator="between">
      <formula>0.95</formula>
      <formula>1</formula>
    </cfRule>
    <cfRule type="cellIs" dxfId="6952" priority="5504" stopIfTrue="1" operator="between">
      <formula>0</formula>
      <formula>0.5</formula>
    </cfRule>
  </conditionalFormatting>
  <conditionalFormatting sqref="T234:T235">
    <cfRule type="cellIs" dxfId="6951" priority="5495" operator="between">
      <formula>0.3751</formula>
      <formula>0.475</formula>
    </cfRule>
    <cfRule type="cellIs" dxfId="6950" priority="5496" operator="between">
      <formula>0.2551</formula>
      <formula>0.375</formula>
    </cfRule>
    <cfRule type="cellIs" dxfId="6949" priority="5497" operator="greaterThan">
      <formula>0.505</formula>
    </cfRule>
    <cfRule type="cellIs" dxfId="6948" priority="5498" operator="between">
      <formula>0.48</formula>
      <formula>0.5</formula>
    </cfRule>
    <cfRule type="cellIs" dxfId="6947" priority="5499" stopIfTrue="1" operator="between">
      <formula>0</formula>
      <formula>0.255</formula>
    </cfRule>
  </conditionalFormatting>
  <conditionalFormatting sqref="AA234:AC235">
    <cfRule type="cellIs" dxfId="6946" priority="5490" operator="between">
      <formula>0.56251</formula>
      <formula>0.7125</formula>
    </cfRule>
    <cfRule type="cellIs" dxfId="6945" priority="5491" operator="between">
      <formula>0.3751</formula>
      <formula>0.5625</formula>
    </cfRule>
    <cfRule type="cellIs" dxfId="6944" priority="5492" operator="greaterThan">
      <formula>0.751</formula>
    </cfRule>
    <cfRule type="cellIs" dxfId="6943" priority="5493" operator="between">
      <formula>0.71251</formula>
      <formula>0.75</formula>
    </cfRule>
    <cfRule type="cellIs" dxfId="6942" priority="5494" stopIfTrue="1" operator="between">
      <formula>0</formula>
      <formula>0.375</formula>
    </cfRule>
  </conditionalFormatting>
  <conditionalFormatting sqref="R223:S223 Y223:Z223 AF223:AI223">
    <cfRule type="cellIs" dxfId="6941" priority="5857" operator="between">
      <formula>0.76</formula>
      <formula>0.95</formula>
    </cfRule>
    <cfRule type="cellIs" dxfId="6940" priority="5858" operator="between">
      <formula>0.51</formula>
      <formula>0.75</formula>
    </cfRule>
    <cfRule type="cellIs" dxfId="6939" priority="5859" operator="greaterThan">
      <formula>1</formula>
    </cfRule>
    <cfRule type="cellIs" dxfId="6938" priority="5860" operator="between">
      <formula>0.95</formula>
      <formula>1</formula>
    </cfRule>
    <cfRule type="cellIs" dxfId="6937" priority="5861" stopIfTrue="1" operator="between">
      <formula>0</formula>
      <formula>0.5</formula>
    </cfRule>
  </conditionalFormatting>
  <conditionalFormatting sqref="T223">
    <cfRule type="cellIs" dxfId="6936" priority="5852" operator="between">
      <formula>0.3751</formula>
      <formula>0.475</formula>
    </cfRule>
    <cfRule type="cellIs" dxfId="6935" priority="5853" operator="between">
      <formula>0.2551</formula>
      <formula>0.375</formula>
    </cfRule>
    <cfRule type="cellIs" dxfId="6934" priority="5854" operator="greaterThan">
      <formula>0.505</formula>
    </cfRule>
    <cfRule type="cellIs" dxfId="6933" priority="5855" operator="between">
      <formula>0.48</formula>
      <formula>0.5</formula>
    </cfRule>
    <cfRule type="cellIs" dxfId="6932" priority="5856" stopIfTrue="1" operator="between">
      <formula>0</formula>
      <formula>0.255</formula>
    </cfRule>
  </conditionalFormatting>
  <conditionalFormatting sqref="AA223:AC223">
    <cfRule type="cellIs" dxfId="6931" priority="5847" operator="between">
      <formula>0.56251</formula>
      <formula>0.7125</formula>
    </cfRule>
    <cfRule type="cellIs" dxfId="6930" priority="5848" operator="between">
      <formula>0.3751</formula>
      <formula>0.5625</formula>
    </cfRule>
    <cfRule type="cellIs" dxfId="6929" priority="5849" operator="greaterThan">
      <formula>0.751</formula>
    </cfRule>
    <cfRule type="cellIs" dxfId="6928" priority="5850" operator="between">
      <formula>0.71251</formula>
      <formula>0.75</formula>
    </cfRule>
    <cfRule type="cellIs" dxfId="6927" priority="5851" stopIfTrue="1" operator="between">
      <formula>0</formula>
      <formula>0.375</formula>
    </cfRule>
  </conditionalFormatting>
  <conditionalFormatting sqref="U223:V223">
    <cfRule type="cellIs" dxfId="6926" priority="5837" operator="between">
      <formula>0.376</formula>
      <formula>0.475</formula>
    </cfRule>
    <cfRule type="cellIs" dxfId="6925" priority="5838" operator="between">
      <formula>0.2551</formula>
      <formula>0.3751</formula>
    </cfRule>
    <cfRule type="cellIs" dxfId="6924" priority="5839" operator="greaterThan">
      <formula>0.505</formula>
    </cfRule>
    <cfRule type="cellIs" dxfId="6923" priority="5840" operator="between">
      <formula>0.48</formula>
      <formula>0.5</formula>
    </cfRule>
    <cfRule type="cellIs" dxfId="6922" priority="5841" stopIfTrue="1" operator="between">
      <formula>0</formula>
      <formula>0.255</formula>
    </cfRule>
  </conditionalFormatting>
  <conditionalFormatting sqref="AG223">
    <cfRule type="cellIs" dxfId="6921" priority="5832" operator="between">
      <formula>0.76</formula>
      <formula>0.95</formula>
    </cfRule>
    <cfRule type="cellIs" dxfId="6920" priority="5833" operator="between">
      <formula>0.51</formula>
      <formula>0.75</formula>
    </cfRule>
    <cfRule type="cellIs" dxfId="6919" priority="5834" operator="greaterThan">
      <formula>1</formula>
    </cfRule>
    <cfRule type="cellIs" dxfId="6918" priority="5835" operator="between">
      <formula>0.95</formula>
      <formula>1</formula>
    </cfRule>
    <cfRule type="cellIs" dxfId="6917" priority="5836" stopIfTrue="1" operator="between">
      <formula>0</formula>
      <formula>0.5</formula>
    </cfRule>
  </conditionalFormatting>
  <conditionalFormatting sqref="Y224:Z224 AF224:AI224">
    <cfRule type="cellIs" dxfId="6916" priority="5800" operator="between">
      <formula>0.76</formula>
      <formula>0.95</formula>
    </cfRule>
    <cfRule type="cellIs" dxfId="6915" priority="5801" operator="between">
      <formula>0.51</formula>
      <formula>0.75</formula>
    </cfRule>
    <cfRule type="cellIs" dxfId="6914" priority="5802" operator="greaterThan">
      <formula>1</formula>
    </cfRule>
    <cfRule type="cellIs" dxfId="6913" priority="5803" operator="between">
      <formula>0.95</formula>
      <formula>1</formula>
    </cfRule>
    <cfRule type="cellIs" dxfId="6912" priority="5804" stopIfTrue="1" operator="between">
      <formula>0</formula>
      <formula>0.5</formula>
    </cfRule>
  </conditionalFormatting>
  <conditionalFormatting sqref="AA224:AC224">
    <cfRule type="cellIs" dxfId="6911" priority="5790" operator="between">
      <formula>0.56251</formula>
      <formula>0.7125</formula>
    </cfRule>
    <cfRule type="cellIs" dxfId="6910" priority="5791" operator="between">
      <formula>0.3751</formula>
      <formula>0.5625</formula>
    </cfRule>
    <cfRule type="cellIs" dxfId="6909" priority="5792" operator="greaterThan">
      <formula>0.751</formula>
    </cfRule>
    <cfRule type="cellIs" dxfId="6908" priority="5793" operator="between">
      <formula>0.71251</formula>
      <formula>0.75</formula>
    </cfRule>
    <cfRule type="cellIs" dxfId="6907" priority="5794" stopIfTrue="1" operator="between">
      <formula>0</formula>
      <formula>0.375</formula>
    </cfRule>
  </conditionalFormatting>
  <conditionalFormatting sqref="AG224">
    <cfRule type="cellIs" dxfId="6906" priority="5775" operator="between">
      <formula>0.76</formula>
      <formula>0.95</formula>
    </cfRule>
    <cfRule type="cellIs" dxfId="6905" priority="5776" operator="between">
      <formula>0.51</formula>
      <formula>0.75</formula>
    </cfRule>
    <cfRule type="cellIs" dxfId="6904" priority="5777" operator="greaterThan">
      <formula>1</formula>
    </cfRule>
    <cfRule type="cellIs" dxfId="6903" priority="5778" operator="between">
      <formula>0.95</formula>
      <formula>1</formula>
    </cfRule>
    <cfRule type="cellIs" dxfId="6902" priority="5779" stopIfTrue="1" operator="between">
      <formula>0</formula>
      <formula>0.5</formula>
    </cfRule>
  </conditionalFormatting>
  <conditionalFormatting sqref="R228:S228 Y228:Z228 AF228:AI228 R230:S230 Y230:Z230 AF230:AI230">
    <cfRule type="cellIs" dxfId="6901" priority="5614" operator="between">
      <formula>0.76</formula>
      <formula>0.95</formula>
    </cfRule>
    <cfRule type="cellIs" dxfId="6900" priority="5615" operator="between">
      <formula>0.51</formula>
      <formula>0.75</formula>
    </cfRule>
    <cfRule type="cellIs" dxfId="6899" priority="5616" operator="greaterThan">
      <formula>1</formula>
    </cfRule>
    <cfRule type="cellIs" dxfId="6898" priority="5617" operator="between">
      <formula>0.95</formula>
      <formula>1</formula>
    </cfRule>
    <cfRule type="cellIs" dxfId="6897" priority="5618" stopIfTrue="1" operator="between">
      <formula>0</formula>
      <formula>0.5</formula>
    </cfRule>
  </conditionalFormatting>
  <conditionalFormatting sqref="T228 T230">
    <cfRule type="cellIs" dxfId="6896" priority="5609" operator="between">
      <formula>0.3751</formula>
      <formula>0.475</formula>
    </cfRule>
    <cfRule type="cellIs" dxfId="6895" priority="5610" operator="between">
      <formula>0.2551</formula>
      <formula>0.375</formula>
    </cfRule>
    <cfRule type="cellIs" dxfId="6894" priority="5611" operator="greaterThan">
      <formula>0.505</formula>
    </cfRule>
    <cfRule type="cellIs" dxfId="6893" priority="5612" operator="between">
      <formula>0.48</formula>
      <formula>0.5</formula>
    </cfRule>
    <cfRule type="cellIs" dxfId="6892" priority="5613" stopIfTrue="1" operator="between">
      <formula>0</formula>
      <formula>0.255</formula>
    </cfRule>
  </conditionalFormatting>
  <conditionalFormatting sqref="AA228:AC228 AA230:AC230">
    <cfRule type="cellIs" dxfId="6891" priority="5604" operator="between">
      <formula>0.56251</formula>
      <formula>0.7125</formula>
    </cfRule>
    <cfRule type="cellIs" dxfId="6890" priority="5605" operator="between">
      <formula>0.3751</formula>
      <formula>0.5625</formula>
    </cfRule>
    <cfRule type="cellIs" dxfId="6889" priority="5606" operator="greaterThan">
      <formula>0.751</formula>
    </cfRule>
    <cfRule type="cellIs" dxfId="6888" priority="5607" operator="between">
      <formula>0.71251</formula>
      <formula>0.75</formula>
    </cfRule>
    <cfRule type="cellIs" dxfId="6887" priority="5608" stopIfTrue="1" operator="between">
      <formula>0</formula>
      <formula>0.375</formula>
    </cfRule>
  </conditionalFormatting>
  <conditionalFormatting sqref="U228:V228 U230:V230">
    <cfRule type="cellIs" dxfId="6886" priority="5594" operator="between">
      <formula>0.376</formula>
      <formula>0.475</formula>
    </cfRule>
    <cfRule type="cellIs" dxfId="6885" priority="5595" operator="between">
      <formula>0.2551</formula>
      <formula>0.3751</formula>
    </cfRule>
    <cfRule type="cellIs" dxfId="6884" priority="5596" operator="greaterThan">
      <formula>0.505</formula>
    </cfRule>
    <cfRule type="cellIs" dxfId="6883" priority="5597" operator="between">
      <formula>0.48</formula>
      <formula>0.5</formula>
    </cfRule>
    <cfRule type="cellIs" dxfId="6882" priority="5598" stopIfTrue="1" operator="between">
      <formula>0</formula>
      <formula>0.255</formula>
    </cfRule>
  </conditionalFormatting>
  <conditionalFormatting sqref="AG228 AG230">
    <cfRule type="cellIs" dxfId="6881" priority="5589" operator="between">
      <formula>0.76</formula>
      <formula>0.95</formula>
    </cfRule>
    <cfRule type="cellIs" dxfId="6880" priority="5590" operator="between">
      <formula>0.51</formula>
      <formula>0.75</formula>
    </cfRule>
    <cfRule type="cellIs" dxfId="6879" priority="5591" operator="greaterThan">
      <formula>1</formula>
    </cfRule>
    <cfRule type="cellIs" dxfId="6878" priority="5592" operator="between">
      <formula>0.95</formula>
      <formula>1</formula>
    </cfRule>
    <cfRule type="cellIs" dxfId="6877" priority="5593" stopIfTrue="1" operator="between">
      <formula>0</formula>
      <formula>0.5</formula>
    </cfRule>
  </conditionalFormatting>
  <conditionalFormatting sqref="R231:S231 Y231:Z231 AF231:AI231 AF233:AI233 Y233:Z233 R233:S233">
    <cfRule type="cellIs" dxfId="6876" priority="5557" operator="between">
      <formula>0.76</formula>
      <formula>0.95</formula>
    </cfRule>
    <cfRule type="cellIs" dxfId="6875" priority="5558" operator="between">
      <formula>0.51</formula>
      <formula>0.75</formula>
    </cfRule>
    <cfRule type="cellIs" dxfId="6874" priority="5559" operator="greaterThan">
      <formula>1</formula>
    </cfRule>
    <cfRule type="cellIs" dxfId="6873" priority="5560" operator="between">
      <formula>0.95</formula>
      <formula>1</formula>
    </cfRule>
    <cfRule type="cellIs" dxfId="6872" priority="5561" stopIfTrue="1" operator="between">
      <formula>0</formula>
      <formula>0.5</formula>
    </cfRule>
  </conditionalFormatting>
  <conditionalFormatting sqref="T231 T233">
    <cfRule type="cellIs" dxfId="6871" priority="5552" operator="between">
      <formula>0.3751</formula>
      <formula>0.475</formula>
    </cfRule>
    <cfRule type="cellIs" dxfId="6870" priority="5553" operator="between">
      <formula>0.2551</formula>
      <formula>0.375</formula>
    </cfRule>
    <cfRule type="cellIs" dxfId="6869" priority="5554" operator="greaterThan">
      <formula>0.505</formula>
    </cfRule>
    <cfRule type="cellIs" dxfId="6868" priority="5555" operator="between">
      <formula>0.48</formula>
      <formula>0.5</formula>
    </cfRule>
    <cfRule type="cellIs" dxfId="6867" priority="5556" stopIfTrue="1" operator="between">
      <formula>0</formula>
      <formula>0.255</formula>
    </cfRule>
  </conditionalFormatting>
  <conditionalFormatting sqref="AA231:AC231 AA233:AC233">
    <cfRule type="cellIs" dxfId="6866" priority="5547" operator="between">
      <formula>0.56251</formula>
      <formula>0.7125</formula>
    </cfRule>
    <cfRule type="cellIs" dxfId="6865" priority="5548" operator="between">
      <formula>0.3751</formula>
      <formula>0.5625</formula>
    </cfRule>
    <cfRule type="cellIs" dxfId="6864" priority="5549" operator="greaterThan">
      <formula>0.751</formula>
    </cfRule>
    <cfRule type="cellIs" dxfId="6863" priority="5550" operator="between">
      <formula>0.71251</formula>
      <formula>0.75</formula>
    </cfRule>
    <cfRule type="cellIs" dxfId="6862" priority="5551" stopIfTrue="1" operator="between">
      <formula>0</formula>
      <formula>0.375</formula>
    </cfRule>
  </conditionalFormatting>
  <conditionalFormatting sqref="U231:V231 U233:V233">
    <cfRule type="cellIs" dxfId="6861" priority="5537" operator="between">
      <formula>0.376</formula>
      <formula>0.475</formula>
    </cfRule>
    <cfRule type="cellIs" dxfId="6860" priority="5538" operator="between">
      <formula>0.2551</formula>
      <formula>0.3751</formula>
    </cfRule>
    <cfRule type="cellIs" dxfId="6859" priority="5539" operator="greaterThan">
      <formula>0.505</formula>
    </cfRule>
    <cfRule type="cellIs" dxfId="6858" priority="5540" operator="between">
      <formula>0.48</formula>
      <formula>0.5</formula>
    </cfRule>
    <cfRule type="cellIs" dxfId="6857" priority="5541" stopIfTrue="1" operator="between">
      <formula>0</formula>
      <formula>0.255</formula>
    </cfRule>
  </conditionalFormatting>
  <conditionalFormatting sqref="AG231 AG233">
    <cfRule type="cellIs" dxfId="6856" priority="5532" operator="between">
      <formula>0.76</formula>
      <formula>0.95</formula>
    </cfRule>
    <cfRule type="cellIs" dxfId="6855" priority="5533" operator="between">
      <formula>0.51</formula>
      <formula>0.75</formula>
    </cfRule>
    <cfRule type="cellIs" dxfId="6854" priority="5534" operator="greaterThan">
      <formula>1</formula>
    </cfRule>
    <cfRule type="cellIs" dxfId="6853" priority="5535" operator="between">
      <formula>0.95</formula>
      <formula>1</formula>
    </cfRule>
    <cfRule type="cellIs" dxfId="6852" priority="5536" stopIfTrue="1" operator="between">
      <formula>0</formula>
      <formula>0.5</formula>
    </cfRule>
  </conditionalFormatting>
  <conditionalFormatting sqref="U234:V235">
    <cfRule type="cellIs" dxfId="6851" priority="5480" operator="between">
      <formula>0.376</formula>
      <formula>0.475</formula>
    </cfRule>
    <cfRule type="cellIs" dxfId="6850" priority="5481" operator="between">
      <formula>0.2551</formula>
      <formula>0.3751</formula>
    </cfRule>
    <cfRule type="cellIs" dxfId="6849" priority="5482" operator="greaterThan">
      <formula>0.505</formula>
    </cfRule>
    <cfRule type="cellIs" dxfId="6848" priority="5483" operator="between">
      <formula>0.48</formula>
      <formula>0.5</formula>
    </cfRule>
    <cfRule type="cellIs" dxfId="6847" priority="5484" stopIfTrue="1" operator="between">
      <formula>0</formula>
      <formula>0.255</formula>
    </cfRule>
  </conditionalFormatting>
  <conditionalFormatting sqref="AG234:AG235">
    <cfRule type="cellIs" dxfId="6846" priority="5475" operator="between">
      <formula>0.76</formula>
      <formula>0.95</formula>
    </cfRule>
    <cfRule type="cellIs" dxfId="6845" priority="5476" operator="between">
      <formula>0.51</formula>
      <formula>0.75</formula>
    </cfRule>
    <cfRule type="cellIs" dxfId="6844" priority="5477" operator="greaterThan">
      <formula>1</formula>
    </cfRule>
    <cfRule type="cellIs" dxfId="6843" priority="5478" operator="between">
      <formula>0.95</formula>
      <formula>1</formula>
    </cfRule>
    <cfRule type="cellIs" dxfId="6842" priority="5479" stopIfTrue="1" operator="between">
      <formula>0</formula>
      <formula>0.5</formula>
    </cfRule>
  </conditionalFormatting>
  <conditionalFormatting sqref="M198:M205">
    <cfRule type="cellIs" dxfId="6841" priority="5433" operator="between">
      <formula>0.1876</formula>
      <formula>0.2375</formula>
    </cfRule>
    <cfRule type="cellIs" dxfId="6840" priority="5434" operator="between">
      <formula>0.1251</formula>
      <formula>0.1875</formula>
    </cfRule>
    <cfRule type="cellIs" dxfId="6839" priority="5435" operator="greaterThan">
      <formula>0.25</formula>
    </cfRule>
    <cfRule type="cellIs" dxfId="6838" priority="5436" operator="between">
      <formula>0.2376</formula>
      <formula>0.25</formula>
    </cfRule>
    <cfRule type="cellIs" dxfId="6837" priority="5437" stopIfTrue="1" operator="between">
      <formula>0</formula>
      <formula>0.125</formula>
    </cfRule>
  </conditionalFormatting>
  <conditionalFormatting sqref="N198:N205">
    <cfRule type="cellIs" dxfId="6836" priority="5428" operator="between">
      <formula>0.1876</formula>
      <formula>0.2375</formula>
    </cfRule>
    <cfRule type="cellIs" dxfId="6835" priority="5429" operator="between">
      <formula>0.1251</formula>
      <formula>0.1875</formula>
    </cfRule>
    <cfRule type="cellIs" dxfId="6834" priority="5430" operator="greaterThan">
      <formula>0.25</formula>
    </cfRule>
    <cfRule type="cellIs" dxfId="6833" priority="5431" operator="between">
      <formula>0.2376</formula>
      <formula>0.25</formula>
    </cfRule>
    <cfRule type="cellIs" dxfId="6832" priority="5432" stopIfTrue="1" operator="between">
      <formula>0</formula>
      <formula>0.125</formula>
    </cfRule>
  </conditionalFormatting>
  <conditionalFormatting sqref="O198:O205">
    <cfRule type="cellIs" dxfId="6831" priority="5423" operator="between">
      <formula>0.1876</formula>
      <formula>0.2375</formula>
    </cfRule>
    <cfRule type="cellIs" dxfId="6830" priority="5424" operator="between">
      <formula>0.1251</formula>
      <formula>0.1875</formula>
    </cfRule>
    <cfRule type="cellIs" dxfId="6829" priority="5425" operator="greaterThan">
      <formula>0.25</formula>
    </cfRule>
    <cfRule type="cellIs" dxfId="6828" priority="5426" operator="between">
      <formula>0.2375</formula>
      <formula>0.25</formula>
    </cfRule>
    <cfRule type="cellIs" dxfId="6827" priority="5427" stopIfTrue="1" operator="between">
      <formula>0</formula>
      <formula>0.125</formula>
    </cfRule>
  </conditionalFormatting>
  <conditionalFormatting sqref="N206">
    <cfRule type="cellIs" dxfId="6826" priority="5418" operator="between">
      <formula>0.1876</formula>
      <formula>0.2375</formula>
    </cfRule>
    <cfRule type="cellIs" dxfId="6825" priority="5419" operator="between">
      <formula>0.1251</formula>
      <formula>0.1875</formula>
    </cfRule>
    <cfRule type="cellIs" dxfId="6824" priority="5420" operator="greaterThan">
      <formula>0.25</formula>
    </cfRule>
    <cfRule type="cellIs" dxfId="6823" priority="5421" operator="between">
      <formula>0.2376</formula>
      <formula>0.25</formula>
    </cfRule>
    <cfRule type="cellIs" dxfId="6822" priority="5422" stopIfTrue="1" operator="between">
      <formula>0</formula>
      <formula>0.125</formula>
    </cfRule>
  </conditionalFormatting>
  <conditionalFormatting sqref="AG28 AI28 Z28">
    <cfRule type="cellIs" dxfId="6821" priority="5413" operator="between">
      <formula>0.76</formula>
      <formula>0.95</formula>
    </cfRule>
    <cfRule type="cellIs" dxfId="6820" priority="5414" operator="between">
      <formula>0.51</formula>
      <formula>0.75</formula>
    </cfRule>
    <cfRule type="cellIs" dxfId="6819" priority="5415" operator="greaterThan">
      <formula>1</formula>
    </cfRule>
    <cfRule type="cellIs" dxfId="6818" priority="5416" operator="between">
      <formula>0.95</formula>
      <formula>1</formula>
    </cfRule>
    <cfRule type="cellIs" dxfId="6817" priority="5417" stopIfTrue="1" operator="between">
      <formula>0</formula>
      <formula>0.5</formula>
    </cfRule>
  </conditionalFormatting>
  <conditionalFormatting sqref="R28:S28">
    <cfRule type="cellIs" dxfId="6816" priority="5408" operator="between">
      <formula>0.76</formula>
      <formula>0.95</formula>
    </cfRule>
    <cfRule type="cellIs" dxfId="6815" priority="5409" operator="between">
      <formula>0.51</formula>
      <formula>0.75</formula>
    </cfRule>
    <cfRule type="cellIs" dxfId="6814" priority="5410" operator="greaterThan">
      <formula>1</formula>
    </cfRule>
    <cfRule type="cellIs" dxfId="6813" priority="5411" operator="between">
      <formula>0.95</formula>
      <formula>1</formula>
    </cfRule>
    <cfRule type="cellIs" dxfId="6812" priority="5412" stopIfTrue="1" operator="between">
      <formula>0</formula>
      <formula>0.5</formula>
    </cfRule>
  </conditionalFormatting>
  <conditionalFormatting sqref="Y28">
    <cfRule type="cellIs" dxfId="6811" priority="5403" operator="between">
      <formula>0.76</formula>
      <formula>0.95</formula>
    </cfRule>
    <cfRule type="cellIs" dxfId="6810" priority="5404" operator="between">
      <formula>0.51</formula>
      <formula>0.75</formula>
    </cfRule>
    <cfRule type="cellIs" dxfId="6809" priority="5405" operator="greaterThan">
      <formula>1</formula>
    </cfRule>
    <cfRule type="cellIs" dxfId="6808" priority="5406" operator="between">
      <formula>0.95</formula>
      <formula>1</formula>
    </cfRule>
    <cfRule type="cellIs" dxfId="6807" priority="5407" stopIfTrue="1" operator="between">
      <formula>0</formula>
      <formula>0.5</formula>
    </cfRule>
  </conditionalFormatting>
  <conditionalFormatting sqref="AF28">
    <cfRule type="cellIs" dxfId="6806" priority="5398" operator="between">
      <formula>0.76</formula>
      <formula>0.95</formula>
    </cfRule>
    <cfRule type="cellIs" dxfId="6805" priority="5399" operator="between">
      <formula>0.51</formula>
      <formula>0.75</formula>
    </cfRule>
    <cfRule type="cellIs" dxfId="6804" priority="5400" operator="greaterThan">
      <formula>1</formula>
    </cfRule>
    <cfRule type="cellIs" dxfId="6803" priority="5401" operator="between">
      <formula>0.95</formula>
      <formula>1</formula>
    </cfRule>
    <cfRule type="cellIs" dxfId="6802" priority="5402" stopIfTrue="1" operator="between">
      <formula>0</formula>
      <formula>0.5</formula>
    </cfRule>
  </conditionalFormatting>
  <conditionalFormatting sqref="T28">
    <cfRule type="cellIs" dxfId="6801" priority="5393" operator="between">
      <formula>0.3751</formula>
      <formula>0.475</formula>
    </cfRule>
    <cfRule type="cellIs" dxfId="6800" priority="5394" operator="between">
      <formula>0.2551</formula>
      <formula>0.375</formula>
    </cfRule>
    <cfRule type="cellIs" dxfId="6799" priority="5395" operator="greaterThan">
      <formula>0.505</formula>
    </cfRule>
    <cfRule type="cellIs" dxfId="6798" priority="5396" operator="between">
      <formula>0.48</formula>
      <formula>0.5</formula>
    </cfRule>
    <cfRule type="cellIs" dxfId="6797" priority="5397" stopIfTrue="1" operator="between">
      <formula>0</formula>
      <formula>0.255</formula>
    </cfRule>
  </conditionalFormatting>
  <conditionalFormatting sqref="AA28:AC28">
    <cfRule type="cellIs" dxfId="6796" priority="5388" operator="between">
      <formula>0.56251</formula>
      <formula>0.7125</formula>
    </cfRule>
    <cfRule type="cellIs" dxfId="6795" priority="5389" operator="between">
      <formula>0.3751</formula>
      <formula>0.5625</formula>
    </cfRule>
    <cfRule type="cellIs" dxfId="6794" priority="5390" operator="greaterThan">
      <formula>0.751</formula>
    </cfRule>
    <cfRule type="cellIs" dxfId="6793" priority="5391" operator="between">
      <formula>0.71251</formula>
      <formula>0.75</formula>
    </cfRule>
    <cfRule type="cellIs" dxfId="6792" priority="5392" stopIfTrue="1" operator="between">
      <formula>0</formula>
      <formula>0.375</formula>
    </cfRule>
  </conditionalFormatting>
  <conditionalFormatting sqref="AH28">
    <cfRule type="cellIs" dxfId="6791" priority="5383" operator="between">
      <formula>0.76</formula>
      <formula>0.95</formula>
    </cfRule>
    <cfRule type="cellIs" dxfId="6790" priority="5384" operator="between">
      <formula>0.51</formula>
      <formula>0.75</formula>
    </cfRule>
    <cfRule type="cellIs" dxfId="6789" priority="5385" operator="greaterThan">
      <formula>1</formula>
    </cfRule>
    <cfRule type="cellIs" dxfId="6788" priority="5386" operator="between">
      <formula>0.95</formula>
      <formula>1</formula>
    </cfRule>
    <cfRule type="cellIs" dxfId="6787" priority="5387" stopIfTrue="1" operator="between">
      <formula>0</formula>
      <formula>0.5</formula>
    </cfRule>
  </conditionalFormatting>
  <conditionalFormatting sqref="U28:V28">
    <cfRule type="cellIs" dxfId="6786" priority="5373" operator="between">
      <formula>0.376</formula>
      <formula>0.475</formula>
    </cfRule>
    <cfRule type="cellIs" dxfId="6785" priority="5374" operator="between">
      <formula>0.2551</formula>
      <formula>0.3751</formula>
    </cfRule>
    <cfRule type="cellIs" dxfId="6784" priority="5375" operator="greaterThan">
      <formula>0.505</formula>
    </cfRule>
    <cfRule type="cellIs" dxfId="6783" priority="5376" operator="between">
      <formula>0.48</formula>
      <formula>0.5</formula>
    </cfRule>
    <cfRule type="cellIs" dxfId="6782" priority="5377" stopIfTrue="1" operator="between">
      <formula>0</formula>
      <formula>0.255</formula>
    </cfRule>
  </conditionalFormatting>
  <conditionalFormatting sqref="Y290 AF290 R290 AH290:AI290">
    <cfRule type="cellIs" dxfId="6781" priority="5326" operator="between">
      <formula>0.76</formula>
      <formula>0.95</formula>
    </cfRule>
    <cfRule type="cellIs" dxfId="6780" priority="5327" operator="between">
      <formula>0.51</formula>
      <formula>0.75</formula>
    </cfRule>
    <cfRule type="cellIs" dxfId="6779" priority="5328" operator="greaterThan">
      <formula>1</formula>
    </cfRule>
    <cfRule type="cellIs" dxfId="6778" priority="5329" operator="between">
      <formula>0.95</formula>
      <formula>1</formula>
    </cfRule>
    <cfRule type="cellIs" dxfId="6777" priority="5330" stopIfTrue="1" operator="between">
      <formula>0</formula>
      <formula>0.5</formula>
    </cfRule>
  </conditionalFormatting>
  <conditionalFormatting sqref="T290">
    <cfRule type="cellIs" dxfId="6776" priority="5321" operator="between">
      <formula>0.3751</formula>
      <formula>0.475</formula>
    </cfRule>
    <cfRule type="cellIs" dxfId="6775" priority="5322" operator="between">
      <formula>0.2551</formula>
      <formula>0.375</formula>
    </cfRule>
    <cfRule type="cellIs" dxfId="6774" priority="5323" operator="greaterThan">
      <formula>0.505</formula>
    </cfRule>
    <cfRule type="cellIs" dxfId="6773" priority="5324" operator="between">
      <formula>0.48</formula>
      <formula>0.5</formula>
    </cfRule>
    <cfRule type="cellIs" dxfId="6772" priority="5325" stopIfTrue="1" operator="between">
      <formula>0</formula>
      <formula>0.255</formula>
    </cfRule>
  </conditionalFormatting>
  <conditionalFormatting sqref="AA290:AB290">
    <cfRule type="cellIs" dxfId="6771" priority="5316" operator="between">
      <formula>0.56251</formula>
      <formula>0.7125</formula>
    </cfRule>
    <cfRule type="cellIs" dxfId="6770" priority="5317" operator="between">
      <formula>0.3751</formula>
      <formula>0.5625</formula>
    </cfRule>
    <cfRule type="cellIs" dxfId="6769" priority="5318" operator="greaterThan">
      <formula>0.751</formula>
    </cfRule>
    <cfRule type="cellIs" dxfId="6768" priority="5319" operator="between">
      <formula>0.71251</formula>
      <formula>0.75</formula>
    </cfRule>
    <cfRule type="cellIs" dxfId="6767" priority="5320" stopIfTrue="1" operator="between">
      <formula>0</formula>
      <formula>0.375</formula>
    </cfRule>
  </conditionalFormatting>
  <conditionalFormatting sqref="U290">
    <cfRule type="cellIs" dxfId="6766" priority="5306" operator="between">
      <formula>0.376</formula>
      <formula>0.475</formula>
    </cfRule>
    <cfRule type="cellIs" dxfId="6765" priority="5307" operator="between">
      <formula>0.2551</formula>
      <formula>0.3751</formula>
    </cfRule>
    <cfRule type="cellIs" dxfId="6764" priority="5308" operator="greaterThan">
      <formula>0.505</formula>
    </cfRule>
    <cfRule type="cellIs" dxfId="6763" priority="5309" operator="between">
      <formula>0.48</formula>
      <formula>0.5</formula>
    </cfRule>
    <cfRule type="cellIs" dxfId="6762" priority="5310" stopIfTrue="1" operator="between">
      <formula>0</formula>
      <formula>0.255</formula>
    </cfRule>
  </conditionalFormatting>
  <conditionalFormatting sqref="S290">
    <cfRule type="cellIs" dxfId="6761" priority="5281" operator="between">
      <formula>0.76</formula>
      <formula>0.95</formula>
    </cfRule>
    <cfRule type="cellIs" dxfId="6760" priority="5282" operator="between">
      <formula>0.51</formula>
      <formula>0.75</formula>
    </cfRule>
    <cfRule type="cellIs" dxfId="6759" priority="5283" operator="greaterThan">
      <formula>1</formula>
    </cfRule>
    <cfRule type="cellIs" dxfId="6758" priority="5284" operator="between">
      <formula>0.95</formula>
      <formula>1</formula>
    </cfRule>
    <cfRule type="cellIs" dxfId="6757" priority="5285" stopIfTrue="1" operator="between">
      <formula>0</formula>
      <formula>0.5</formula>
    </cfRule>
  </conditionalFormatting>
  <conditionalFormatting sqref="Z290">
    <cfRule type="cellIs" dxfId="6756" priority="5276" operator="between">
      <formula>0.76</formula>
      <formula>0.95</formula>
    </cfRule>
    <cfRule type="cellIs" dxfId="6755" priority="5277" operator="between">
      <formula>0.51</formula>
      <formula>0.75</formula>
    </cfRule>
    <cfRule type="cellIs" dxfId="6754" priority="5278" operator="greaterThan">
      <formula>1</formula>
    </cfRule>
    <cfRule type="cellIs" dxfId="6753" priority="5279" operator="between">
      <formula>0.95</formula>
      <formula>1</formula>
    </cfRule>
    <cfRule type="cellIs" dxfId="6752" priority="5280" stopIfTrue="1" operator="between">
      <formula>0</formula>
      <formula>0.5</formula>
    </cfRule>
  </conditionalFormatting>
  <conditionalFormatting sqref="AG290">
    <cfRule type="cellIs" dxfId="6751" priority="5271" operator="between">
      <formula>0.76</formula>
      <formula>0.95</formula>
    </cfRule>
    <cfRule type="cellIs" dxfId="6750" priority="5272" operator="between">
      <formula>0.51</formula>
      <formula>0.75</formula>
    </cfRule>
    <cfRule type="cellIs" dxfId="6749" priority="5273" operator="greaterThan">
      <formula>1</formula>
    </cfRule>
    <cfRule type="cellIs" dxfId="6748" priority="5274" operator="between">
      <formula>0.95</formula>
      <formula>1</formula>
    </cfRule>
    <cfRule type="cellIs" dxfId="6747" priority="5275" stopIfTrue="1" operator="between">
      <formula>0</formula>
      <formula>0.5</formula>
    </cfRule>
  </conditionalFormatting>
  <conditionalFormatting sqref="R197 Y197 AF197 AH197:AI197">
    <cfRule type="cellIs" dxfId="6746" priority="5244" operator="between">
      <formula>0.76</formula>
      <formula>0.95</formula>
    </cfRule>
    <cfRule type="cellIs" dxfId="6745" priority="5245" operator="between">
      <formula>0.51</formula>
      <formula>0.75</formula>
    </cfRule>
    <cfRule type="cellIs" dxfId="6744" priority="5246" operator="greaterThan">
      <formula>1</formula>
    </cfRule>
    <cfRule type="cellIs" dxfId="6743" priority="5247" operator="between">
      <formula>0.95</formula>
      <formula>1</formula>
    </cfRule>
    <cfRule type="cellIs" dxfId="6742" priority="5248" stopIfTrue="1" operator="between">
      <formula>0</formula>
      <formula>0.5</formula>
    </cfRule>
  </conditionalFormatting>
  <conditionalFormatting sqref="T197">
    <cfRule type="cellIs" dxfId="6741" priority="5239" operator="between">
      <formula>0.3751</formula>
      <formula>0.475</formula>
    </cfRule>
    <cfRule type="cellIs" dxfId="6740" priority="5240" operator="between">
      <formula>0.2551</formula>
      <formula>0.375</formula>
    </cfRule>
    <cfRule type="cellIs" dxfId="6739" priority="5241" operator="greaterThan">
      <formula>0.505</formula>
    </cfRule>
    <cfRule type="cellIs" dxfId="6738" priority="5242" operator="between">
      <formula>0.48</formula>
      <formula>0.5</formula>
    </cfRule>
    <cfRule type="cellIs" dxfId="6737" priority="5243" stopIfTrue="1" operator="between">
      <formula>0</formula>
      <formula>0.255</formula>
    </cfRule>
  </conditionalFormatting>
  <conditionalFormatting sqref="AA197:AB197">
    <cfRule type="cellIs" dxfId="6736" priority="5234" operator="between">
      <formula>0.56251</formula>
      <formula>0.7125</formula>
    </cfRule>
    <cfRule type="cellIs" dxfId="6735" priority="5235" operator="between">
      <formula>0.3751</formula>
      <formula>0.5625</formula>
    </cfRule>
    <cfRule type="cellIs" dxfId="6734" priority="5236" operator="greaterThan">
      <formula>0.751</formula>
    </cfRule>
    <cfRule type="cellIs" dxfId="6733" priority="5237" operator="between">
      <formula>0.71251</formula>
      <formula>0.75</formula>
    </cfRule>
    <cfRule type="cellIs" dxfId="6732" priority="5238" stopIfTrue="1" operator="between">
      <formula>0</formula>
      <formula>0.375</formula>
    </cfRule>
  </conditionalFormatting>
  <conditionalFormatting sqref="U197">
    <cfRule type="cellIs" dxfId="6731" priority="5229" operator="between">
      <formula>0.376</formula>
      <formula>0.475</formula>
    </cfRule>
    <cfRule type="cellIs" dxfId="6730" priority="5230" operator="between">
      <formula>0.2551</formula>
      <formula>0.3751</formula>
    </cfRule>
    <cfRule type="cellIs" dxfId="6729" priority="5231" operator="greaterThan">
      <formula>0.505</formula>
    </cfRule>
    <cfRule type="cellIs" dxfId="6728" priority="5232" operator="between">
      <formula>0.48</formula>
      <formula>0.5</formula>
    </cfRule>
    <cfRule type="cellIs" dxfId="6727" priority="5233" stopIfTrue="1" operator="between">
      <formula>0</formula>
      <formula>0.255</formula>
    </cfRule>
  </conditionalFormatting>
  <conditionalFormatting sqref="AG197">
    <cfRule type="cellIs" dxfId="6726" priority="5221" operator="between">
      <formula>0.76</formula>
      <formula>0.95</formula>
    </cfRule>
    <cfRule type="cellIs" dxfId="6725" priority="5222" operator="between">
      <formula>0.51</formula>
      <formula>0.75</formula>
    </cfRule>
    <cfRule type="cellIs" dxfId="6724" priority="5223" operator="greaterThan">
      <formula>1</formula>
    </cfRule>
    <cfRule type="cellIs" dxfId="6723" priority="5224" operator="between">
      <formula>0.95</formula>
      <formula>1</formula>
    </cfRule>
    <cfRule type="cellIs" dxfId="6722" priority="5225" stopIfTrue="1" operator="between">
      <formula>0</formula>
      <formula>0.5</formula>
    </cfRule>
  </conditionalFormatting>
  <conditionalFormatting sqref="Z197">
    <cfRule type="cellIs" dxfId="6721" priority="5216" operator="between">
      <formula>0.76</formula>
      <formula>0.95</formula>
    </cfRule>
    <cfRule type="cellIs" dxfId="6720" priority="5217" operator="between">
      <formula>0.51</formula>
      <formula>0.75</formula>
    </cfRule>
    <cfRule type="cellIs" dxfId="6719" priority="5218" operator="greaterThan">
      <formula>1</formula>
    </cfRule>
    <cfRule type="cellIs" dxfId="6718" priority="5219" operator="between">
      <formula>0.95</formula>
      <formula>1</formula>
    </cfRule>
    <cfRule type="cellIs" dxfId="6717" priority="5220" stopIfTrue="1" operator="between">
      <formula>0</formula>
      <formula>0.5</formula>
    </cfRule>
  </conditionalFormatting>
  <conditionalFormatting sqref="AC197">
    <cfRule type="cellIs" dxfId="6716" priority="5211" operator="between">
      <formula>0.56251</formula>
      <formula>0.7125</formula>
    </cfRule>
    <cfRule type="cellIs" dxfId="6715" priority="5212" operator="between">
      <formula>0.3751</formula>
      <formula>0.5625</formula>
    </cfRule>
    <cfRule type="cellIs" dxfId="6714" priority="5213" operator="greaterThan">
      <formula>0.751</formula>
    </cfRule>
    <cfRule type="cellIs" dxfId="6713" priority="5214" operator="between">
      <formula>0.71251</formula>
      <formula>0.75</formula>
    </cfRule>
    <cfRule type="cellIs" dxfId="6712" priority="5215" stopIfTrue="1" operator="between">
      <formula>0</formula>
      <formula>0.375</formula>
    </cfRule>
  </conditionalFormatting>
  <conditionalFormatting sqref="S197">
    <cfRule type="cellIs" dxfId="6711" priority="5206" operator="between">
      <formula>0.76</formula>
      <formula>0.95</formula>
    </cfRule>
    <cfRule type="cellIs" dxfId="6710" priority="5207" operator="between">
      <formula>0.51</formula>
      <formula>0.75</formula>
    </cfRule>
    <cfRule type="cellIs" dxfId="6709" priority="5208" operator="greaterThan">
      <formula>1</formula>
    </cfRule>
    <cfRule type="cellIs" dxfId="6708" priority="5209" operator="between">
      <formula>0.95</formula>
      <formula>1</formula>
    </cfRule>
    <cfRule type="cellIs" dxfId="6707" priority="5210" stopIfTrue="1" operator="between">
      <formula>0</formula>
      <formula>0.5</formula>
    </cfRule>
  </conditionalFormatting>
  <conditionalFormatting sqref="V197">
    <cfRule type="cellIs" dxfId="6706" priority="5201" operator="between">
      <formula>0.376</formula>
      <formula>0.475</formula>
    </cfRule>
    <cfRule type="cellIs" dxfId="6705" priority="5202" operator="between">
      <formula>0.2551</formula>
      <formula>0.3751</formula>
    </cfRule>
    <cfRule type="cellIs" dxfId="6704" priority="5203" operator="greaterThan">
      <formula>0.505</formula>
    </cfRule>
    <cfRule type="cellIs" dxfId="6703" priority="5204" operator="between">
      <formula>0.48</formula>
      <formula>0.5</formula>
    </cfRule>
    <cfRule type="cellIs" dxfId="6702" priority="5205" stopIfTrue="1" operator="between">
      <formula>0</formula>
      <formula>0.255</formula>
    </cfRule>
  </conditionalFormatting>
  <conditionalFormatting sqref="M197">
    <cfRule type="cellIs" dxfId="6701" priority="5191" operator="between">
      <formula>0.1876</formula>
      <formula>0.2375</formula>
    </cfRule>
    <cfRule type="cellIs" dxfId="6700" priority="5192" operator="between">
      <formula>0.1251</formula>
      <formula>0.1875</formula>
    </cfRule>
    <cfRule type="cellIs" dxfId="6699" priority="5193" operator="greaterThan">
      <formula>0.25</formula>
    </cfRule>
    <cfRule type="cellIs" dxfId="6698" priority="5194" operator="between">
      <formula>0.2376</formula>
      <formula>0.25</formula>
    </cfRule>
    <cfRule type="cellIs" dxfId="6697" priority="5195" stopIfTrue="1" operator="between">
      <formula>0</formula>
      <formula>0.125</formula>
    </cfRule>
  </conditionalFormatting>
  <conditionalFormatting sqref="N197">
    <cfRule type="cellIs" dxfId="6696" priority="5186" operator="between">
      <formula>0.1876</formula>
      <formula>0.2375</formula>
    </cfRule>
    <cfRule type="cellIs" dxfId="6695" priority="5187" operator="between">
      <formula>0.1251</formula>
      <formula>0.1875</formula>
    </cfRule>
    <cfRule type="cellIs" dxfId="6694" priority="5188" operator="greaterThan">
      <formula>0.25</formula>
    </cfRule>
    <cfRule type="cellIs" dxfId="6693" priority="5189" operator="between">
      <formula>0.2376</formula>
      <formula>0.25</formula>
    </cfRule>
    <cfRule type="cellIs" dxfId="6692" priority="5190" stopIfTrue="1" operator="between">
      <formula>0</formula>
      <formula>0.125</formula>
    </cfRule>
  </conditionalFormatting>
  <conditionalFormatting sqref="O197">
    <cfRule type="cellIs" dxfId="6691" priority="5181" operator="between">
      <formula>0.1876</formula>
      <formula>0.2375</formula>
    </cfRule>
    <cfRule type="cellIs" dxfId="6690" priority="5182" operator="between">
      <formula>0.1251</formula>
      <formula>0.1875</formula>
    </cfRule>
    <cfRule type="cellIs" dxfId="6689" priority="5183" operator="greaterThan">
      <formula>0.25</formula>
    </cfRule>
    <cfRule type="cellIs" dxfId="6688" priority="5184" operator="between">
      <formula>0.2375</formula>
      <formula>0.25</formula>
    </cfRule>
    <cfRule type="cellIs" dxfId="6687" priority="5185" stopIfTrue="1" operator="between">
      <formula>0</formula>
      <formula>0.125</formula>
    </cfRule>
  </conditionalFormatting>
  <conditionalFormatting sqref="O15">
    <cfRule type="cellIs" dxfId="6686" priority="5025" operator="between">
      <formula>0.1876</formula>
      <formula>0.2375</formula>
    </cfRule>
    <cfRule type="cellIs" dxfId="6685" priority="5026" operator="between">
      <formula>0.1251</formula>
      <formula>0.1875</formula>
    </cfRule>
    <cfRule type="cellIs" dxfId="6684" priority="5027" operator="greaterThan">
      <formula>0.25</formula>
    </cfRule>
    <cfRule type="cellIs" dxfId="6683" priority="5028" operator="between">
      <formula>0.2376</formula>
      <formula>0.25</formula>
    </cfRule>
    <cfRule type="cellIs" dxfId="6682" priority="5029" stopIfTrue="1" operator="between">
      <formula>0</formula>
      <formula>0.125</formula>
    </cfRule>
  </conditionalFormatting>
  <conditionalFormatting sqref="N16">
    <cfRule type="cellIs" dxfId="6681" priority="5020" operator="between">
      <formula>0.1876</formula>
      <formula>0.2375</formula>
    </cfRule>
    <cfRule type="cellIs" dxfId="6680" priority="5021" operator="between">
      <formula>0.1251</formula>
      <formula>0.1875</formula>
    </cfRule>
    <cfRule type="cellIs" dxfId="6679" priority="5022" operator="greaterThan">
      <formula>0.25</formula>
    </cfRule>
    <cfRule type="cellIs" dxfId="6678" priority="5023" operator="between">
      <formula>0.2376</formula>
      <formula>0.25</formula>
    </cfRule>
    <cfRule type="cellIs" dxfId="6677" priority="5024" stopIfTrue="1" operator="between">
      <formula>0</formula>
      <formula>0.125</formula>
    </cfRule>
  </conditionalFormatting>
  <conditionalFormatting sqref="O16">
    <cfRule type="cellIs" dxfId="6676" priority="5015" operator="between">
      <formula>0.1876</formula>
      <formula>0.2375</formula>
    </cfRule>
    <cfRule type="cellIs" dxfId="6675" priority="5016" operator="between">
      <formula>0.1251</formula>
      <formula>0.1875</formula>
    </cfRule>
    <cfRule type="cellIs" dxfId="6674" priority="5017" operator="greaterThan">
      <formula>0.25</formula>
    </cfRule>
    <cfRule type="cellIs" dxfId="6673" priority="5018" operator="between">
      <formula>0.2376</formula>
      <formula>0.25</formula>
    </cfRule>
    <cfRule type="cellIs" dxfId="6672" priority="5019" stopIfTrue="1" operator="between">
      <formula>0</formula>
      <formula>0.125</formula>
    </cfRule>
  </conditionalFormatting>
  <conditionalFormatting sqref="N17:N18 N22:N29 N84:N88 N47 N49 N53 N56 N58:N60 N65:N67 N31">
    <cfRule type="cellIs" dxfId="6671" priority="5010" operator="between">
      <formula>0.1876</formula>
      <formula>0.2375</formula>
    </cfRule>
    <cfRule type="cellIs" dxfId="6670" priority="5011" operator="between">
      <formula>0.1251</formula>
      <formula>0.1875</formula>
    </cfRule>
    <cfRule type="cellIs" dxfId="6669" priority="5012" operator="greaterThan">
      <formula>0.25</formula>
    </cfRule>
    <cfRule type="cellIs" dxfId="6668" priority="5013" operator="between">
      <formula>0.2376</formula>
      <formula>0.25</formula>
    </cfRule>
    <cfRule type="cellIs" dxfId="6667" priority="5014" stopIfTrue="1" operator="between">
      <formula>0</formula>
      <formula>0.125</formula>
    </cfRule>
  </conditionalFormatting>
  <conditionalFormatting sqref="O17:O18 O22:O29 O47 O49 O53 O56 O58:O60 O65:O67 O31 O84:O88">
    <cfRule type="cellIs" dxfId="6666" priority="5005" operator="between">
      <formula>0.1876</formula>
      <formula>0.2375</formula>
    </cfRule>
    <cfRule type="cellIs" dxfId="6665" priority="5006" operator="between">
      <formula>0.1251</formula>
      <formula>0.1875</formula>
    </cfRule>
    <cfRule type="cellIs" dxfId="6664" priority="5007" operator="greaterThan">
      <formula>0.25</formula>
    </cfRule>
    <cfRule type="cellIs" dxfId="6663" priority="5008" operator="between">
      <formula>0.2376</formula>
      <formula>0.25</formula>
    </cfRule>
    <cfRule type="cellIs" dxfId="6662" priority="5009" stopIfTrue="1" operator="between">
      <formula>0</formula>
      <formula>0.125</formula>
    </cfRule>
  </conditionalFormatting>
  <conditionalFormatting sqref="M16">
    <cfRule type="cellIs" dxfId="6661" priority="5000" operator="between">
      <formula>0.1876</formula>
      <formula>0.2375</formula>
    </cfRule>
    <cfRule type="cellIs" dxfId="6660" priority="5001" operator="between">
      <formula>0.1251</formula>
      <formula>0.1875</formula>
    </cfRule>
    <cfRule type="cellIs" dxfId="6659" priority="5002" operator="greaterThan">
      <formula>0.25</formula>
    </cfRule>
    <cfRule type="cellIs" dxfId="6658" priority="5003" operator="between">
      <formula>0.2375</formula>
      <formula>0.25</formula>
    </cfRule>
    <cfRule type="cellIs" dxfId="6657" priority="5004" stopIfTrue="1" operator="between">
      <formula>0</formula>
      <formula>0.125</formula>
    </cfRule>
  </conditionalFormatting>
  <conditionalFormatting sqref="M17:M18 M22:M29 M84:M88 M47 M49 M53 M56 M58:M60 M65:M67 M31">
    <cfRule type="cellIs" dxfId="6656" priority="4995" operator="between">
      <formula>0.1876</formula>
      <formula>0.2375</formula>
    </cfRule>
    <cfRule type="cellIs" dxfId="6655" priority="4996" operator="between">
      <formula>0.1251</formula>
      <formula>0.1875</formula>
    </cfRule>
    <cfRule type="cellIs" dxfId="6654" priority="4997" operator="greaterThan">
      <formula>0.25</formula>
    </cfRule>
    <cfRule type="cellIs" dxfId="6653" priority="4998" operator="between">
      <formula>0.2375</formula>
      <formula>0.25</formula>
    </cfRule>
    <cfRule type="cellIs" dxfId="6652" priority="4999" stopIfTrue="1" operator="between">
      <formula>0</formula>
      <formula>0.125</formula>
    </cfRule>
  </conditionalFormatting>
  <conditionalFormatting sqref="L132">
    <cfRule type="cellIs" dxfId="6651" priority="4990" operator="between">
      <formula>0.76</formula>
      <formula>0.95</formula>
    </cfRule>
    <cfRule type="cellIs" dxfId="6650" priority="4991" operator="between">
      <formula>0.51</formula>
      <formula>0.75</formula>
    </cfRule>
    <cfRule type="cellIs" dxfId="6649" priority="4992" operator="greaterThan">
      <formula>1</formula>
    </cfRule>
    <cfRule type="cellIs" dxfId="6648" priority="4993" operator="between">
      <formula>0.96</formula>
      <formula>1</formula>
    </cfRule>
    <cfRule type="cellIs" dxfId="6647" priority="4994" stopIfTrue="1" operator="between">
      <formula>0</formula>
      <formula>0.5</formula>
    </cfRule>
  </conditionalFormatting>
  <conditionalFormatting sqref="K16">
    <cfRule type="cellIs" dxfId="6646" priority="4985" operator="between">
      <formula>0.76</formula>
      <formula>0.95</formula>
    </cfRule>
    <cfRule type="cellIs" dxfId="6645" priority="4986" operator="between">
      <formula>0.51</formula>
      <formula>0.75</formula>
    </cfRule>
    <cfRule type="cellIs" dxfId="6644" priority="4987" operator="greaterThan">
      <formula>1</formula>
    </cfRule>
    <cfRule type="cellIs" dxfId="6643" priority="4988" operator="between">
      <formula>0.96</formula>
      <formula>1</formula>
    </cfRule>
    <cfRule type="cellIs" dxfId="6642" priority="4989" stopIfTrue="1" operator="between">
      <formula>0</formula>
      <formula>0.5</formula>
    </cfRule>
  </conditionalFormatting>
  <conditionalFormatting sqref="L16">
    <cfRule type="cellIs" dxfId="6641" priority="4980" operator="between">
      <formula>0.76</formula>
      <formula>0.95</formula>
    </cfRule>
    <cfRule type="cellIs" dxfId="6640" priority="4981" operator="between">
      <formula>0.51</formula>
      <formula>0.75</formula>
    </cfRule>
    <cfRule type="cellIs" dxfId="6639" priority="4982" operator="greaterThan">
      <formula>1</formula>
    </cfRule>
    <cfRule type="cellIs" dxfId="6638" priority="4983" operator="between">
      <formula>0.96</formula>
      <formula>1</formula>
    </cfRule>
    <cfRule type="cellIs" dxfId="6637" priority="4984" stopIfTrue="1" operator="between">
      <formula>0</formula>
      <formula>0.5</formula>
    </cfRule>
  </conditionalFormatting>
  <conditionalFormatting sqref="K17:K18 K22:K29 K47 K49 K53 K58:K60 K65:K67 K84:K88 K31">
    <cfRule type="cellIs" dxfId="6636" priority="4975" operator="between">
      <formula>0.76</formula>
      <formula>0.95</formula>
    </cfRule>
    <cfRule type="cellIs" dxfId="6635" priority="4976" operator="between">
      <formula>0.51</formula>
      <formula>0.75</formula>
    </cfRule>
    <cfRule type="cellIs" dxfId="6634" priority="4977" operator="greaterThan">
      <formula>1</formula>
    </cfRule>
    <cfRule type="cellIs" dxfId="6633" priority="4978" operator="between">
      <formula>0.96</formula>
      <formula>1</formula>
    </cfRule>
    <cfRule type="cellIs" dxfId="6632" priority="4979" stopIfTrue="1" operator="between">
      <formula>0</formula>
      <formula>0.5</formula>
    </cfRule>
  </conditionalFormatting>
  <conditionalFormatting sqref="L17:L18 L22:L29 L47 L49 L53 L58:L60 L65:L67 L31 L84:L88">
    <cfRule type="cellIs" dxfId="6631" priority="4970" operator="between">
      <formula>0.76</formula>
      <formula>0.95</formula>
    </cfRule>
    <cfRule type="cellIs" dxfId="6630" priority="4971" operator="between">
      <formula>0.51</formula>
      <formula>0.75</formula>
    </cfRule>
    <cfRule type="cellIs" dxfId="6629" priority="4972" operator="greaterThan">
      <formula>1</formula>
    </cfRule>
    <cfRule type="cellIs" dxfId="6628" priority="4973" operator="between">
      <formula>0.96</formula>
      <formula>1</formula>
    </cfRule>
    <cfRule type="cellIs" dxfId="6627" priority="4974" stopIfTrue="1" operator="between">
      <formula>0</formula>
      <formula>0.5</formula>
    </cfRule>
  </conditionalFormatting>
  <conditionalFormatting sqref="L136">
    <cfRule type="cellIs" dxfId="6626" priority="4965" operator="between">
      <formula>0.76</formula>
      <formula>0.95</formula>
    </cfRule>
    <cfRule type="cellIs" dxfId="6625" priority="4966" operator="between">
      <formula>0.51</formula>
      <formula>0.75</formula>
    </cfRule>
    <cfRule type="cellIs" dxfId="6624" priority="4967" operator="greaterThan">
      <formula>1</formula>
    </cfRule>
    <cfRule type="cellIs" dxfId="6623" priority="4968" operator="between">
      <formula>0.96</formula>
      <formula>1</formula>
    </cfRule>
    <cfRule type="cellIs" dxfId="6622" priority="4969" stopIfTrue="1" operator="between">
      <formula>0</formula>
      <formula>0.5</formula>
    </cfRule>
  </conditionalFormatting>
  <conditionalFormatting sqref="M209">
    <cfRule type="cellIs" dxfId="6621" priority="4945" operator="between">
      <formula>0.1876</formula>
      <formula>0.2375</formula>
    </cfRule>
    <cfRule type="cellIs" dxfId="6620" priority="4946" operator="between">
      <formula>0.1251</formula>
      <formula>0.1875</formula>
    </cfRule>
    <cfRule type="cellIs" dxfId="6619" priority="4947" operator="greaterThan">
      <formula>0.25</formula>
    </cfRule>
    <cfRule type="cellIs" dxfId="6618" priority="4948" operator="between">
      <formula>0.2376</formula>
      <formula>0.25</formula>
    </cfRule>
    <cfRule type="cellIs" dxfId="6617" priority="4949" stopIfTrue="1" operator="between">
      <formula>0</formula>
      <formula>0.125</formula>
    </cfRule>
  </conditionalFormatting>
  <conditionalFormatting sqref="N209">
    <cfRule type="cellIs" dxfId="6616" priority="4940" operator="between">
      <formula>0.1876</formula>
      <formula>0.2375</formula>
    </cfRule>
    <cfRule type="cellIs" dxfId="6615" priority="4941" operator="between">
      <formula>0.1251</formula>
      <formula>0.1875</formula>
    </cfRule>
    <cfRule type="cellIs" dxfId="6614" priority="4942" operator="greaterThan">
      <formula>0.25</formula>
    </cfRule>
    <cfRule type="cellIs" dxfId="6613" priority="4943" operator="between">
      <formula>0.2376</formula>
      <formula>0.25</formula>
    </cfRule>
    <cfRule type="cellIs" dxfId="6612" priority="4944" stopIfTrue="1" operator="between">
      <formula>0</formula>
      <formula>0.125</formula>
    </cfRule>
  </conditionalFormatting>
  <conditionalFormatting sqref="O209">
    <cfRule type="cellIs" dxfId="6611" priority="4935" operator="between">
      <formula>0.1876</formula>
      <formula>0.2375</formula>
    </cfRule>
    <cfRule type="cellIs" dxfId="6610" priority="4936" operator="between">
      <formula>0.1251</formula>
      <formula>0.1875</formula>
    </cfRule>
    <cfRule type="cellIs" dxfId="6609" priority="4937" operator="greaterThan">
      <formula>0.25</formula>
    </cfRule>
    <cfRule type="cellIs" dxfId="6608" priority="4938" operator="between">
      <formula>0.2375</formula>
      <formula>0.25</formula>
    </cfRule>
    <cfRule type="cellIs" dxfId="6607" priority="4939" stopIfTrue="1" operator="between">
      <formula>0</formula>
      <formula>0.125</formula>
    </cfRule>
  </conditionalFormatting>
  <conditionalFormatting sqref="L209">
    <cfRule type="cellIs" dxfId="6606" priority="4930" operator="between">
      <formula>0.76</formula>
      <formula>0.95</formula>
    </cfRule>
    <cfRule type="cellIs" dxfId="6605" priority="4931" operator="between">
      <formula>0.51</formula>
      <formula>0.75</formula>
    </cfRule>
    <cfRule type="cellIs" dxfId="6604" priority="4932" operator="greaterThan">
      <formula>1</formula>
    </cfRule>
    <cfRule type="cellIs" dxfId="6603" priority="4933" operator="between">
      <formula>0.96</formula>
      <formula>1</formula>
    </cfRule>
    <cfRule type="cellIs" dxfId="6602" priority="4934" stopIfTrue="1" operator="between">
      <formula>0</formula>
      <formula>0.5</formula>
    </cfRule>
  </conditionalFormatting>
  <conditionalFormatting sqref="K209">
    <cfRule type="cellIs" dxfId="6601" priority="4925" operator="between">
      <formula>0.76</formula>
      <formula>0.95</formula>
    </cfRule>
    <cfRule type="cellIs" dxfId="6600" priority="4926" operator="between">
      <formula>0.51</formula>
      <formula>0.75</formula>
    </cfRule>
    <cfRule type="cellIs" dxfId="6599" priority="4927" operator="greaterThan">
      <formula>1</formula>
    </cfRule>
    <cfRule type="cellIs" dxfId="6598" priority="4928" operator="between">
      <formula>0.96</formula>
      <formula>1</formula>
    </cfRule>
    <cfRule type="cellIs" dxfId="6597" priority="4929" stopIfTrue="1" operator="between">
      <formula>0</formula>
      <formula>0.5</formula>
    </cfRule>
  </conditionalFormatting>
  <conditionalFormatting sqref="M210">
    <cfRule type="cellIs" dxfId="6596" priority="4920" operator="between">
      <formula>0.1876</formula>
      <formula>0.2375</formula>
    </cfRule>
    <cfRule type="cellIs" dxfId="6595" priority="4921" operator="between">
      <formula>0.1251</formula>
      <formula>0.1875</formula>
    </cfRule>
    <cfRule type="cellIs" dxfId="6594" priority="4922" operator="greaterThan">
      <formula>0.25</formula>
    </cfRule>
    <cfRule type="cellIs" dxfId="6593" priority="4923" operator="between">
      <formula>0.2376</formula>
      <formula>0.25</formula>
    </cfRule>
    <cfRule type="cellIs" dxfId="6592" priority="4924" stopIfTrue="1" operator="between">
      <formula>0</formula>
      <formula>0.125</formula>
    </cfRule>
  </conditionalFormatting>
  <conditionalFormatting sqref="N210">
    <cfRule type="cellIs" dxfId="6591" priority="4915" operator="between">
      <formula>0.1876</formula>
      <formula>0.2375</formula>
    </cfRule>
    <cfRule type="cellIs" dxfId="6590" priority="4916" operator="between">
      <formula>0.1251</formula>
      <formula>0.1875</formula>
    </cfRule>
    <cfRule type="cellIs" dxfId="6589" priority="4917" operator="greaterThan">
      <formula>0.25</formula>
    </cfRule>
    <cfRule type="cellIs" dxfId="6588" priority="4918" operator="between">
      <formula>0.2376</formula>
      <formula>0.25</formula>
    </cfRule>
    <cfRule type="cellIs" dxfId="6587" priority="4919" stopIfTrue="1" operator="between">
      <formula>0</formula>
      <formula>0.125</formula>
    </cfRule>
  </conditionalFormatting>
  <conditionalFormatting sqref="O210">
    <cfRule type="cellIs" dxfId="6586" priority="4910" operator="between">
      <formula>0.1876</formula>
      <formula>0.2375</formula>
    </cfRule>
    <cfRule type="cellIs" dxfId="6585" priority="4911" operator="between">
      <formula>0.1251</formula>
      <formula>0.1875</formula>
    </cfRule>
    <cfRule type="cellIs" dxfId="6584" priority="4912" operator="greaterThan">
      <formula>0.25</formula>
    </cfRule>
    <cfRule type="cellIs" dxfId="6583" priority="4913" operator="between">
      <formula>0.2375</formula>
      <formula>0.25</formula>
    </cfRule>
    <cfRule type="cellIs" dxfId="6582" priority="4914" stopIfTrue="1" operator="between">
      <formula>0</formula>
      <formula>0.125</formula>
    </cfRule>
  </conditionalFormatting>
  <conditionalFormatting sqref="L210">
    <cfRule type="cellIs" dxfId="6581" priority="4905" operator="between">
      <formula>0.76</formula>
      <formula>0.95</formula>
    </cfRule>
    <cfRule type="cellIs" dxfId="6580" priority="4906" operator="between">
      <formula>0.51</formula>
      <formula>0.75</formula>
    </cfRule>
    <cfRule type="cellIs" dxfId="6579" priority="4907" operator="greaterThan">
      <formula>1</formula>
    </cfRule>
    <cfRule type="cellIs" dxfId="6578" priority="4908" operator="between">
      <formula>0.96</formula>
      <formula>1</formula>
    </cfRule>
    <cfRule type="cellIs" dxfId="6577" priority="4909" stopIfTrue="1" operator="between">
      <formula>0</formula>
      <formula>0.5</formula>
    </cfRule>
  </conditionalFormatting>
  <conditionalFormatting sqref="K210">
    <cfRule type="cellIs" dxfId="6576" priority="4900" operator="between">
      <formula>0.76</formula>
      <formula>0.95</formula>
    </cfRule>
    <cfRule type="cellIs" dxfId="6575" priority="4901" operator="between">
      <formula>0.51</formula>
      <formula>0.75</formula>
    </cfRule>
    <cfRule type="cellIs" dxfId="6574" priority="4902" operator="greaterThan">
      <formula>1</formula>
    </cfRule>
    <cfRule type="cellIs" dxfId="6573" priority="4903" operator="between">
      <formula>0.96</formula>
      <formula>1</formula>
    </cfRule>
    <cfRule type="cellIs" dxfId="6572" priority="4904" stopIfTrue="1" operator="between">
      <formula>0</formula>
      <formula>0.5</formula>
    </cfRule>
  </conditionalFormatting>
  <conditionalFormatting sqref="N309:O309">
    <cfRule type="cellIs" dxfId="6571" priority="4870" operator="between">
      <formula>0.1876</formula>
      <formula>0.2375</formula>
    </cfRule>
    <cfRule type="cellIs" dxfId="6570" priority="4871" operator="between">
      <formula>0.1251</formula>
      <formula>0.1875</formula>
    </cfRule>
    <cfRule type="cellIs" dxfId="6569" priority="4872" operator="greaterThan">
      <formula>0.25</formula>
    </cfRule>
    <cfRule type="cellIs" dxfId="6568" priority="4873" operator="between">
      <formula>0.2376</formula>
      <formula>0.25</formula>
    </cfRule>
    <cfRule type="cellIs" dxfId="6567" priority="4874" stopIfTrue="1" operator="between">
      <formula>0</formula>
      <formula>0.125</formula>
    </cfRule>
  </conditionalFormatting>
  <conditionalFormatting sqref="M310">
    <cfRule type="cellIs" dxfId="6566" priority="4865" operator="between">
      <formula>0.1876</formula>
      <formula>0.2375</formula>
    </cfRule>
    <cfRule type="cellIs" dxfId="6565" priority="4866" operator="between">
      <formula>0.1251</formula>
      <formula>0.1875</formula>
    </cfRule>
    <cfRule type="cellIs" dxfId="6564" priority="4867" operator="greaterThan">
      <formula>0.25</formula>
    </cfRule>
    <cfRule type="cellIs" dxfId="6563" priority="4868" operator="between">
      <formula>0.2376</formula>
      <formula>0.25</formula>
    </cfRule>
    <cfRule type="cellIs" dxfId="6562" priority="4869" stopIfTrue="1" operator="between">
      <formula>0</formula>
      <formula>0.125</formula>
    </cfRule>
  </conditionalFormatting>
  <conditionalFormatting sqref="N310">
    <cfRule type="cellIs" dxfId="6561" priority="4860" operator="between">
      <formula>0.1876</formula>
      <formula>0.2375</formula>
    </cfRule>
    <cfRule type="cellIs" dxfId="6560" priority="4861" operator="between">
      <formula>0.1251</formula>
      <formula>0.1875</formula>
    </cfRule>
    <cfRule type="cellIs" dxfId="6559" priority="4862" operator="greaterThan">
      <formula>0.25</formula>
    </cfRule>
    <cfRule type="cellIs" dxfId="6558" priority="4863" operator="between">
      <formula>0.2376</formula>
      <formula>0.25</formula>
    </cfRule>
    <cfRule type="cellIs" dxfId="6557" priority="4864" stopIfTrue="1" operator="between">
      <formula>0</formula>
      <formula>0.125</formula>
    </cfRule>
  </conditionalFormatting>
  <conditionalFormatting sqref="O310">
    <cfRule type="cellIs" dxfId="6556" priority="4855" operator="between">
      <formula>0.1876</formula>
      <formula>0.2375</formula>
    </cfRule>
    <cfRule type="cellIs" dxfId="6555" priority="4856" operator="between">
      <formula>0.1251</formula>
      <formula>0.1875</formula>
    </cfRule>
    <cfRule type="cellIs" dxfId="6554" priority="4857" operator="greaterThan">
      <formula>0.25</formula>
    </cfRule>
    <cfRule type="cellIs" dxfId="6553" priority="4858" operator="between">
      <formula>0.2375</formula>
      <formula>0.25</formula>
    </cfRule>
    <cfRule type="cellIs" dxfId="6552" priority="4859" stopIfTrue="1" operator="between">
      <formula>0</formula>
      <formula>0.125</formula>
    </cfRule>
  </conditionalFormatting>
  <conditionalFormatting sqref="L310">
    <cfRule type="cellIs" dxfId="6551" priority="4850" operator="between">
      <formula>0.76</formula>
      <formula>0.95</formula>
    </cfRule>
    <cfRule type="cellIs" dxfId="6550" priority="4851" operator="between">
      <formula>0.51</formula>
      <formula>0.75</formula>
    </cfRule>
    <cfRule type="cellIs" dxfId="6549" priority="4852" operator="greaterThan">
      <formula>1</formula>
    </cfRule>
    <cfRule type="cellIs" dxfId="6548" priority="4853" operator="between">
      <formula>0.96</formula>
      <formula>1</formula>
    </cfRule>
    <cfRule type="cellIs" dxfId="6547" priority="4854" stopIfTrue="1" operator="between">
      <formula>0</formula>
      <formula>0.5</formula>
    </cfRule>
  </conditionalFormatting>
  <conditionalFormatting sqref="K310">
    <cfRule type="cellIs" dxfId="6546" priority="4845" operator="between">
      <formula>0.76</formula>
      <formula>0.95</formula>
    </cfRule>
    <cfRule type="cellIs" dxfId="6545" priority="4846" operator="between">
      <formula>0.51</formula>
      <formula>0.75</formula>
    </cfRule>
    <cfRule type="cellIs" dxfId="6544" priority="4847" operator="greaterThan">
      <formula>1</formula>
    </cfRule>
    <cfRule type="cellIs" dxfId="6543" priority="4848" operator="between">
      <formula>0.96</formula>
      <formula>1</formula>
    </cfRule>
    <cfRule type="cellIs" dxfId="6542" priority="4849" stopIfTrue="1" operator="between">
      <formula>0</formula>
      <formula>0.5</formula>
    </cfRule>
  </conditionalFormatting>
  <conditionalFormatting sqref="M311">
    <cfRule type="cellIs" dxfId="6541" priority="4840" operator="between">
      <formula>0.1876</formula>
      <formula>0.2375</formula>
    </cfRule>
    <cfRule type="cellIs" dxfId="6540" priority="4841" operator="between">
      <formula>0.1251</formula>
      <formula>0.1875</formula>
    </cfRule>
    <cfRule type="cellIs" dxfId="6539" priority="4842" operator="greaterThan">
      <formula>0.25</formula>
    </cfRule>
    <cfRule type="cellIs" dxfId="6538" priority="4843" operator="between">
      <formula>0.2376</formula>
      <formula>0.25</formula>
    </cfRule>
    <cfRule type="cellIs" dxfId="6537" priority="4844" stopIfTrue="1" operator="between">
      <formula>0</formula>
      <formula>0.125</formula>
    </cfRule>
  </conditionalFormatting>
  <conditionalFormatting sqref="N311">
    <cfRule type="cellIs" dxfId="6536" priority="4835" operator="between">
      <formula>0.1876</formula>
      <formula>0.2375</formula>
    </cfRule>
    <cfRule type="cellIs" dxfId="6535" priority="4836" operator="between">
      <formula>0.1251</formula>
      <formula>0.1875</formula>
    </cfRule>
    <cfRule type="cellIs" dxfId="6534" priority="4837" operator="greaterThan">
      <formula>0.25</formula>
    </cfRule>
    <cfRule type="cellIs" dxfId="6533" priority="4838" operator="between">
      <formula>0.2376</formula>
      <formula>0.25</formula>
    </cfRule>
    <cfRule type="cellIs" dxfId="6532" priority="4839" stopIfTrue="1" operator="between">
      <formula>0</formula>
      <formula>0.125</formula>
    </cfRule>
  </conditionalFormatting>
  <conditionalFormatting sqref="O311">
    <cfRule type="cellIs" dxfId="6531" priority="4830" operator="between">
      <formula>0.1876</formula>
      <formula>0.2375</formula>
    </cfRule>
    <cfRule type="cellIs" dxfId="6530" priority="4831" operator="between">
      <formula>0.1251</formula>
      <formula>0.1875</formula>
    </cfRule>
    <cfRule type="cellIs" dxfId="6529" priority="4832" operator="greaterThan">
      <formula>0.25</formula>
    </cfRule>
    <cfRule type="cellIs" dxfId="6528" priority="4833" operator="between">
      <formula>0.2375</formula>
      <formula>0.25</formula>
    </cfRule>
    <cfRule type="cellIs" dxfId="6527" priority="4834" stopIfTrue="1" operator="between">
      <formula>0</formula>
      <formula>0.125</formula>
    </cfRule>
  </conditionalFormatting>
  <conditionalFormatting sqref="L311">
    <cfRule type="cellIs" dxfId="6526" priority="4825" operator="between">
      <formula>0.76</formula>
      <formula>0.95</formula>
    </cfRule>
    <cfRule type="cellIs" dxfId="6525" priority="4826" operator="between">
      <formula>0.51</formula>
      <formula>0.75</formula>
    </cfRule>
    <cfRule type="cellIs" dxfId="6524" priority="4827" operator="greaterThan">
      <formula>1</formula>
    </cfRule>
    <cfRule type="cellIs" dxfId="6523" priority="4828" operator="between">
      <formula>0.96</formula>
      <formula>1</formula>
    </cfRule>
    <cfRule type="cellIs" dxfId="6522" priority="4829" stopIfTrue="1" operator="between">
      <formula>0</formula>
      <formula>0.5</formula>
    </cfRule>
  </conditionalFormatting>
  <conditionalFormatting sqref="K311">
    <cfRule type="cellIs" dxfId="6521" priority="4820" operator="between">
      <formula>0.76</formula>
      <formula>0.95</formula>
    </cfRule>
    <cfRule type="cellIs" dxfId="6520" priority="4821" operator="between">
      <formula>0.51</formula>
      <formula>0.75</formula>
    </cfRule>
    <cfRule type="cellIs" dxfId="6519" priority="4822" operator="greaterThan">
      <formula>1</formula>
    </cfRule>
    <cfRule type="cellIs" dxfId="6518" priority="4823" operator="between">
      <formula>0.96</formula>
      <formula>1</formula>
    </cfRule>
    <cfRule type="cellIs" dxfId="6517" priority="4824" stopIfTrue="1" operator="between">
      <formula>0</formula>
      <formula>0.5</formula>
    </cfRule>
  </conditionalFormatting>
  <conditionalFormatting sqref="M362:M364 M312:M316">
    <cfRule type="cellIs" dxfId="6516" priority="4815" operator="between">
      <formula>0.1876</formula>
      <formula>0.2375</formula>
    </cfRule>
    <cfRule type="cellIs" dxfId="6515" priority="4816" operator="between">
      <formula>0.1251</formula>
      <formula>0.1875</formula>
    </cfRule>
    <cfRule type="cellIs" dxfId="6514" priority="4817" operator="greaterThan">
      <formula>0.25</formula>
    </cfRule>
    <cfRule type="cellIs" dxfId="6513" priority="4818" operator="between">
      <formula>0.2376</formula>
      <formula>0.25</formula>
    </cfRule>
    <cfRule type="cellIs" dxfId="6512" priority="4819" stopIfTrue="1" operator="between">
      <formula>0</formula>
      <formula>0.125</formula>
    </cfRule>
  </conditionalFormatting>
  <conditionalFormatting sqref="N362:N364 N312:N316">
    <cfRule type="cellIs" dxfId="6511" priority="4810" operator="between">
      <formula>0.1876</formula>
      <formula>0.2375</formula>
    </cfRule>
    <cfRule type="cellIs" dxfId="6510" priority="4811" operator="between">
      <formula>0.1251</formula>
      <formula>0.1875</formula>
    </cfRule>
    <cfRule type="cellIs" dxfId="6509" priority="4812" operator="greaterThan">
      <formula>0.25</formula>
    </cfRule>
    <cfRule type="cellIs" dxfId="6508" priority="4813" operator="between">
      <formula>0.2376</formula>
      <formula>0.25</formula>
    </cfRule>
    <cfRule type="cellIs" dxfId="6507" priority="4814" stopIfTrue="1" operator="between">
      <formula>0</formula>
      <formula>0.125</formula>
    </cfRule>
  </conditionalFormatting>
  <conditionalFormatting sqref="O313:O316 O362:O364">
    <cfRule type="cellIs" dxfId="6506" priority="4805" operator="between">
      <formula>0.1876</formula>
      <formula>0.2375</formula>
    </cfRule>
    <cfRule type="cellIs" dxfId="6505" priority="4806" operator="between">
      <formula>0.1251</formula>
      <formula>0.1875</formula>
    </cfRule>
    <cfRule type="cellIs" dxfId="6504" priority="4807" operator="greaterThan">
      <formula>0.25</formula>
    </cfRule>
    <cfRule type="cellIs" dxfId="6503" priority="4808" operator="between">
      <formula>0.2375</formula>
      <formula>0.25</formula>
    </cfRule>
    <cfRule type="cellIs" dxfId="6502" priority="4809" stopIfTrue="1" operator="between">
      <formula>0</formula>
      <formula>0.125</formula>
    </cfRule>
  </conditionalFormatting>
  <conditionalFormatting sqref="L313:L316 L362:L364">
    <cfRule type="cellIs" dxfId="6501" priority="4800" operator="between">
      <formula>0.76</formula>
      <formula>0.95</formula>
    </cfRule>
    <cfRule type="cellIs" dxfId="6500" priority="4801" operator="between">
      <formula>0.51</formula>
      <formula>0.75</formula>
    </cfRule>
    <cfRule type="cellIs" dxfId="6499" priority="4802" operator="greaterThan">
      <formula>1</formula>
    </cfRule>
    <cfRule type="cellIs" dxfId="6498" priority="4803" operator="between">
      <formula>0.96</formula>
      <formula>1</formula>
    </cfRule>
    <cfRule type="cellIs" dxfId="6497" priority="4804" stopIfTrue="1" operator="between">
      <formula>0</formula>
      <formula>0.5</formula>
    </cfRule>
  </conditionalFormatting>
  <conditionalFormatting sqref="K362:K364 K312:K316">
    <cfRule type="cellIs" dxfId="6496" priority="4795" operator="between">
      <formula>0.76</formula>
      <formula>0.95</formula>
    </cfRule>
    <cfRule type="cellIs" dxfId="6495" priority="4796" operator="between">
      <formula>0.51</formula>
      <formula>0.75</formula>
    </cfRule>
    <cfRule type="cellIs" dxfId="6494" priority="4797" operator="greaterThan">
      <formula>1</formula>
    </cfRule>
    <cfRule type="cellIs" dxfId="6493" priority="4798" operator="between">
      <formula>0.96</formula>
      <formula>1</formula>
    </cfRule>
    <cfRule type="cellIs" dxfId="6492" priority="4799" stopIfTrue="1" operator="between">
      <formula>0</formula>
      <formula>0.5</formula>
    </cfRule>
  </conditionalFormatting>
  <conditionalFormatting sqref="N365:O365">
    <cfRule type="cellIs" dxfId="6491" priority="4790" operator="between">
      <formula>0.1876</formula>
      <formula>0.2375</formula>
    </cfRule>
    <cfRule type="cellIs" dxfId="6490" priority="4791" operator="between">
      <formula>0.1251</formula>
      <formula>0.1875</formula>
    </cfRule>
    <cfRule type="cellIs" dxfId="6489" priority="4792" operator="greaterThan">
      <formula>0.25</formula>
    </cfRule>
    <cfRule type="cellIs" dxfId="6488" priority="4793" operator="between">
      <formula>0.2376</formula>
      <formula>0.25</formula>
    </cfRule>
    <cfRule type="cellIs" dxfId="6487" priority="4794" stopIfTrue="1" operator="between">
      <formula>0</formula>
      <formula>0.25</formula>
    </cfRule>
  </conditionalFormatting>
  <conditionalFormatting sqref="L367:L368">
    <cfRule type="cellIs" dxfId="6486" priority="4785" operator="between">
      <formula>0.76</formula>
      <formula>0.95</formula>
    </cfRule>
    <cfRule type="cellIs" dxfId="6485" priority="4786" operator="between">
      <formula>0.51</formula>
      <formula>0.75</formula>
    </cfRule>
    <cfRule type="cellIs" dxfId="6484" priority="4787" operator="greaterThan">
      <formula>1</formula>
    </cfRule>
    <cfRule type="cellIs" dxfId="6483" priority="4788" operator="between">
      <formula>0.96</formula>
      <formula>1</formula>
    </cfRule>
    <cfRule type="cellIs" dxfId="6482" priority="4789" stopIfTrue="1" operator="between">
      <formula>0</formula>
      <formula>0.5</formula>
    </cfRule>
  </conditionalFormatting>
  <conditionalFormatting sqref="K366:K368">
    <cfRule type="cellIs" dxfId="6481" priority="4780" operator="between">
      <formula>0.7505</formula>
      <formula>0.95</formula>
    </cfRule>
    <cfRule type="cellIs" dxfId="6480" priority="4781" operator="between">
      <formula>0.51</formula>
      <formula>0.75</formula>
    </cfRule>
    <cfRule type="cellIs" dxfId="6479" priority="4782" operator="greaterThan">
      <formula>1</formula>
    </cfRule>
    <cfRule type="cellIs" dxfId="6478" priority="4783" operator="between">
      <formula>0.96</formula>
      <formula>1</formula>
    </cfRule>
    <cfRule type="cellIs" dxfId="6477" priority="4784" stopIfTrue="1" operator="between">
      <formula>0</formula>
      <formula>0.5</formula>
    </cfRule>
  </conditionalFormatting>
  <conditionalFormatting sqref="M366:M368">
    <cfRule type="cellIs" dxfId="6476" priority="4775" operator="between">
      <formula>0.1876</formula>
      <formula>0.2375</formula>
    </cfRule>
    <cfRule type="cellIs" dxfId="6475" priority="4776" operator="between">
      <formula>0.1251</formula>
      <formula>0.1875</formula>
    </cfRule>
    <cfRule type="cellIs" dxfId="6474" priority="4777" operator="greaterThan">
      <formula>0.25</formula>
    </cfRule>
    <cfRule type="cellIs" dxfId="6473" priority="4778" operator="between">
      <formula>0.2376</formula>
      <formula>0.25</formula>
    </cfRule>
    <cfRule type="cellIs" dxfId="6472" priority="4779" stopIfTrue="1" operator="between">
      <formula>0</formula>
      <formula>0.25</formula>
    </cfRule>
  </conditionalFormatting>
  <conditionalFormatting sqref="N366:O366">
    <cfRule type="cellIs" dxfId="6471" priority="4770" operator="between">
      <formula>0.1876</formula>
      <formula>0.2375</formula>
    </cfRule>
    <cfRule type="cellIs" dxfId="6470" priority="4771" operator="between">
      <formula>0.1251</formula>
      <formula>0.1875</formula>
    </cfRule>
    <cfRule type="cellIs" dxfId="6469" priority="4772" operator="greaterThan">
      <formula>0.25</formula>
    </cfRule>
    <cfRule type="cellIs" dxfId="6468" priority="4773" operator="between">
      <formula>0.2376</formula>
      <formula>0.25</formula>
    </cfRule>
    <cfRule type="cellIs" dxfId="6467" priority="4774" stopIfTrue="1" operator="between">
      <formula>0</formula>
      <formula>0.25</formula>
    </cfRule>
  </conditionalFormatting>
  <conditionalFormatting sqref="L312">
    <cfRule type="cellIs" dxfId="6466" priority="4745" operator="between">
      <formula>0.76</formula>
      <formula>0.95</formula>
    </cfRule>
    <cfRule type="cellIs" dxfId="6465" priority="4746" operator="between">
      <formula>0.51</formula>
      <formula>0.75</formula>
    </cfRule>
    <cfRule type="cellIs" dxfId="6464" priority="4747" operator="greaterThan">
      <formula>1</formula>
    </cfRule>
    <cfRule type="cellIs" dxfId="6463" priority="4748" operator="between">
      <formula>0.96</formula>
      <formula>1</formula>
    </cfRule>
    <cfRule type="cellIs" dxfId="6462" priority="4749" stopIfTrue="1" operator="between">
      <formula>0</formula>
      <formula>0.5</formula>
    </cfRule>
  </conditionalFormatting>
  <conditionalFormatting sqref="O312">
    <cfRule type="cellIs" dxfId="6461" priority="4740" operator="between">
      <formula>0.1876</formula>
      <formula>0.2375</formula>
    </cfRule>
    <cfRule type="cellIs" dxfId="6460" priority="4741" operator="between">
      <formula>0.1251</formula>
      <formula>0.1875</formula>
    </cfRule>
    <cfRule type="cellIs" dxfId="6459" priority="4742" operator="greaterThan">
      <formula>0.25</formula>
    </cfRule>
    <cfRule type="cellIs" dxfId="6458" priority="4743" operator="between">
      <formula>0.2375</formula>
      <formula>0.25</formula>
    </cfRule>
    <cfRule type="cellIs" dxfId="6457" priority="4744" stopIfTrue="1" operator="between">
      <formula>0</formula>
      <formula>0.125</formula>
    </cfRule>
  </conditionalFormatting>
  <conditionalFormatting sqref="K285:L285">
    <cfRule type="cellIs" dxfId="6456" priority="4735" operator="between">
      <formula>0.76</formula>
      <formula>0.95</formula>
    </cfRule>
    <cfRule type="cellIs" dxfId="6455" priority="4736" operator="between">
      <formula>0.51</formula>
      <formula>0.75</formula>
    </cfRule>
    <cfRule type="cellIs" dxfId="6454" priority="4737" operator="greaterThan">
      <formula>1</formula>
    </cfRule>
    <cfRule type="cellIs" dxfId="6453" priority="4738" operator="between">
      <formula>0.96</formula>
      <formula>1</formula>
    </cfRule>
    <cfRule type="cellIs" dxfId="6452" priority="4739" stopIfTrue="1" operator="between">
      <formula>0</formula>
      <formula>0.5</formula>
    </cfRule>
  </conditionalFormatting>
  <conditionalFormatting sqref="O285">
    <cfRule type="cellIs" dxfId="6451" priority="4730" operator="between">
      <formula>0.1876</formula>
      <formula>0.2375</formula>
    </cfRule>
    <cfRule type="cellIs" dxfId="6450" priority="4731" operator="between">
      <formula>0.1251</formula>
      <formula>0.1875</formula>
    </cfRule>
    <cfRule type="cellIs" dxfId="6449" priority="4732" operator="greaterThan">
      <formula>0.25</formula>
    </cfRule>
    <cfRule type="cellIs" dxfId="6448" priority="4733" operator="between">
      <formula>0.2375</formula>
      <formula>0.25</formula>
    </cfRule>
    <cfRule type="cellIs" dxfId="6447" priority="4734" stopIfTrue="1" operator="between">
      <formula>0</formula>
      <formula>0.125</formula>
    </cfRule>
  </conditionalFormatting>
  <conditionalFormatting sqref="M285:N285">
    <cfRule type="cellIs" dxfId="6446" priority="4725" operator="between">
      <formula>0.1876</formula>
      <formula>0.2375</formula>
    </cfRule>
    <cfRule type="cellIs" dxfId="6445" priority="4726" operator="between">
      <formula>0.1251</formula>
      <formula>0.1875</formula>
    </cfRule>
    <cfRule type="cellIs" dxfId="6444" priority="4727" operator="greaterThan">
      <formula>0.25</formula>
    </cfRule>
    <cfRule type="cellIs" dxfId="6443" priority="4728" operator="between">
      <formula>0.2376</formula>
      <formula>0.25</formula>
    </cfRule>
    <cfRule type="cellIs" dxfId="6442" priority="4729" stopIfTrue="1" operator="between">
      <formula>0</formula>
      <formula>0.125</formula>
    </cfRule>
  </conditionalFormatting>
  <conditionalFormatting sqref="Y285 AF285 R285 AH285:AI285">
    <cfRule type="cellIs" dxfId="6441" priority="4720" operator="between">
      <formula>0.76</formula>
      <formula>0.95</formula>
    </cfRule>
    <cfRule type="cellIs" dxfId="6440" priority="4721" operator="between">
      <formula>0.51</formula>
      <formula>0.75</formula>
    </cfRule>
    <cfRule type="cellIs" dxfId="6439" priority="4722" operator="greaterThan">
      <formula>1</formula>
    </cfRule>
    <cfRule type="cellIs" dxfId="6438" priority="4723" operator="between">
      <formula>0.95</formula>
      <formula>1</formula>
    </cfRule>
    <cfRule type="cellIs" dxfId="6437" priority="4724" stopIfTrue="1" operator="between">
      <formula>0</formula>
      <formula>0.5</formula>
    </cfRule>
  </conditionalFormatting>
  <conditionalFormatting sqref="T285">
    <cfRule type="cellIs" dxfId="6436" priority="4715" operator="between">
      <formula>0.3751</formula>
      <formula>0.475</formula>
    </cfRule>
    <cfRule type="cellIs" dxfId="6435" priority="4716" operator="between">
      <formula>0.2551</formula>
      <formula>0.375</formula>
    </cfRule>
    <cfRule type="cellIs" dxfId="6434" priority="4717" operator="greaterThan">
      <formula>0.505</formula>
    </cfRule>
    <cfRule type="cellIs" dxfId="6433" priority="4718" operator="between">
      <formula>0.48</formula>
      <formula>0.5</formula>
    </cfRule>
    <cfRule type="cellIs" dxfId="6432" priority="4719" stopIfTrue="1" operator="between">
      <formula>0</formula>
      <formula>0.255</formula>
    </cfRule>
  </conditionalFormatting>
  <conditionalFormatting sqref="AA285:AB285">
    <cfRule type="cellIs" dxfId="6431" priority="4710" operator="between">
      <formula>0.56251</formula>
      <formula>0.7125</formula>
    </cfRule>
    <cfRule type="cellIs" dxfId="6430" priority="4711" operator="between">
      <formula>0.3751</formula>
      <formula>0.5625</formula>
    </cfRule>
    <cfRule type="cellIs" dxfId="6429" priority="4712" operator="greaterThan">
      <formula>0.751</formula>
    </cfRule>
    <cfRule type="cellIs" dxfId="6428" priority="4713" operator="between">
      <formula>0.71251</formula>
      <formula>0.75</formula>
    </cfRule>
    <cfRule type="cellIs" dxfId="6427" priority="4714" stopIfTrue="1" operator="between">
      <formula>0</formula>
      <formula>0.375</formula>
    </cfRule>
  </conditionalFormatting>
  <conditionalFormatting sqref="U285">
    <cfRule type="cellIs" dxfId="6426" priority="4705" operator="between">
      <formula>0.376</formula>
      <formula>0.475</formula>
    </cfRule>
    <cfRule type="cellIs" dxfId="6425" priority="4706" operator="between">
      <formula>0.2551</formula>
      <formula>0.3751</formula>
    </cfRule>
    <cfRule type="cellIs" dxfId="6424" priority="4707" operator="greaterThan">
      <formula>0.505</formula>
    </cfRule>
    <cfRule type="cellIs" dxfId="6423" priority="4708" operator="between">
      <formula>0.48</formula>
      <formula>0.5</formula>
    </cfRule>
    <cfRule type="cellIs" dxfId="6422" priority="4709" stopIfTrue="1" operator="between">
      <formula>0</formula>
      <formula>0.255</formula>
    </cfRule>
  </conditionalFormatting>
  <conditionalFormatting sqref="S285">
    <cfRule type="cellIs" dxfId="6421" priority="4690" operator="between">
      <formula>0.76</formula>
      <formula>0.95</formula>
    </cfRule>
    <cfRule type="cellIs" dxfId="6420" priority="4691" operator="between">
      <formula>0.51</formula>
      <formula>0.75</formula>
    </cfRule>
    <cfRule type="cellIs" dxfId="6419" priority="4692" operator="greaterThan">
      <formula>1</formula>
    </cfRule>
    <cfRule type="cellIs" dxfId="6418" priority="4693" operator="between">
      <formula>0.95</formula>
      <formula>1</formula>
    </cfRule>
    <cfRule type="cellIs" dxfId="6417" priority="4694" stopIfTrue="1" operator="between">
      <formula>0</formula>
      <formula>0.5</formula>
    </cfRule>
  </conditionalFormatting>
  <conditionalFormatting sqref="Z285">
    <cfRule type="cellIs" dxfId="6416" priority="4685" operator="between">
      <formula>0.76</formula>
      <formula>0.95</formula>
    </cfRule>
    <cfRule type="cellIs" dxfId="6415" priority="4686" operator="between">
      <formula>0.51</formula>
      <formula>0.75</formula>
    </cfRule>
    <cfRule type="cellIs" dxfId="6414" priority="4687" operator="greaterThan">
      <formula>1</formula>
    </cfRule>
    <cfRule type="cellIs" dxfId="6413" priority="4688" operator="between">
      <formula>0.95</formula>
      <formula>1</formula>
    </cfRule>
    <cfRule type="cellIs" dxfId="6412" priority="4689" stopIfTrue="1" operator="between">
      <formula>0</formula>
      <formula>0.5</formula>
    </cfRule>
  </conditionalFormatting>
  <conditionalFormatting sqref="AG285">
    <cfRule type="cellIs" dxfId="6411" priority="4680" operator="between">
      <formula>0.76</formula>
      <formula>0.95</formula>
    </cfRule>
    <cfRule type="cellIs" dxfId="6410" priority="4681" operator="between">
      <formula>0.51</formula>
      <formula>0.75</formula>
    </cfRule>
    <cfRule type="cellIs" dxfId="6409" priority="4682" operator="greaterThan">
      <formula>1</formula>
    </cfRule>
    <cfRule type="cellIs" dxfId="6408" priority="4683" operator="between">
      <formula>0.95</formula>
      <formula>1</formula>
    </cfRule>
    <cfRule type="cellIs" dxfId="6407" priority="4684" stopIfTrue="1" operator="between">
      <formula>0</formula>
      <formula>0.5</formula>
    </cfRule>
  </conditionalFormatting>
  <conditionalFormatting sqref="K195:L195">
    <cfRule type="cellIs" dxfId="6406" priority="4663" operator="between">
      <formula>0.76</formula>
      <formula>0.95</formula>
    </cfRule>
    <cfRule type="cellIs" dxfId="6405" priority="4664" operator="between">
      <formula>0.51</formula>
      <formula>0.75</formula>
    </cfRule>
    <cfRule type="cellIs" dxfId="6404" priority="4665" operator="greaterThan">
      <formula>1</formula>
    </cfRule>
    <cfRule type="cellIs" dxfId="6403" priority="4666" operator="between">
      <formula>0.96</formula>
      <formula>1</formula>
    </cfRule>
    <cfRule type="cellIs" dxfId="6402" priority="4667" stopIfTrue="1" operator="between">
      <formula>0</formula>
      <formula>0.5</formula>
    </cfRule>
  </conditionalFormatting>
  <conditionalFormatting sqref="R195 Y195 AF195 AH195:AI195">
    <cfRule type="cellIs" dxfId="6401" priority="4658" operator="between">
      <formula>0.76</formula>
      <formula>0.95</formula>
    </cfRule>
    <cfRule type="cellIs" dxfId="6400" priority="4659" operator="between">
      <formula>0.51</formula>
      <formula>0.75</formula>
    </cfRule>
    <cfRule type="cellIs" dxfId="6399" priority="4660" operator="greaterThan">
      <formula>1</formula>
    </cfRule>
    <cfRule type="cellIs" dxfId="6398" priority="4661" operator="between">
      <formula>0.95</formula>
      <formula>1</formula>
    </cfRule>
    <cfRule type="cellIs" dxfId="6397" priority="4662" stopIfTrue="1" operator="between">
      <formula>0</formula>
      <formula>0.5</formula>
    </cfRule>
  </conditionalFormatting>
  <conditionalFormatting sqref="T195">
    <cfRule type="cellIs" dxfId="6396" priority="4653" operator="between">
      <formula>0.3751</formula>
      <formula>0.475</formula>
    </cfRule>
    <cfRule type="cellIs" dxfId="6395" priority="4654" operator="between">
      <formula>0.2551</formula>
      <formula>0.375</formula>
    </cfRule>
    <cfRule type="cellIs" dxfId="6394" priority="4655" operator="greaterThan">
      <formula>0.505</formula>
    </cfRule>
    <cfRule type="cellIs" dxfId="6393" priority="4656" operator="between">
      <formula>0.48</formula>
      <formula>0.5</formula>
    </cfRule>
    <cfRule type="cellIs" dxfId="6392" priority="4657" stopIfTrue="1" operator="between">
      <formula>0</formula>
      <formula>0.255</formula>
    </cfRule>
  </conditionalFormatting>
  <conditionalFormatting sqref="AA195:AB195">
    <cfRule type="cellIs" dxfId="6391" priority="4648" operator="between">
      <formula>0.56251</formula>
      <formula>0.7125</formula>
    </cfRule>
    <cfRule type="cellIs" dxfId="6390" priority="4649" operator="between">
      <formula>0.3751</formula>
      <formula>0.5625</formula>
    </cfRule>
    <cfRule type="cellIs" dxfId="6389" priority="4650" operator="greaterThan">
      <formula>0.751</formula>
    </cfRule>
    <cfRule type="cellIs" dxfId="6388" priority="4651" operator="between">
      <formula>0.71251</formula>
      <formula>0.75</formula>
    </cfRule>
    <cfRule type="cellIs" dxfId="6387" priority="4652" stopIfTrue="1" operator="between">
      <formula>0</formula>
      <formula>0.375</formula>
    </cfRule>
  </conditionalFormatting>
  <conditionalFormatting sqref="U195">
    <cfRule type="cellIs" dxfId="6386" priority="4643" operator="between">
      <formula>0.376</formula>
      <formula>0.475</formula>
    </cfRule>
    <cfRule type="cellIs" dxfId="6385" priority="4644" operator="between">
      <formula>0.2551</formula>
      <formula>0.3751</formula>
    </cfRule>
    <cfRule type="cellIs" dxfId="6384" priority="4645" operator="greaterThan">
      <formula>0.505</formula>
    </cfRule>
    <cfRule type="cellIs" dxfId="6383" priority="4646" operator="between">
      <formula>0.48</formula>
      <formula>0.5</formula>
    </cfRule>
    <cfRule type="cellIs" dxfId="6382" priority="4647" stopIfTrue="1" operator="between">
      <formula>0</formula>
      <formula>0.255</formula>
    </cfRule>
  </conditionalFormatting>
  <conditionalFormatting sqref="AG195">
    <cfRule type="cellIs" dxfId="6381" priority="4635" operator="between">
      <formula>0.76</formula>
      <formula>0.95</formula>
    </cfRule>
    <cfRule type="cellIs" dxfId="6380" priority="4636" operator="between">
      <formula>0.51</formula>
      <formula>0.75</formula>
    </cfRule>
    <cfRule type="cellIs" dxfId="6379" priority="4637" operator="greaterThan">
      <formula>1</formula>
    </cfRule>
    <cfRule type="cellIs" dxfId="6378" priority="4638" operator="between">
      <formula>0.95</formula>
      <formula>1</formula>
    </cfRule>
    <cfRule type="cellIs" dxfId="6377" priority="4639" stopIfTrue="1" operator="between">
      <formula>0</formula>
      <formula>0.5</formula>
    </cfRule>
  </conditionalFormatting>
  <conditionalFormatting sqref="Z195">
    <cfRule type="cellIs" dxfId="6376" priority="4630" operator="between">
      <formula>0.76</formula>
      <formula>0.95</formula>
    </cfRule>
    <cfRule type="cellIs" dxfId="6375" priority="4631" operator="between">
      <formula>0.51</formula>
      <formula>0.75</formula>
    </cfRule>
    <cfRule type="cellIs" dxfId="6374" priority="4632" operator="greaterThan">
      <formula>1</formula>
    </cfRule>
    <cfRule type="cellIs" dxfId="6373" priority="4633" operator="between">
      <formula>0.95</formula>
      <formula>1</formula>
    </cfRule>
    <cfRule type="cellIs" dxfId="6372" priority="4634" stopIfTrue="1" operator="between">
      <formula>0</formula>
      <formula>0.5</formula>
    </cfRule>
  </conditionalFormatting>
  <conditionalFormatting sqref="AC195">
    <cfRule type="cellIs" dxfId="6371" priority="4625" operator="between">
      <formula>0.56251</formula>
      <formula>0.7125</formula>
    </cfRule>
    <cfRule type="cellIs" dxfId="6370" priority="4626" operator="between">
      <formula>0.3751</formula>
      <formula>0.5625</formula>
    </cfRule>
    <cfRule type="cellIs" dxfId="6369" priority="4627" operator="greaterThan">
      <formula>0.751</formula>
    </cfRule>
    <cfRule type="cellIs" dxfId="6368" priority="4628" operator="between">
      <formula>0.71251</formula>
      <formula>0.75</formula>
    </cfRule>
    <cfRule type="cellIs" dxfId="6367" priority="4629" stopIfTrue="1" operator="between">
      <formula>0</formula>
      <formula>0.375</formula>
    </cfRule>
  </conditionalFormatting>
  <conditionalFormatting sqref="S195">
    <cfRule type="cellIs" dxfId="6366" priority="4620" operator="between">
      <formula>0.76</formula>
      <formula>0.95</formula>
    </cfRule>
    <cfRule type="cellIs" dxfId="6365" priority="4621" operator="between">
      <formula>0.51</formula>
      <formula>0.75</formula>
    </cfRule>
    <cfRule type="cellIs" dxfId="6364" priority="4622" operator="greaterThan">
      <formula>1</formula>
    </cfRule>
    <cfRule type="cellIs" dxfId="6363" priority="4623" operator="between">
      <formula>0.95</formula>
      <formula>1</formula>
    </cfRule>
    <cfRule type="cellIs" dxfId="6362" priority="4624" stopIfTrue="1" operator="between">
      <formula>0</formula>
      <formula>0.5</formula>
    </cfRule>
  </conditionalFormatting>
  <conditionalFormatting sqref="V195">
    <cfRule type="cellIs" dxfId="6361" priority="4615" operator="between">
      <formula>0.376</formula>
      <formula>0.475</formula>
    </cfRule>
    <cfRule type="cellIs" dxfId="6360" priority="4616" operator="between">
      <formula>0.2551</formula>
      <formula>0.3751</formula>
    </cfRule>
    <cfRule type="cellIs" dxfId="6359" priority="4617" operator="greaterThan">
      <formula>0.505</formula>
    </cfRule>
    <cfRule type="cellIs" dxfId="6358" priority="4618" operator="between">
      <formula>0.48</formula>
      <formula>0.5</formula>
    </cfRule>
    <cfRule type="cellIs" dxfId="6357" priority="4619" stopIfTrue="1" operator="between">
      <formula>0</formula>
      <formula>0.255</formula>
    </cfRule>
  </conditionalFormatting>
  <conditionalFormatting sqref="M195">
    <cfRule type="cellIs" dxfId="6356" priority="4610" operator="between">
      <formula>0.1876</formula>
      <formula>0.2375</formula>
    </cfRule>
    <cfRule type="cellIs" dxfId="6355" priority="4611" operator="between">
      <formula>0.1251</formula>
      <formula>0.1875</formula>
    </cfRule>
    <cfRule type="cellIs" dxfId="6354" priority="4612" operator="greaterThan">
      <formula>0.25</formula>
    </cfRule>
    <cfRule type="cellIs" dxfId="6353" priority="4613" operator="between">
      <formula>0.2376</formula>
      <formula>0.25</formula>
    </cfRule>
    <cfRule type="cellIs" dxfId="6352" priority="4614" stopIfTrue="1" operator="between">
      <formula>0</formula>
      <formula>0.125</formula>
    </cfRule>
  </conditionalFormatting>
  <conditionalFormatting sqref="N195">
    <cfRule type="cellIs" dxfId="6351" priority="4605" operator="between">
      <formula>0.1876</formula>
      <formula>0.2375</formula>
    </cfRule>
    <cfRule type="cellIs" dxfId="6350" priority="4606" operator="between">
      <formula>0.1251</formula>
      <formula>0.1875</formula>
    </cfRule>
    <cfRule type="cellIs" dxfId="6349" priority="4607" operator="greaterThan">
      <formula>0.25</formula>
    </cfRule>
    <cfRule type="cellIs" dxfId="6348" priority="4608" operator="between">
      <formula>0.2376</formula>
      <formula>0.25</formula>
    </cfRule>
    <cfRule type="cellIs" dxfId="6347" priority="4609" stopIfTrue="1" operator="between">
      <formula>0</formula>
      <formula>0.125</formula>
    </cfRule>
  </conditionalFormatting>
  <conditionalFormatting sqref="O195">
    <cfRule type="cellIs" dxfId="6346" priority="4600" operator="between">
      <formula>0.1876</formula>
      <formula>0.2375</formula>
    </cfRule>
    <cfRule type="cellIs" dxfId="6345" priority="4601" operator="between">
      <formula>0.1251</formula>
      <formula>0.1875</formula>
    </cfRule>
    <cfRule type="cellIs" dxfId="6344" priority="4602" operator="greaterThan">
      <formula>0.25</formula>
    </cfRule>
    <cfRule type="cellIs" dxfId="6343" priority="4603" operator="between">
      <formula>0.2375</formula>
      <formula>0.25</formula>
    </cfRule>
    <cfRule type="cellIs" dxfId="6342" priority="4604" stopIfTrue="1" operator="between">
      <formula>0</formula>
      <formula>0.125</formula>
    </cfRule>
  </conditionalFormatting>
  <conditionalFormatting sqref="M186">
    <cfRule type="cellIs" dxfId="6341" priority="4479" operator="between">
      <formula>0.1876</formula>
      <formula>0.2375</formula>
    </cfRule>
    <cfRule type="cellIs" dxfId="6340" priority="4480" operator="between">
      <formula>0.1251</formula>
      <formula>0.1875</formula>
    </cfRule>
    <cfRule type="cellIs" dxfId="6339" priority="4481" operator="greaterThan">
      <formula>0.25</formula>
    </cfRule>
    <cfRule type="cellIs" dxfId="6338" priority="4482" operator="between">
      <formula>0.2376</formula>
      <formula>0.25</formula>
    </cfRule>
    <cfRule type="cellIs" dxfId="6337" priority="4483" stopIfTrue="1" operator="between">
      <formula>0</formula>
      <formula>0.125</formula>
    </cfRule>
  </conditionalFormatting>
  <conditionalFormatting sqref="N186">
    <cfRule type="cellIs" dxfId="6336" priority="4474" operator="between">
      <formula>0.1876</formula>
      <formula>0.2375</formula>
    </cfRule>
    <cfRule type="cellIs" dxfId="6335" priority="4475" operator="between">
      <formula>0.1251</formula>
      <formula>0.1875</formula>
    </cfRule>
    <cfRule type="cellIs" dxfId="6334" priority="4476" operator="greaterThan">
      <formula>0.25</formula>
    </cfRule>
    <cfRule type="cellIs" dxfId="6333" priority="4477" operator="between">
      <formula>0.2376</formula>
      <formula>0.25</formula>
    </cfRule>
    <cfRule type="cellIs" dxfId="6332" priority="4478" stopIfTrue="1" operator="between">
      <formula>0</formula>
      <formula>0.125</formula>
    </cfRule>
  </conditionalFormatting>
  <conditionalFormatting sqref="O186">
    <cfRule type="cellIs" dxfId="6331" priority="4469" operator="between">
      <formula>0.1876</formula>
      <formula>0.2375</formula>
    </cfRule>
    <cfRule type="cellIs" dxfId="6330" priority="4470" operator="between">
      <formula>0.1251</formula>
      <formula>0.1875</formula>
    </cfRule>
    <cfRule type="cellIs" dxfId="6329" priority="4471" operator="greaterThan">
      <formula>0.25</formula>
    </cfRule>
    <cfRule type="cellIs" dxfId="6328" priority="4472" operator="between">
      <formula>0.2375</formula>
      <formula>0.25</formula>
    </cfRule>
    <cfRule type="cellIs" dxfId="6327" priority="4473" stopIfTrue="1" operator="between">
      <formula>0</formula>
      <formula>0.125</formula>
    </cfRule>
  </conditionalFormatting>
  <conditionalFormatting sqref="S186">
    <cfRule type="cellIs" dxfId="6326" priority="4464" operator="between">
      <formula>0.76</formula>
      <formula>0.95</formula>
    </cfRule>
    <cfRule type="cellIs" dxfId="6325" priority="4465" operator="between">
      <formula>0.51</formula>
      <formula>0.75</formula>
    </cfRule>
    <cfRule type="cellIs" dxfId="6324" priority="4466" operator="greaterThan">
      <formula>1</formula>
    </cfRule>
    <cfRule type="cellIs" dxfId="6323" priority="4467" operator="between">
      <formula>0.95</formula>
      <formula>1</formula>
    </cfRule>
    <cfRule type="cellIs" dxfId="6322" priority="4468" stopIfTrue="1" operator="between">
      <formula>0</formula>
      <formula>0.5</formula>
    </cfRule>
  </conditionalFormatting>
  <conditionalFormatting sqref="V186">
    <cfRule type="cellIs" dxfId="6321" priority="4459" operator="between">
      <formula>0.376</formula>
      <formula>0.475</formula>
    </cfRule>
    <cfRule type="cellIs" dxfId="6320" priority="4460" operator="between">
      <formula>0.2551</formula>
      <formula>0.3751</formula>
    </cfRule>
    <cfRule type="cellIs" dxfId="6319" priority="4461" operator="greaterThan">
      <formula>0.505</formula>
    </cfRule>
    <cfRule type="cellIs" dxfId="6318" priority="4462" operator="between">
      <formula>0.48</formula>
      <formula>0.5</formula>
    </cfRule>
    <cfRule type="cellIs" dxfId="6317" priority="4463" stopIfTrue="1" operator="between">
      <formula>0</formula>
      <formula>0.255</formula>
    </cfRule>
  </conditionalFormatting>
  <conditionalFormatting sqref="AG186">
    <cfRule type="cellIs" dxfId="6316" priority="4454" operator="between">
      <formula>0.76</formula>
      <formula>0.95</formula>
    </cfRule>
    <cfRule type="cellIs" dxfId="6315" priority="4455" operator="between">
      <formula>0.51</formula>
      <formula>0.75</formula>
    </cfRule>
    <cfRule type="cellIs" dxfId="6314" priority="4456" operator="greaterThan">
      <formula>1</formula>
    </cfRule>
    <cfRule type="cellIs" dxfId="6313" priority="4457" operator="between">
      <formula>0.95</formula>
      <formula>1</formula>
    </cfRule>
    <cfRule type="cellIs" dxfId="6312" priority="4458" stopIfTrue="1" operator="between">
      <formula>0</formula>
      <formula>0.5</formula>
    </cfRule>
  </conditionalFormatting>
  <conditionalFormatting sqref="K186:L186">
    <cfRule type="cellIs" dxfId="6311" priority="4532" operator="between">
      <formula>0.76</formula>
      <formula>0.95</formula>
    </cfRule>
    <cfRule type="cellIs" dxfId="6310" priority="4533" operator="between">
      <formula>0.51</formula>
      <formula>0.75</formula>
    </cfRule>
    <cfRule type="cellIs" dxfId="6309" priority="4534" operator="greaterThan">
      <formula>1</formula>
    </cfRule>
    <cfRule type="cellIs" dxfId="6308" priority="4535" operator="between">
      <formula>0.96</formula>
      <formula>1</formula>
    </cfRule>
    <cfRule type="cellIs" dxfId="6307" priority="4536" stopIfTrue="1" operator="between">
      <formula>0</formula>
      <formula>0.5</formula>
    </cfRule>
  </conditionalFormatting>
  <conditionalFormatting sqref="R186 Y186 AF186 AH186:AI186">
    <cfRule type="cellIs" dxfId="6306" priority="4527" operator="between">
      <formula>0.76</formula>
      <formula>0.95</formula>
    </cfRule>
    <cfRule type="cellIs" dxfId="6305" priority="4528" operator="between">
      <formula>0.51</formula>
      <formula>0.75</formula>
    </cfRule>
    <cfRule type="cellIs" dxfId="6304" priority="4529" operator="greaterThan">
      <formula>1</formula>
    </cfRule>
    <cfRule type="cellIs" dxfId="6303" priority="4530" operator="between">
      <formula>0.95</formula>
      <formula>1</formula>
    </cfRule>
    <cfRule type="cellIs" dxfId="6302" priority="4531" stopIfTrue="1" operator="between">
      <formula>0</formula>
      <formula>0.5</formula>
    </cfRule>
  </conditionalFormatting>
  <conditionalFormatting sqref="T186">
    <cfRule type="cellIs" dxfId="6301" priority="4522" operator="between">
      <formula>0.3751</formula>
      <formula>0.475</formula>
    </cfRule>
    <cfRule type="cellIs" dxfId="6300" priority="4523" operator="between">
      <formula>0.2551</formula>
      <formula>0.375</formula>
    </cfRule>
    <cfRule type="cellIs" dxfId="6299" priority="4524" operator="greaterThan">
      <formula>0.505</formula>
    </cfRule>
    <cfRule type="cellIs" dxfId="6298" priority="4525" operator="between">
      <formula>0.48</formula>
      <formula>0.5</formula>
    </cfRule>
    <cfRule type="cellIs" dxfId="6297" priority="4526" stopIfTrue="1" operator="between">
      <formula>0</formula>
      <formula>0.255</formula>
    </cfRule>
  </conditionalFormatting>
  <conditionalFormatting sqref="AA186:AB186">
    <cfRule type="cellIs" dxfId="6296" priority="4517" operator="between">
      <formula>0.56251</formula>
      <formula>0.7125</formula>
    </cfRule>
    <cfRule type="cellIs" dxfId="6295" priority="4518" operator="between">
      <formula>0.3751</formula>
      <formula>0.5625</formula>
    </cfRule>
    <cfRule type="cellIs" dxfId="6294" priority="4519" operator="greaterThan">
      <formula>0.751</formula>
    </cfRule>
    <cfRule type="cellIs" dxfId="6293" priority="4520" operator="between">
      <formula>0.71251</formula>
      <formula>0.75</formula>
    </cfRule>
    <cfRule type="cellIs" dxfId="6292" priority="4521" stopIfTrue="1" operator="between">
      <formula>0</formula>
      <formula>0.375</formula>
    </cfRule>
  </conditionalFormatting>
  <conditionalFormatting sqref="U186">
    <cfRule type="cellIs" dxfId="6291" priority="4512" operator="between">
      <formula>0.376</formula>
      <formula>0.475</formula>
    </cfRule>
    <cfRule type="cellIs" dxfId="6290" priority="4513" operator="between">
      <formula>0.2551</formula>
      <formula>0.3751</formula>
    </cfRule>
    <cfRule type="cellIs" dxfId="6289" priority="4514" operator="greaterThan">
      <formula>0.505</formula>
    </cfRule>
    <cfRule type="cellIs" dxfId="6288" priority="4515" operator="between">
      <formula>0.48</formula>
      <formula>0.5</formula>
    </cfRule>
    <cfRule type="cellIs" dxfId="6287" priority="4516" stopIfTrue="1" operator="between">
      <formula>0</formula>
      <formula>0.255</formula>
    </cfRule>
  </conditionalFormatting>
  <conditionalFormatting sqref="AI361">
    <cfRule type="cellIs" dxfId="6286" priority="4449" operator="between">
      <formula>0.76</formula>
      <formula>0.95</formula>
    </cfRule>
    <cfRule type="cellIs" dxfId="6285" priority="4450" operator="between">
      <formula>0.51</formula>
      <formula>0.75</formula>
    </cfRule>
    <cfRule type="cellIs" dxfId="6284" priority="4451" operator="greaterThan">
      <formula>1</formula>
    </cfRule>
    <cfRule type="cellIs" dxfId="6283" priority="4452" operator="between">
      <formula>0.95</formula>
      <formula>1</formula>
    </cfRule>
    <cfRule type="cellIs" dxfId="6282" priority="4453" stopIfTrue="1" operator="between">
      <formula>0</formula>
      <formula>0.5</formula>
    </cfRule>
  </conditionalFormatting>
  <conditionalFormatting sqref="R361">
    <cfRule type="cellIs" dxfId="6281" priority="4444" operator="between">
      <formula>0.76</formula>
      <formula>0.95</formula>
    </cfRule>
    <cfRule type="cellIs" dxfId="6280" priority="4445" operator="between">
      <formula>0.51</formula>
      <formula>0.75</formula>
    </cfRule>
    <cfRule type="cellIs" dxfId="6279" priority="4446" operator="greaterThan">
      <formula>1</formula>
    </cfRule>
    <cfRule type="cellIs" dxfId="6278" priority="4447" operator="between">
      <formula>0.95</formula>
      <formula>1</formula>
    </cfRule>
    <cfRule type="cellIs" dxfId="6277" priority="4448" stopIfTrue="1" operator="between">
      <formula>0</formula>
      <formula>0.5</formula>
    </cfRule>
  </conditionalFormatting>
  <conditionalFormatting sqref="Y361">
    <cfRule type="cellIs" dxfId="6276" priority="4439" operator="between">
      <formula>0.76</formula>
      <formula>0.95</formula>
    </cfRule>
    <cfRule type="cellIs" dxfId="6275" priority="4440" operator="between">
      <formula>0.51</formula>
      <formula>0.75</formula>
    </cfRule>
    <cfRule type="cellIs" dxfId="6274" priority="4441" operator="greaterThan">
      <formula>1</formula>
    </cfRule>
    <cfRule type="cellIs" dxfId="6273" priority="4442" operator="between">
      <formula>0.95</formula>
      <formula>1</formula>
    </cfRule>
    <cfRule type="cellIs" dxfId="6272" priority="4443" stopIfTrue="1" operator="between">
      <formula>0</formula>
      <formula>0.5</formula>
    </cfRule>
  </conditionalFormatting>
  <conditionalFormatting sqref="AF361">
    <cfRule type="cellIs" dxfId="6271" priority="4434" operator="between">
      <formula>0.76</formula>
      <formula>0.95</formula>
    </cfRule>
    <cfRule type="cellIs" dxfId="6270" priority="4435" operator="between">
      <formula>0.51</formula>
      <formula>0.75</formula>
    </cfRule>
    <cfRule type="cellIs" dxfId="6269" priority="4436" operator="greaterThan">
      <formula>1</formula>
    </cfRule>
    <cfRule type="cellIs" dxfId="6268" priority="4437" operator="between">
      <formula>0.95</formula>
      <formula>1</formula>
    </cfRule>
    <cfRule type="cellIs" dxfId="6267" priority="4438" stopIfTrue="1" operator="between">
      <formula>0</formula>
      <formula>0.5</formula>
    </cfRule>
  </conditionalFormatting>
  <conditionalFormatting sqref="AH361">
    <cfRule type="cellIs" dxfId="6266" priority="4429" operator="between">
      <formula>0.76</formula>
      <formula>0.95</formula>
    </cfRule>
    <cfRule type="cellIs" dxfId="6265" priority="4430" operator="between">
      <formula>0.51</formula>
      <formula>0.75</formula>
    </cfRule>
    <cfRule type="cellIs" dxfId="6264" priority="4431" operator="greaterThan">
      <formula>1</formula>
    </cfRule>
    <cfRule type="cellIs" dxfId="6263" priority="4432" operator="between">
      <formula>0.95</formula>
      <formula>1</formula>
    </cfRule>
    <cfRule type="cellIs" dxfId="6262" priority="4433" stopIfTrue="1" operator="between">
      <formula>0</formula>
      <formula>0.5</formula>
    </cfRule>
  </conditionalFormatting>
  <conditionalFormatting sqref="T361">
    <cfRule type="cellIs" dxfId="6261" priority="4424" operator="between">
      <formula>0.3751</formula>
      <formula>0.475</formula>
    </cfRule>
    <cfRule type="cellIs" dxfId="6260" priority="4425" operator="between">
      <formula>0.2551</formula>
      <formula>0.375</formula>
    </cfRule>
    <cfRule type="cellIs" dxfId="6259" priority="4426" operator="greaterThan">
      <formula>0.505</formula>
    </cfRule>
    <cfRule type="cellIs" dxfId="6258" priority="4427" operator="between">
      <formula>0.48</formula>
      <formula>0.5</formula>
    </cfRule>
    <cfRule type="cellIs" dxfId="6257" priority="4428" stopIfTrue="1" operator="between">
      <formula>0</formula>
      <formula>0.255</formula>
    </cfRule>
  </conditionalFormatting>
  <conditionalFormatting sqref="U361">
    <cfRule type="cellIs" dxfId="6256" priority="4419" operator="between">
      <formula>0.376</formula>
      <formula>0.475</formula>
    </cfRule>
    <cfRule type="cellIs" dxfId="6255" priority="4420" operator="between">
      <formula>0.2551</formula>
      <formula>0.3751</formula>
    </cfRule>
    <cfRule type="cellIs" dxfId="6254" priority="4421" operator="greaterThan">
      <formula>0.505</formula>
    </cfRule>
    <cfRule type="cellIs" dxfId="6253" priority="4422" operator="between">
      <formula>0.48</formula>
      <formula>0.5</formula>
    </cfRule>
    <cfRule type="cellIs" dxfId="6252" priority="4423" stopIfTrue="1" operator="between">
      <formula>0</formula>
      <formula>0.255</formula>
    </cfRule>
  </conditionalFormatting>
  <conditionalFormatting sqref="AA361">
    <cfRule type="cellIs" dxfId="6251" priority="4414" operator="between">
      <formula>0.56251</formula>
      <formula>0.7125</formula>
    </cfRule>
    <cfRule type="cellIs" dxfId="6250" priority="4415" operator="between">
      <formula>0.3751</formula>
      <formula>0.5625</formula>
    </cfRule>
    <cfRule type="cellIs" dxfId="6249" priority="4416" operator="greaterThan">
      <formula>0.751</formula>
    </cfRule>
    <cfRule type="cellIs" dxfId="6248" priority="4417" operator="between">
      <formula>0.71251</formula>
      <formula>0.75</formula>
    </cfRule>
    <cfRule type="cellIs" dxfId="6247" priority="4418" stopIfTrue="1" operator="between">
      <formula>0</formula>
      <formula>0.375</formula>
    </cfRule>
  </conditionalFormatting>
  <conditionalFormatting sqref="AB361">
    <cfRule type="cellIs" dxfId="6246" priority="4409" operator="between">
      <formula>0.56251</formula>
      <formula>0.7125</formula>
    </cfRule>
    <cfRule type="cellIs" dxfId="6245" priority="4410" operator="between">
      <formula>0.3751</formula>
      <formula>0.5625</formula>
    </cfRule>
    <cfRule type="cellIs" dxfId="6244" priority="4411" operator="greaterThan">
      <formula>0.751</formula>
    </cfRule>
    <cfRule type="cellIs" dxfId="6243" priority="4412" operator="between">
      <formula>0.71251</formula>
      <formula>0.75</formula>
    </cfRule>
    <cfRule type="cellIs" dxfId="6242" priority="4413" stopIfTrue="1" operator="between">
      <formula>0</formula>
      <formula>0.375</formula>
    </cfRule>
  </conditionalFormatting>
  <conditionalFormatting sqref="S361">
    <cfRule type="cellIs" dxfId="6241" priority="4399" operator="between">
      <formula>0.76</formula>
      <formula>0.95</formula>
    </cfRule>
    <cfRule type="cellIs" dxfId="6240" priority="4400" operator="between">
      <formula>0.51</formula>
      <formula>0.75</formula>
    </cfRule>
    <cfRule type="cellIs" dxfId="6239" priority="4401" operator="greaterThan">
      <formula>1</formula>
    </cfRule>
    <cfRule type="cellIs" dxfId="6238" priority="4402" operator="between">
      <formula>0.95</formula>
      <formula>1</formula>
    </cfRule>
    <cfRule type="cellIs" dxfId="6237" priority="4403" stopIfTrue="1" operator="between">
      <formula>0</formula>
      <formula>0.5</formula>
    </cfRule>
  </conditionalFormatting>
  <conditionalFormatting sqref="V361">
    <cfRule type="cellIs" dxfId="6236" priority="4394" operator="between">
      <formula>0.376</formula>
      <formula>0.475</formula>
    </cfRule>
    <cfRule type="cellIs" dxfId="6235" priority="4395" operator="between">
      <formula>0.2551</formula>
      <formula>0.3751</formula>
    </cfRule>
    <cfRule type="cellIs" dxfId="6234" priority="4396" operator="greaterThan">
      <formula>0.505</formula>
    </cfRule>
    <cfRule type="cellIs" dxfId="6233" priority="4397" operator="between">
      <formula>0.48</formula>
      <formula>0.5</formula>
    </cfRule>
    <cfRule type="cellIs" dxfId="6232" priority="4398" stopIfTrue="1" operator="between">
      <formula>0</formula>
      <formula>0.255</formula>
    </cfRule>
  </conditionalFormatting>
  <conditionalFormatting sqref="Z361">
    <cfRule type="cellIs" dxfId="6231" priority="4389" operator="between">
      <formula>0.76</formula>
      <formula>0.95</formula>
    </cfRule>
    <cfRule type="cellIs" dxfId="6230" priority="4390" operator="between">
      <formula>0.51</formula>
      <formula>0.75</formula>
    </cfRule>
    <cfRule type="cellIs" dxfId="6229" priority="4391" operator="greaterThan">
      <formula>1</formula>
    </cfRule>
    <cfRule type="cellIs" dxfId="6228" priority="4392" operator="between">
      <formula>0.95</formula>
      <formula>1</formula>
    </cfRule>
    <cfRule type="cellIs" dxfId="6227" priority="4393" stopIfTrue="1" operator="between">
      <formula>0</formula>
      <formula>0.5</formula>
    </cfRule>
  </conditionalFormatting>
  <conditionalFormatting sqref="AC361">
    <cfRule type="cellIs" dxfId="6226" priority="4384" operator="between">
      <formula>0.56251</formula>
      <formula>0.7125</formula>
    </cfRule>
    <cfRule type="cellIs" dxfId="6225" priority="4385" operator="between">
      <formula>0.3751</formula>
      <formula>0.5625</formula>
    </cfRule>
    <cfRule type="cellIs" dxfId="6224" priority="4386" operator="greaterThan">
      <formula>0.751</formula>
    </cfRule>
    <cfRule type="cellIs" dxfId="6223" priority="4387" operator="between">
      <formula>0.71251</formula>
      <formula>0.75</formula>
    </cfRule>
    <cfRule type="cellIs" dxfId="6222" priority="4388" stopIfTrue="1" operator="between">
      <formula>0</formula>
      <formula>0.375</formula>
    </cfRule>
  </conditionalFormatting>
  <conditionalFormatting sqref="M361">
    <cfRule type="cellIs" dxfId="6221" priority="4367" operator="between">
      <formula>0.1876</formula>
      <formula>0.2375</formula>
    </cfRule>
    <cfRule type="cellIs" dxfId="6220" priority="4368" operator="between">
      <formula>0.1251</formula>
      <formula>0.1875</formula>
    </cfRule>
    <cfRule type="cellIs" dxfId="6219" priority="4369" operator="greaterThan">
      <formula>0.25</formula>
    </cfRule>
    <cfRule type="cellIs" dxfId="6218" priority="4370" operator="between">
      <formula>0.2376</formula>
      <formula>0.25</formula>
    </cfRule>
    <cfRule type="cellIs" dxfId="6217" priority="4371" stopIfTrue="1" operator="between">
      <formula>0</formula>
      <formula>0.125</formula>
    </cfRule>
  </conditionalFormatting>
  <conditionalFormatting sqref="N361">
    <cfRule type="cellIs" dxfId="6216" priority="4362" operator="between">
      <formula>0.1876</formula>
      <formula>0.2375</formula>
    </cfRule>
    <cfRule type="cellIs" dxfId="6215" priority="4363" operator="between">
      <formula>0.1251</formula>
      <formula>0.1875</formula>
    </cfRule>
    <cfRule type="cellIs" dxfId="6214" priority="4364" operator="greaterThan">
      <formula>0.25</formula>
    </cfRule>
    <cfRule type="cellIs" dxfId="6213" priority="4365" operator="between">
      <formula>0.2376</formula>
      <formula>0.25</formula>
    </cfRule>
    <cfRule type="cellIs" dxfId="6212" priority="4366" stopIfTrue="1" operator="between">
      <formula>0</formula>
      <formula>0.125</formula>
    </cfRule>
  </conditionalFormatting>
  <conditionalFormatting sqref="O361">
    <cfRule type="cellIs" dxfId="6211" priority="4357" operator="between">
      <formula>0.1876</formula>
      <formula>0.2375</formula>
    </cfRule>
    <cfRule type="cellIs" dxfId="6210" priority="4358" operator="between">
      <formula>0.1251</formula>
      <formula>0.1875</formula>
    </cfRule>
    <cfRule type="cellIs" dxfId="6209" priority="4359" operator="greaterThan">
      <formula>0.25</formula>
    </cfRule>
    <cfRule type="cellIs" dxfId="6208" priority="4360" operator="between">
      <formula>0.2375</formula>
      <formula>0.25</formula>
    </cfRule>
    <cfRule type="cellIs" dxfId="6207" priority="4361" stopIfTrue="1" operator="between">
      <formula>0</formula>
      <formula>0.125</formula>
    </cfRule>
  </conditionalFormatting>
  <conditionalFormatting sqref="L361">
    <cfRule type="cellIs" dxfId="6206" priority="4352" operator="between">
      <formula>0.76</formula>
      <formula>0.95</formula>
    </cfRule>
    <cfRule type="cellIs" dxfId="6205" priority="4353" operator="between">
      <formula>0.51</formula>
      <formula>0.75</formula>
    </cfRule>
    <cfRule type="cellIs" dxfId="6204" priority="4354" operator="greaterThan">
      <formula>1</formula>
    </cfRule>
    <cfRule type="cellIs" dxfId="6203" priority="4355" operator="between">
      <formula>0.96</formula>
      <formula>1</formula>
    </cfRule>
    <cfRule type="cellIs" dxfId="6202" priority="4356" stopIfTrue="1" operator="between">
      <formula>0</formula>
      <formula>0.5</formula>
    </cfRule>
  </conditionalFormatting>
  <conditionalFormatting sqref="K361">
    <cfRule type="cellIs" dxfId="6201" priority="4347" operator="between">
      <formula>0.76</formula>
      <formula>0.95</formula>
    </cfRule>
    <cfRule type="cellIs" dxfId="6200" priority="4348" operator="between">
      <formula>0.51</formula>
      <formula>0.75</formula>
    </cfRule>
    <cfRule type="cellIs" dxfId="6199" priority="4349" operator="greaterThan">
      <formula>1</formula>
    </cfRule>
    <cfRule type="cellIs" dxfId="6198" priority="4350" operator="between">
      <formula>0.96</formula>
      <formula>1</formula>
    </cfRule>
    <cfRule type="cellIs" dxfId="6197" priority="4351" stopIfTrue="1" operator="between">
      <formula>0</formula>
      <formula>0.5</formula>
    </cfRule>
  </conditionalFormatting>
  <conditionalFormatting sqref="K37:L39">
    <cfRule type="cellIs" dxfId="6196" priority="4342" operator="between">
      <formula>0.76</formula>
      <formula>0.95</formula>
    </cfRule>
    <cfRule type="cellIs" dxfId="6195" priority="4343" operator="between">
      <formula>0.51</formula>
      <formula>0.75</formula>
    </cfRule>
    <cfRule type="cellIs" dxfId="6194" priority="4344" operator="greaterThan">
      <formula>1</formula>
    </cfRule>
    <cfRule type="cellIs" dxfId="6193" priority="4345" operator="between">
      <formula>0.96</formula>
      <formula>1</formula>
    </cfRule>
    <cfRule type="cellIs" dxfId="6192" priority="4346" stopIfTrue="1" operator="between">
      <formula>0</formula>
      <formula>0.5</formula>
    </cfRule>
  </conditionalFormatting>
  <conditionalFormatting sqref="M37:M39">
    <cfRule type="cellIs" dxfId="6191" priority="4337" operator="between">
      <formula>0.1876</formula>
      <formula>0.2375</formula>
    </cfRule>
    <cfRule type="cellIs" dxfId="6190" priority="4338" operator="between">
      <formula>0.1251</formula>
      <formula>0.1875</formula>
    </cfRule>
    <cfRule type="cellIs" dxfId="6189" priority="4339" operator="greaterThan">
      <formula>0.25</formula>
    </cfRule>
    <cfRule type="cellIs" dxfId="6188" priority="4340" operator="between">
      <formula>0.2375</formula>
      <formula>0.25</formula>
    </cfRule>
    <cfRule type="cellIs" dxfId="6187" priority="4341" stopIfTrue="1" operator="between">
      <formula>0</formula>
      <formula>0.125</formula>
    </cfRule>
  </conditionalFormatting>
  <conditionalFormatting sqref="N37:O39">
    <cfRule type="cellIs" dxfId="6186" priority="4332" operator="between">
      <formula>0.1876</formula>
      <formula>0.2375</formula>
    </cfRule>
    <cfRule type="cellIs" dxfId="6185" priority="4333" operator="between">
      <formula>0.1251</formula>
      <formula>0.1875</formula>
    </cfRule>
    <cfRule type="cellIs" dxfId="6184" priority="4334" operator="greaterThan">
      <formula>0.25</formula>
    </cfRule>
    <cfRule type="cellIs" dxfId="6183" priority="4335" operator="between">
      <formula>0.2376</formula>
      <formula>0.25</formula>
    </cfRule>
    <cfRule type="cellIs" dxfId="6182" priority="4336" stopIfTrue="1" operator="between">
      <formula>0</formula>
      <formula>0.125</formula>
    </cfRule>
  </conditionalFormatting>
  <conditionalFormatting sqref="Y239">
    <cfRule type="cellIs" dxfId="6181" priority="4319" operator="between">
      <formula>0.76</formula>
      <formula>0.95</formula>
    </cfRule>
    <cfRule type="cellIs" dxfId="6180" priority="4320" operator="between">
      <formula>0.51</formula>
      <formula>0.75</formula>
    </cfRule>
    <cfRule type="cellIs" dxfId="6179" priority="4321" operator="greaterThan">
      <formula>1</formula>
    </cfRule>
    <cfRule type="cellIs" dxfId="6178" priority="4322" operator="between">
      <formula>0.96</formula>
      <formula>1</formula>
    </cfRule>
    <cfRule type="cellIs" dxfId="6177" priority="4323" stopIfTrue="1" operator="between">
      <formula>0</formula>
      <formula>0.5</formula>
    </cfRule>
  </conditionalFormatting>
  <conditionalFormatting sqref="Z239">
    <cfRule type="cellIs" dxfId="6176" priority="4306" operator="between">
      <formula>0.76</formula>
      <formula>0.95</formula>
    </cfRule>
    <cfRule type="cellIs" dxfId="6175" priority="4307" operator="between">
      <formula>0.51</formula>
      <formula>0.75</formula>
    </cfRule>
    <cfRule type="cellIs" dxfId="6174" priority="4308" operator="greaterThan">
      <formula>1</formula>
    </cfRule>
    <cfRule type="cellIs" dxfId="6173" priority="4309" operator="between">
      <formula>0.95</formula>
      <formula>1</formula>
    </cfRule>
    <cfRule type="cellIs" dxfId="6172" priority="4310" stopIfTrue="1" operator="between">
      <formula>0</formula>
      <formula>0.5</formula>
    </cfRule>
  </conditionalFormatting>
  <conditionalFormatting sqref="AI239">
    <cfRule type="cellIs" dxfId="6171" priority="4283" operator="between">
      <formula>0.76</formula>
      <formula>0.95</formula>
    </cfRule>
    <cfRule type="cellIs" dxfId="6170" priority="4284" operator="between">
      <formula>0.51</formula>
      <formula>0.75</formula>
    </cfRule>
    <cfRule type="cellIs" dxfId="6169" priority="4285" operator="greaterThan">
      <formula>1</formula>
    </cfRule>
    <cfRule type="cellIs" dxfId="6168" priority="4286" operator="between">
      <formula>0.96</formula>
      <formula>1</formula>
    </cfRule>
    <cfRule type="cellIs" dxfId="6167" priority="4287" stopIfTrue="1" operator="between">
      <formula>0</formula>
      <formula>0.5</formula>
    </cfRule>
  </conditionalFormatting>
  <conditionalFormatting sqref="K178:L178">
    <cfRule type="cellIs" dxfId="6166" priority="4278" operator="between">
      <formula>0.76</formula>
      <formula>0.95</formula>
    </cfRule>
    <cfRule type="cellIs" dxfId="6165" priority="4279" operator="between">
      <formula>0.51</formula>
      <formula>0.75</formula>
    </cfRule>
    <cfRule type="cellIs" dxfId="6164" priority="4280" operator="greaterThan">
      <formula>1</formula>
    </cfRule>
    <cfRule type="cellIs" dxfId="6163" priority="4281" operator="between">
      <formula>0.96</formula>
      <formula>1</formula>
    </cfRule>
    <cfRule type="cellIs" dxfId="6162" priority="4282" stopIfTrue="1" operator="between">
      <formula>0</formula>
      <formula>0.5</formula>
    </cfRule>
  </conditionalFormatting>
  <conditionalFormatting sqref="O178">
    <cfRule type="cellIs" dxfId="6161" priority="4273" operator="between">
      <formula>0.1876</formula>
      <formula>0.2375</formula>
    </cfRule>
    <cfRule type="cellIs" dxfId="6160" priority="4274" operator="between">
      <formula>0.1251</formula>
      <formula>0.1875</formula>
    </cfRule>
    <cfRule type="cellIs" dxfId="6159" priority="4275" operator="greaterThan">
      <formula>0.25</formula>
    </cfRule>
    <cfRule type="cellIs" dxfId="6158" priority="4276" operator="between">
      <formula>0.2375</formula>
      <formula>0.25</formula>
    </cfRule>
    <cfRule type="cellIs" dxfId="6157" priority="4277" stopIfTrue="1" operator="between">
      <formula>0</formula>
      <formula>0.125</formula>
    </cfRule>
  </conditionalFormatting>
  <conditionalFormatting sqref="M178:N178">
    <cfRule type="cellIs" dxfId="6156" priority="4268" operator="between">
      <formula>0.1876</formula>
      <formula>0.2375</formula>
    </cfRule>
    <cfRule type="cellIs" dxfId="6155" priority="4269" operator="between">
      <formula>0.1251</formula>
      <formula>0.1875</formula>
    </cfRule>
    <cfRule type="cellIs" dxfId="6154" priority="4270" operator="greaterThan">
      <formula>0.25</formula>
    </cfRule>
    <cfRule type="cellIs" dxfId="6153" priority="4271" operator="between">
      <formula>0.2376</formula>
      <formula>0.25</formula>
    </cfRule>
    <cfRule type="cellIs" dxfId="6152" priority="4272" stopIfTrue="1" operator="between">
      <formula>0</formula>
      <formula>0.125</formula>
    </cfRule>
  </conditionalFormatting>
  <conditionalFormatting sqref="R178 Y178:Z178 AF178:AI178">
    <cfRule type="cellIs" dxfId="6151" priority="4263" operator="between">
      <formula>0.76</formula>
      <formula>0.95</formula>
    </cfRule>
    <cfRule type="cellIs" dxfId="6150" priority="4264" operator="between">
      <formula>0.51</formula>
      <formula>0.75</formula>
    </cfRule>
    <cfRule type="cellIs" dxfId="6149" priority="4265" operator="greaterThan">
      <formula>1</formula>
    </cfRule>
    <cfRule type="cellIs" dxfId="6148" priority="4266" operator="between">
      <formula>0.95</formula>
      <formula>1</formula>
    </cfRule>
    <cfRule type="cellIs" dxfId="6147" priority="4267" stopIfTrue="1" operator="between">
      <formula>0</formula>
      <formula>0.5</formula>
    </cfRule>
  </conditionalFormatting>
  <conditionalFormatting sqref="T178">
    <cfRule type="cellIs" dxfId="6146" priority="4258" operator="between">
      <formula>0.3751</formula>
      <formula>0.475</formula>
    </cfRule>
    <cfRule type="cellIs" dxfId="6145" priority="4259" operator="between">
      <formula>0.2551</formula>
      <formula>0.375</formula>
    </cfRule>
    <cfRule type="cellIs" dxfId="6144" priority="4260" operator="greaterThan">
      <formula>0.505</formula>
    </cfRule>
    <cfRule type="cellIs" dxfId="6143" priority="4261" operator="between">
      <formula>0.48</formula>
      <formula>0.5</formula>
    </cfRule>
    <cfRule type="cellIs" dxfId="6142" priority="4262" stopIfTrue="1" operator="between">
      <formula>0</formula>
      <formula>0.255</formula>
    </cfRule>
  </conditionalFormatting>
  <conditionalFormatting sqref="AA178:AC178">
    <cfRule type="cellIs" dxfId="6141" priority="4253" operator="between">
      <formula>0.56251</formula>
      <formula>0.7125</formula>
    </cfRule>
    <cfRule type="cellIs" dxfId="6140" priority="4254" operator="between">
      <formula>0.3751</formula>
      <formula>0.5625</formula>
    </cfRule>
    <cfRule type="cellIs" dxfId="6139" priority="4255" operator="greaterThan">
      <formula>0.751</formula>
    </cfRule>
    <cfRule type="cellIs" dxfId="6138" priority="4256" operator="between">
      <formula>0.71251</formula>
      <formula>0.75</formula>
    </cfRule>
    <cfRule type="cellIs" dxfId="6137" priority="4257" stopIfTrue="1" operator="between">
      <formula>0</formula>
      <formula>0.375</formula>
    </cfRule>
  </conditionalFormatting>
  <conditionalFormatting sqref="U178">
    <cfRule type="cellIs" dxfId="6136" priority="4248" operator="between">
      <formula>0.376</formula>
      <formula>0.475</formula>
    </cfRule>
    <cfRule type="cellIs" dxfId="6135" priority="4249" operator="between">
      <formula>0.2551</formula>
      <formula>0.3751</formula>
    </cfRule>
    <cfRule type="cellIs" dxfId="6134" priority="4250" operator="greaterThan">
      <formula>0.505</formula>
    </cfRule>
    <cfRule type="cellIs" dxfId="6133" priority="4251" operator="between">
      <formula>0.48</formula>
      <formula>0.5</formula>
    </cfRule>
    <cfRule type="cellIs" dxfId="6132" priority="4252" stopIfTrue="1" operator="between">
      <formula>0</formula>
      <formula>0.255</formula>
    </cfRule>
  </conditionalFormatting>
  <conditionalFormatting sqref="V178">
    <cfRule type="cellIs" dxfId="6131" priority="4243" operator="between">
      <formula>0.376</formula>
      <formula>0.475</formula>
    </cfRule>
    <cfRule type="cellIs" dxfId="6130" priority="4244" operator="between">
      <formula>0.2551</formula>
      <formula>0.3751</formula>
    </cfRule>
    <cfRule type="cellIs" dxfId="6129" priority="4245" operator="greaterThan">
      <formula>0.505</formula>
    </cfRule>
    <cfRule type="cellIs" dxfId="6128" priority="4246" operator="between">
      <formula>0.48</formula>
      <formula>0.5</formula>
    </cfRule>
    <cfRule type="cellIs" dxfId="6127" priority="4247" stopIfTrue="1" operator="between">
      <formula>0</formula>
      <formula>0.255</formula>
    </cfRule>
  </conditionalFormatting>
  <conditionalFormatting sqref="S178">
    <cfRule type="cellIs" dxfId="6126" priority="4238" operator="between">
      <formula>0.76</formula>
      <formula>0.95</formula>
    </cfRule>
    <cfRule type="cellIs" dxfId="6125" priority="4239" operator="between">
      <formula>0.51</formula>
      <formula>0.75</formula>
    </cfRule>
    <cfRule type="cellIs" dxfId="6124" priority="4240" operator="greaterThan">
      <formula>1</formula>
    </cfRule>
    <cfRule type="cellIs" dxfId="6123" priority="4241" operator="between">
      <formula>0.95</formula>
      <formula>1</formula>
    </cfRule>
    <cfRule type="cellIs" dxfId="6122" priority="4242" stopIfTrue="1" operator="between">
      <formula>0</formula>
      <formula>0.5</formula>
    </cfRule>
  </conditionalFormatting>
  <conditionalFormatting sqref="K180:L180">
    <cfRule type="cellIs" dxfId="6121" priority="4221" operator="between">
      <formula>0.76</formula>
      <formula>0.95</formula>
    </cfRule>
    <cfRule type="cellIs" dxfId="6120" priority="4222" operator="between">
      <formula>0.51</formula>
      <formula>0.75</formula>
    </cfRule>
    <cfRule type="cellIs" dxfId="6119" priority="4223" operator="greaterThan">
      <formula>1</formula>
    </cfRule>
    <cfRule type="cellIs" dxfId="6118" priority="4224" operator="between">
      <formula>0.96</formula>
      <formula>1</formula>
    </cfRule>
    <cfRule type="cellIs" dxfId="6117" priority="4225" stopIfTrue="1" operator="between">
      <formula>0</formula>
      <formula>0.5</formula>
    </cfRule>
  </conditionalFormatting>
  <conditionalFormatting sqref="O180">
    <cfRule type="cellIs" dxfId="6116" priority="4216" operator="between">
      <formula>0.1876</formula>
      <formula>0.2375</formula>
    </cfRule>
    <cfRule type="cellIs" dxfId="6115" priority="4217" operator="between">
      <formula>0.1251</formula>
      <formula>0.1875</formula>
    </cfRule>
    <cfRule type="cellIs" dxfId="6114" priority="4218" operator="greaterThan">
      <formula>0.25</formula>
    </cfRule>
    <cfRule type="cellIs" dxfId="6113" priority="4219" operator="between">
      <formula>0.2375</formula>
      <formula>0.25</formula>
    </cfRule>
    <cfRule type="cellIs" dxfId="6112" priority="4220" stopIfTrue="1" operator="between">
      <formula>0</formula>
      <formula>0.125</formula>
    </cfRule>
  </conditionalFormatting>
  <conditionalFormatting sqref="M180:N180">
    <cfRule type="cellIs" dxfId="6111" priority="4211" operator="between">
      <formula>0.1876</formula>
      <formula>0.2375</formula>
    </cfRule>
    <cfRule type="cellIs" dxfId="6110" priority="4212" operator="between">
      <formula>0.1251</formula>
      <formula>0.1875</formula>
    </cfRule>
    <cfRule type="cellIs" dxfId="6109" priority="4213" operator="greaterThan">
      <formula>0.25</formula>
    </cfRule>
    <cfRule type="cellIs" dxfId="6108" priority="4214" operator="between">
      <formula>0.2376</formula>
      <formula>0.25</formula>
    </cfRule>
    <cfRule type="cellIs" dxfId="6107" priority="4215" stopIfTrue="1" operator="between">
      <formula>0</formula>
      <formula>0.125</formula>
    </cfRule>
  </conditionalFormatting>
  <conditionalFormatting sqref="R180 Y180:Z180 AF180:AI180">
    <cfRule type="cellIs" dxfId="6106" priority="4206" operator="between">
      <formula>0.76</formula>
      <formula>0.95</formula>
    </cfRule>
    <cfRule type="cellIs" dxfId="6105" priority="4207" operator="between">
      <formula>0.51</formula>
      <formula>0.75</formula>
    </cfRule>
    <cfRule type="cellIs" dxfId="6104" priority="4208" operator="greaterThan">
      <formula>1</formula>
    </cfRule>
    <cfRule type="cellIs" dxfId="6103" priority="4209" operator="between">
      <formula>0.95</formula>
      <formula>1</formula>
    </cfRule>
    <cfRule type="cellIs" dxfId="6102" priority="4210" stopIfTrue="1" operator="between">
      <formula>0</formula>
      <formula>0.5</formula>
    </cfRule>
  </conditionalFormatting>
  <conditionalFormatting sqref="T180">
    <cfRule type="cellIs" dxfId="6101" priority="4201" operator="between">
      <formula>0.3751</formula>
      <formula>0.475</formula>
    </cfRule>
    <cfRule type="cellIs" dxfId="6100" priority="4202" operator="between">
      <formula>0.2551</formula>
      <formula>0.375</formula>
    </cfRule>
    <cfRule type="cellIs" dxfId="6099" priority="4203" operator="greaterThan">
      <formula>0.505</formula>
    </cfRule>
    <cfRule type="cellIs" dxfId="6098" priority="4204" operator="between">
      <formula>0.48</formula>
      <formula>0.5</formula>
    </cfRule>
    <cfRule type="cellIs" dxfId="6097" priority="4205" stopIfTrue="1" operator="between">
      <formula>0</formula>
      <formula>0.255</formula>
    </cfRule>
  </conditionalFormatting>
  <conditionalFormatting sqref="AA180:AC180">
    <cfRule type="cellIs" dxfId="6096" priority="4196" operator="between">
      <formula>0.56251</formula>
      <formula>0.7125</formula>
    </cfRule>
    <cfRule type="cellIs" dxfId="6095" priority="4197" operator="between">
      <formula>0.3751</formula>
      <formula>0.5625</formula>
    </cfRule>
    <cfRule type="cellIs" dxfId="6094" priority="4198" operator="greaterThan">
      <formula>0.751</formula>
    </cfRule>
    <cfRule type="cellIs" dxfId="6093" priority="4199" operator="between">
      <formula>0.71251</formula>
      <formula>0.75</formula>
    </cfRule>
    <cfRule type="cellIs" dxfId="6092" priority="4200" stopIfTrue="1" operator="between">
      <formula>0</formula>
      <formula>0.375</formula>
    </cfRule>
  </conditionalFormatting>
  <conditionalFormatting sqref="U180">
    <cfRule type="cellIs" dxfId="6091" priority="4191" operator="between">
      <formula>0.376</formula>
      <formula>0.475</formula>
    </cfRule>
    <cfRule type="cellIs" dxfId="6090" priority="4192" operator="between">
      <formula>0.2551</formula>
      <formula>0.3751</formula>
    </cfRule>
    <cfRule type="cellIs" dxfId="6089" priority="4193" operator="greaterThan">
      <formula>0.505</formula>
    </cfRule>
    <cfRule type="cellIs" dxfId="6088" priority="4194" operator="between">
      <formula>0.48</formula>
      <formula>0.5</formula>
    </cfRule>
    <cfRule type="cellIs" dxfId="6087" priority="4195" stopIfTrue="1" operator="between">
      <formula>0</formula>
      <formula>0.255</formula>
    </cfRule>
  </conditionalFormatting>
  <conditionalFormatting sqref="V180">
    <cfRule type="cellIs" dxfId="6086" priority="4186" operator="between">
      <formula>0.376</formula>
      <formula>0.475</formula>
    </cfRule>
    <cfRule type="cellIs" dxfId="6085" priority="4187" operator="between">
      <formula>0.2551</formula>
      <formula>0.3751</formula>
    </cfRule>
    <cfRule type="cellIs" dxfId="6084" priority="4188" operator="greaterThan">
      <formula>0.505</formula>
    </cfRule>
    <cfRule type="cellIs" dxfId="6083" priority="4189" operator="between">
      <formula>0.48</formula>
      <formula>0.5</formula>
    </cfRule>
    <cfRule type="cellIs" dxfId="6082" priority="4190" stopIfTrue="1" operator="between">
      <formula>0</formula>
      <formula>0.255</formula>
    </cfRule>
  </conditionalFormatting>
  <conditionalFormatting sqref="S180">
    <cfRule type="cellIs" dxfId="6081" priority="4181" operator="between">
      <formula>0.76</formula>
      <formula>0.95</formula>
    </cfRule>
    <cfRule type="cellIs" dxfId="6080" priority="4182" operator="between">
      <formula>0.51</formula>
      <formula>0.75</formula>
    </cfRule>
    <cfRule type="cellIs" dxfId="6079" priority="4183" operator="greaterThan">
      <formula>1</formula>
    </cfRule>
    <cfRule type="cellIs" dxfId="6078" priority="4184" operator="between">
      <formula>0.95</formula>
      <formula>1</formula>
    </cfRule>
    <cfRule type="cellIs" dxfId="6077" priority="4185" stopIfTrue="1" operator="between">
      <formula>0</formula>
      <formula>0.5</formula>
    </cfRule>
  </conditionalFormatting>
  <conditionalFormatting sqref="K172:L172">
    <cfRule type="cellIs" dxfId="6076" priority="4164" operator="between">
      <formula>0.76</formula>
      <formula>0.95</formula>
    </cfRule>
    <cfRule type="cellIs" dxfId="6075" priority="4165" operator="between">
      <formula>0.51</formula>
      <formula>0.75</formula>
    </cfRule>
    <cfRule type="cellIs" dxfId="6074" priority="4166" operator="greaterThan">
      <formula>1</formula>
    </cfRule>
    <cfRule type="cellIs" dxfId="6073" priority="4167" operator="between">
      <formula>0.96</formula>
      <formula>1</formula>
    </cfRule>
    <cfRule type="cellIs" dxfId="6072" priority="4168" stopIfTrue="1" operator="between">
      <formula>0</formula>
      <formula>0.5</formula>
    </cfRule>
  </conditionalFormatting>
  <conditionalFormatting sqref="O172">
    <cfRule type="cellIs" dxfId="6071" priority="4159" operator="between">
      <formula>0.1876</formula>
      <formula>0.2375</formula>
    </cfRule>
    <cfRule type="cellIs" dxfId="6070" priority="4160" operator="between">
      <formula>0.1251</formula>
      <formula>0.1875</formula>
    </cfRule>
    <cfRule type="cellIs" dxfId="6069" priority="4161" operator="greaterThan">
      <formula>0.25</formula>
    </cfRule>
    <cfRule type="cellIs" dxfId="6068" priority="4162" operator="between">
      <formula>0.2375</formula>
      <formula>0.25</formula>
    </cfRule>
    <cfRule type="cellIs" dxfId="6067" priority="4163" stopIfTrue="1" operator="between">
      <formula>0</formula>
      <formula>0.125</formula>
    </cfRule>
  </conditionalFormatting>
  <conditionalFormatting sqref="M172:N172">
    <cfRule type="cellIs" dxfId="6066" priority="4154" operator="between">
      <formula>0.1876</formula>
      <formula>0.2375</formula>
    </cfRule>
    <cfRule type="cellIs" dxfId="6065" priority="4155" operator="between">
      <formula>0.1251</formula>
      <formula>0.1875</formula>
    </cfRule>
    <cfRule type="cellIs" dxfId="6064" priority="4156" operator="greaterThan">
      <formula>0.25</formula>
    </cfRule>
    <cfRule type="cellIs" dxfId="6063" priority="4157" operator="between">
      <formula>0.2376</formula>
      <formula>0.25</formula>
    </cfRule>
    <cfRule type="cellIs" dxfId="6062" priority="4158" stopIfTrue="1" operator="between">
      <formula>0</formula>
      <formula>0.125</formula>
    </cfRule>
  </conditionalFormatting>
  <conditionalFormatting sqref="AF172:AI172 R172 Y172">
    <cfRule type="cellIs" dxfId="6061" priority="4149" operator="between">
      <formula>0.76</formula>
      <formula>0.95</formula>
    </cfRule>
    <cfRule type="cellIs" dxfId="6060" priority="4150" operator="between">
      <formula>0.51</formula>
      <formula>0.75</formula>
    </cfRule>
    <cfRule type="cellIs" dxfId="6059" priority="4151" operator="greaterThan">
      <formula>1</formula>
    </cfRule>
    <cfRule type="cellIs" dxfId="6058" priority="4152" operator="between">
      <formula>0.95</formula>
      <formula>1</formula>
    </cfRule>
    <cfRule type="cellIs" dxfId="6057" priority="4153" stopIfTrue="1" operator="between">
      <formula>0</formula>
      <formula>0.5</formula>
    </cfRule>
  </conditionalFormatting>
  <conditionalFormatting sqref="T172">
    <cfRule type="cellIs" dxfId="6056" priority="4144" operator="between">
      <formula>0.3751</formula>
      <formula>0.475</formula>
    </cfRule>
    <cfRule type="cellIs" dxfId="6055" priority="4145" operator="between">
      <formula>0.2551</formula>
      <formula>0.375</formula>
    </cfRule>
    <cfRule type="cellIs" dxfId="6054" priority="4146" operator="greaterThan">
      <formula>0.505</formula>
    </cfRule>
    <cfRule type="cellIs" dxfId="6053" priority="4147" operator="between">
      <formula>0.48</formula>
      <formula>0.5</formula>
    </cfRule>
    <cfRule type="cellIs" dxfId="6052" priority="4148" stopIfTrue="1" operator="between">
      <formula>0</formula>
      <formula>0.255</formula>
    </cfRule>
  </conditionalFormatting>
  <conditionalFormatting sqref="AA172:AB172">
    <cfRule type="cellIs" dxfId="6051" priority="4139" operator="between">
      <formula>0.56251</formula>
      <formula>0.7125</formula>
    </cfRule>
    <cfRule type="cellIs" dxfId="6050" priority="4140" operator="between">
      <formula>0.3751</formula>
      <formula>0.5625</formula>
    </cfRule>
    <cfRule type="cellIs" dxfId="6049" priority="4141" operator="greaterThan">
      <formula>0.751</formula>
    </cfRule>
    <cfRule type="cellIs" dxfId="6048" priority="4142" operator="between">
      <formula>0.71251</formula>
      <formula>0.75</formula>
    </cfRule>
    <cfRule type="cellIs" dxfId="6047" priority="4143" stopIfTrue="1" operator="between">
      <formula>0</formula>
      <formula>0.375</formula>
    </cfRule>
  </conditionalFormatting>
  <conditionalFormatting sqref="U172">
    <cfRule type="cellIs" dxfId="6046" priority="4134" operator="between">
      <formula>0.376</formula>
      <formula>0.475</formula>
    </cfRule>
    <cfRule type="cellIs" dxfId="6045" priority="4135" operator="between">
      <formula>0.2551</formula>
      <formula>0.3751</formula>
    </cfRule>
    <cfRule type="cellIs" dxfId="6044" priority="4136" operator="greaterThan">
      <formula>0.505</formula>
    </cfRule>
    <cfRule type="cellIs" dxfId="6043" priority="4137" operator="between">
      <formula>0.48</formula>
      <formula>0.5</formula>
    </cfRule>
    <cfRule type="cellIs" dxfId="6042" priority="4138" stopIfTrue="1" operator="between">
      <formula>0</formula>
      <formula>0.255</formula>
    </cfRule>
  </conditionalFormatting>
  <conditionalFormatting sqref="AC172">
    <cfRule type="cellIs" dxfId="6041" priority="4129" operator="between">
      <formula>0.56251</formula>
      <formula>0.7125</formula>
    </cfRule>
    <cfRule type="cellIs" dxfId="6040" priority="4130" operator="between">
      <formula>0.3751</formula>
      <formula>0.5625</formula>
    </cfRule>
    <cfRule type="cellIs" dxfId="6039" priority="4131" operator="greaterThan">
      <formula>0.751</formula>
    </cfRule>
    <cfRule type="cellIs" dxfId="6038" priority="4132" operator="between">
      <formula>0.71251</formula>
      <formula>0.75</formula>
    </cfRule>
    <cfRule type="cellIs" dxfId="6037" priority="4133" stopIfTrue="1" operator="between">
      <formula>0</formula>
      <formula>0.375</formula>
    </cfRule>
  </conditionalFormatting>
  <conditionalFormatting sqref="V172">
    <cfRule type="cellIs" dxfId="6036" priority="4124" operator="between">
      <formula>0.376</formula>
      <formula>0.475</formula>
    </cfRule>
    <cfRule type="cellIs" dxfId="6035" priority="4125" operator="between">
      <formula>0.2551</formula>
      <formula>0.3751</formula>
    </cfRule>
    <cfRule type="cellIs" dxfId="6034" priority="4126" operator="greaterThan">
      <formula>0.505</formula>
    </cfRule>
    <cfRule type="cellIs" dxfId="6033" priority="4127" operator="between">
      <formula>0.48</formula>
      <formula>0.5</formula>
    </cfRule>
    <cfRule type="cellIs" dxfId="6032" priority="4128" stopIfTrue="1" operator="between">
      <formula>0</formula>
      <formula>0.255</formula>
    </cfRule>
  </conditionalFormatting>
  <conditionalFormatting sqref="Z172">
    <cfRule type="cellIs" dxfId="6031" priority="4119" operator="between">
      <formula>0.76</formula>
      <formula>0.95</formula>
    </cfRule>
    <cfRule type="cellIs" dxfId="6030" priority="4120" operator="between">
      <formula>0.51</formula>
      <formula>0.75</formula>
    </cfRule>
    <cfRule type="cellIs" dxfId="6029" priority="4121" operator="greaterThan">
      <formula>1</formula>
    </cfRule>
    <cfRule type="cellIs" dxfId="6028" priority="4122" operator="between">
      <formula>0.95</formula>
      <formula>1</formula>
    </cfRule>
    <cfRule type="cellIs" dxfId="6027" priority="4123" stopIfTrue="1" operator="between">
      <formula>0</formula>
      <formula>0.5</formula>
    </cfRule>
  </conditionalFormatting>
  <conditionalFormatting sqref="S172">
    <cfRule type="cellIs" dxfId="6026" priority="4114" operator="between">
      <formula>0.76</formula>
      <formula>0.95</formula>
    </cfRule>
    <cfRule type="cellIs" dxfId="6025" priority="4115" operator="between">
      <formula>0.51</formula>
      <formula>0.75</formula>
    </cfRule>
    <cfRule type="cellIs" dxfId="6024" priority="4116" operator="greaterThan">
      <formula>1</formula>
    </cfRule>
    <cfRule type="cellIs" dxfId="6023" priority="4117" operator="between">
      <formula>0.95</formula>
      <formula>1</formula>
    </cfRule>
    <cfRule type="cellIs" dxfId="6022" priority="4118" stopIfTrue="1" operator="between">
      <formula>0</formula>
      <formula>0.5</formula>
    </cfRule>
  </conditionalFormatting>
  <conditionalFormatting sqref="K173:L173">
    <cfRule type="cellIs" dxfId="6021" priority="4030" operator="between">
      <formula>0.76</formula>
      <formula>0.95</formula>
    </cfRule>
    <cfRule type="cellIs" dxfId="6020" priority="4031" operator="between">
      <formula>0.51</formula>
      <formula>0.75</formula>
    </cfRule>
    <cfRule type="cellIs" dxfId="6019" priority="4032" operator="greaterThan">
      <formula>1</formula>
    </cfRule>
    <cfRule type="cellIs" dxfId="6018" priority="4033" operator="between">
      <formula>0.96</formula>
      <formula>1</formula>
    </cfRule>
    <cfRule type="cellIs" dxfId="6017" priority="4034" stopIfTrue="1" operator="between">
      <formula>0</formula>
      <formula>0.5</formula>
    </cfRule>
  </conditionalFormatting>
  <conditionalFormatting sqref="O173">
    <cfRule type="cellIs" dxfId="6016" priority="4025" operator="between">
      <formula>0.1876</formula>
      <formula>0.2375</formula>
    </cfRule>
    <cfRule type="cellIs" dxfId="6015" priority="4026" operator="between">
      <formula>0.1251</formula>
      <formula>0.1875</formula>
    </cfRule>
    <cfRule type="cellIs" dxfId="6014" priority="4027" operator="greaterThan">
      <formula>0.25</formula>
    </cfRule>
    <cfRule type="cellIs" dxfId="6013" priority="4028" operator="between">
      <formula>0.2375</formula>
      <formula>0.25</formula>
    </cfRule>
    <cfRule type="cellIs" dxfId="6012" priority="4029" stopIfTrue="1" operator="between">
      <formula>0</formula>
      <formula>0.125</formula>
    </cfRule>
  </conditionalFormatting>
  <conditionalFormatting sqref="M173:N173">
    <cfRule type="cellIs" dxfId="6011" priority="4020" operator="between">
      <formula>0.1876</formula>
      <formula>0.2375</formula>
    </cfRule>
    <cfRule type="cellIs" dxfId="6010" priority="4021" operator="between">
      <formula>0.1251</formula>
      <formula>0.1875</formula>
    </cfRule>
    <cfRule type="cellIs" dxfId="6009" priority="4022" operator="greaterThan">
      <formula>0.25</formula>
    </cfRule>
    <cfRule type="cellIs" dxfId="6008" priority="4023" operator="between">
      <formula>0.2376</formula>
      <formula>0.25</formula>
    </cfRule>
    <cfRule type="cellIs" dxfId="6007" priority="4024" stopIfTrue="1" operator="between">
      <formula>0</formula>
      <formula>0.125</formula>
    </cfRule>
  </conditionalFormatting>
  <conditionalFormatting sqref="AF173:AI173 R173 Y173">
    <cfRule type="cellIs" dxfId="6006" priority="4015" operator="between">
      <formula>0.76</formula>
      <formula>0.95</formula>
    </cfRule>
    <cfRule type="cellIs" dxfId="6005" priority="4016" operator="between">
      <formula>0.51</formula>
      <formula>0.75</formula>
    </cfRule>
    <cfRule type="cellIs" dxfId="6004" priority="4017" operator="greaterThan">
      <formula>1</formula>
    </cfRule>
    <cfRule type="cellIs" dxfId="6003" priority="4018" operator="between">
      <formula>0.95</formula>
      <formula>1</formula>
    </cfRule>
    <cfRule type="cellIs" dxfId="6002" priority="4019" stopIfTrue="1" operator="between">
      <formula>0</formula>
      <formula>0.5</formula>
    </cfRule>
  </conditionalFormatting>
  <conditionalFormatting sqref="T173">
    <cfRule type="cellIs" dxfId="6001" priority="4010" operator="between">
      <formula>0.3751</formula>
      <formula>0.475</formula>
    </cfRule>
    <cfRule type="cellIs" dxfId="6000" priority="4011" operator="between">
      <formula>0.2551</formula>
      <formula>0.375</formula>
    </cfRule>
    <cfRule type="cellIs" dxfId="5999" priority="4012" operator="greaterThan">
      <formula>0.505</formula>
    </cfRule>
    <cfRule type="cellIs" dxfId="5998" priority="4013" operator="between">
      <formula>0.48</formula>
      <formula>0.5</formula>
    </cfRule>
    <cfRule type="cellIs" dxfId="5997" priority="4014" stopIfTrue="1" operator="between">
      <formula>0</formula>
      <formula>0.255</formula>
    </cfRule>
  </conditionalFormatting>
  <conditionalFormatting sqref="AA173:AB173">
    <cfRule type="cellIs" dxfId="5996" priority="4005" operator="between">
      <formula>0.56251</formula>
      <formula>0.7125</formula>
    </cfRule>
    <cfRule type="cellIs" dxfId="5995" priority="4006" operator="between">
      <formula>0.3751</formula>
      <formula>0.5625</formula>
    </cfRule>
    <cfRule type="cellIs" dxfId="5994" priority="4007" operator="greaterThan">
      <formula>0.751</formula>
    </cfRule>
    <cfRule type="cellIs" dxfId="5993" priority="4008" operator="between">
      <formula>0.71251</formula>
      <formula>0.75</formula>
    </cfRule>
    <cfRule type="cellIs" dxfId="5992" priority="4009" stopIfTrue="1" operator="between">
      <formula>0</formula>
      <formula>0.375</formula>
    </cfRule>
  </conditionalFormatting>
  <conditionalFormatting sqref="U173">
    <cfRule type="cellIs" dxfId="5991" priority="4000" operator="between">
      <formula>0.376</formula>
      <formula>0.475</formula>
    </cfRule>
    <cfRule type="cellIs" dxfId="5990" priority="4001" operator="between">
      <formula>0.2551</formula>
      <formula>0.3751</formula>
    </cfRule>
    <cfRule type="cellIs" dxfId="5989" priority="4002" operator="greaterThan">
      <formula>0.505</formula>
    </cfRule>
    <cfRule type="cellIs" dxfId="5988" priority="4003" operator="between">
      <formula>0.48</formula>
      <formula>0.5</formula>
    </cfRule>
    <cfRule type="cellIs" dxfId="5987" priority="4004" stopIfTrue="1" operator="between">
      <formula>0</formula>
      <formula>0.255</formula>
    </cfRule>
  </conditionalFormatting>
  <conditionalFormatting sqref="AC173">
    <cfRule type="cellIs" dxfId="5986" priority="3995" operator="between">
      <formula>0.56251</formula>
      <formula>0.7125</formula>
    </cfRule>
    <cfRule type="cellIs" dxfId="5985" priority="3996" operator="between">
      <formula>0.3751</formula>
      <formula>0.5625</formula>
    </cfRule>
    <cfRule type="cellIs" dxfId="5984" priority="3997" operator="greaterThan">
      <formula>0.751</formula>
    </cfRule>
    <cfRule type="cellIs" dxfId="5983" priority="3998" operator="between">
      <formula>0.71251</formula>
      <formula>0.75</formula>
    </cfRule>
    <cfRule type="cellIs" dxfId="5982" priority="3999" stopIfTrue="1" operator="between">
      <formula>0</formula>
      <formula>0.375</formula>
    </cfRule>
  </conditionalFormatting>
  <conditionalFormatting sqref="AH137">
    <cfRule type="cellIs" dxfId="5981" priority="3829" operator="between">
      <formula>0.76</formula>
      <formula>0.95</formula>
    </cfRule>
    <cfRule type="cellIs" dxfId="5980" priority="3830" operator="between">
      <formula>0.51</formula>
      <formula>0.75</formula>
    </cfRule>
    <cfRule type="cellIs" dxfId="5979" priority="3831" operator="greaterThan">
      <formula>1</formula>
    </cfRule>
    <cfRule type="cellIs" dxfId="5978" priority="3832" operator="between">
      <formula>0.95</formula>
      <formula>1</formula>
    </cfRule>
    <cfRule type="cellIs" dxfId="5977" priority="3833" stopIfTrue="1" operator="between">
      <formula>0</formula>
      <formula>0.5</formula>
    </cfRule>
  </conditionalFormatting>
  <conditionalFormatting sqref="AC243">
    <cfRule type="cellIs" dxfId="5976" priority="3901" operator="between">
      <formula>0.56251</formula>
      <formula>0.7125</formula>
    </cfRule>
    <cfRule type="cellIs" dxfId="5975" priority="3902" operator="between">
      <formula>0.3751</formula>
      <formula>0.5625</formula>
    </cfRule>
    <cfRule type="cellIs" dxfId="5974" priority="3903" operator="greaterThan">
      <formula>0.751</formula>
    </cfRule>
    <cfRule type="cellIs" dxfId="5973" priority="3904" operator="between">
      <formula>0.71251</formula>
      <formula>0.75</formula>
    </cfRule>
    <cfRule type="cellIs" dxfId="5972" priority="3905" stopIfTrue="1" operator="between">
      <formula>0</formula>
      <formula>0.375</formula>
    </cfRule>
  </conditionalFormatting>
  <conditionalFormatting sqref="AC137">
    <cfRule type="cellIs" dxfId="5971" priority="3809" operator="between">
      <formula>0.56251</formula>
      <formula>0.7125</formula>
    </cfRule>
    <cfRule type="cellIs" dxfId="5970" priority="3810" operator="between">
      <formula>0.3751</formula>
      <formula>0.5625</formula>
    </cfRule>
    <cfRule type="cellIs" dxfId="5969" priority="3811" operator="greaterThan">
      <formula>0.751</formula>
    </cfRule>
    <cfRule type="cellIs" dxfId="5968" priority="3812" operator="between">
      <formula>0.71251</formula>
      <formula>0.75</formula>
    </cfRule>
    <cfRule type="cellIs" dxfId="5967" priority="3813" stopIfTrue="1" operator="between">
      <formula>0</formula>
      <formula>0.375</formula>
    </cfRule>
  </conditionalFormatting>
  <conditionalFormatting sqref="S243">
    <cfRule type="cellIs" dxfId="5966" priority="3881" operator="between">
      <formula>0.76</formula>
      <formula>0.95</formula>
    </cfRule>
    <cfRule type="cellIs" dxfId="5965" priority="3882" operator="between">
      <formula>0.51</formula>
      <formula>0.75</formula>
    </cfRule>
    <cfRule type="cellIs" dxfId="5964" priority="3883" operator="greaterThan">
      <formula>1</formula>
    </cfRule>
    <cfRule type="cellIs" dxfId="5963" priority="3884" operator="between">
      <formula>0.95</formula>
      <formula>1</formula>
    </cfRule>
    <cfRule type="cellIs" dxfId="5962" priority="3885" stopIfTrue="1" operator="between">
      <formula>0</formula>
      <formula>0.5</formula>
    </cfRule>
  </conditionalFormatting>
  <conditionalFormatting sqref="R242 AF242:AI242 K242:L242">
    <cfRule type="cellIs" dxfId="5961" priority="3963" operator="between">
      <formula>0.76</formula>
      <formula>0.95</formula>
    </cfRule>
    <cfRule type="cellIs" dxfId="5960" priority="3964" operator="between">
      <formula>0.51</formula>
      <formula>0.75</formula>
    </cfRule>
    <cfRule type="cellIs" dxfId="5959" priority="3965" operator="greaterThan">
      <formula>1</formula>
    </cfRule>
    <cfRule type="cellIs" dxfId="5958" priority="3966" operator="between">
      <formula>0.96</formula>
      <formula>1</formula>
    </cfRule>
    <cfRule type="cellIs" dxfId="5957" priority="3967" stopIfTrue="1" operator="between">
      <formula>0</formula>
      <formula>0.5</formula>
    </cfRule>
  </conditionalFormatting>
  <conditionalFormatting sqref="O242">
    <cfRule type="cellIs" dxfId="5956" priority="3948" operator="between">
      <formula>0.1876</formula>
      <formula>0.2375</formula>
    </cfRule>
    <cfRule type="cellIs" dxfId="5955" priority="3949" operator="between">
      <formula>0.1251</formula>
      <formula>0.1875</formula>
    </cfRule>
    <cfRule type="cellIs" dxfId="5954" priority="3950" operator="greaterThan">
      <formula>0.25</formula>
    </cfRule>
    <cfRule type="cellIs" dxfId="5953" priority="3951" operator="between">
      <formula>0.2375</formula>
      <formula>0.25</formula>
    </cfRule>
    <cfRule type="cellIs" dxfId="5952" priority="3952" stopIfTrue="1" operator="between">
      <formula>0</formula>
      <formula>0.125</formula>
    </cfRule>
  </conditionalFormatting>
  <conditionalFormatting sqref="M242:N242">
    <cfRule type="cellIs" dxfId="5951" priority="3943" operator="between">
      <formula>0.1876</formula>
      <formula>0.2375</formula>
    </cfRule>
    <cfRule type="cellIs" dxfId="5950" priority="3944" operator="between">
      <formula>0.1251</formula>
      <formula>0.1875</formula>
    </cfRule>
    <cfRule type="cellIs" dxfId="5949" priority="3945" operator="greaterThan">
      <formula>0.25</formula>
    </cfRule>
    <cfRule type="cellIs" dxfId="5948" priority="3946" operator="between">
      <formula>0.2376</formula>
      <formula>0.25</formula>
    </cfRule>
    <cfRule type="cellIs" dxfId="5947" priority="3947" stopIfTrue="1" operator="between">
      <formula>0</formula>
      <formula>0.125</formula>
    </cfRule>
  </conditionalFormatting>
  <conditionalFormatting sqref="S242">
    <cfRule type="cellIs" dxfId="5946" priority="3933" operator="between">
      <formula>0.76</formula>
      <formula>0.95</formula>
    </cfRule>
    <cfRule type="cellIs" dxfId="5945" priority="3934" operator="between">
      <formula>0.51</formula>
      <formula>0.75</formula>
    </cfRule>
    <cfRule type="cellIs" dxfId="5944" priority="3935" operator="greaterThan">
      <formula>1</formula>
    </cfRule>
    <cfRule type="cellIs" dxfId="5943" priority="3936" operator="between">
      <formula>0.95</formula>
      <formula>1</formula>
    </cfRule>
    <cfRule type="cellIs" dxfId="5942" priority="3937" stopIfTrue="1" operator="between">
      <formula>0</formula>
      <formula>0.5</formula>
    </cfRule>
  </conditionalFormatting>
  <conditionalFormatting sqref="V242">
    <cfRule type="cellIs" dxfId="5941" priority="3928" operator="between">
      <formula>0.376</formula>
      <formula>0.475</formula>
    </cfRule>
    <cfRule type="cellIs" dxfId="5940" priority="3929" operator="between">
      <formula>0.2551</formula>
      <formula>0.3751</formula>
    </cfRule>
    <cfRule type="cellIs" dxfId="5939" priority="3930" operator="greaterThan">
      <formula>0.505</formula>
    </cfRule>
    <cfRule type="cellIs" dxfId="5938" priority="3931" operator="between">
      <formula>0.48</formula>
      <formula>0.5</formula>
    </cfRule>
    <cfRule type="cellIs" dxfId="5937" priority="3932" stopIfTrue="1" operator="between">
      <formula>0</formula>
      <formula>0.255</formula>
    </cfRule>
  </conditionalFormatting>
  <conditionalFormatting sqref="R243 Y243 AF243:AI243 K243:L243">
    <cfRule type="cellIs" dxfId="5936" priority="3911" operator="between">
      <formula>0.76</formula>
      <formula>0.95</formula>
    </cfRule>
    <cfRule type="cellIs" dxfId="5935" priority="3912" operator="between">
      <formula>0.51</formula>
      <formula>0.75</formula>
    </cfRule>
    <cfRule type="cellIs" dxfId="5934" priority="3913" operator="greaterThan">
      <formula>1</formula>
    </cfRule>
    <cfRule type="cellIs" dxfId="5933" priority="3914" operator="between">
      <formula>0.96</formula>
      <formula>1</formula>
    </cfRule>
    <cfRule type="cellIs" dxfId="5932" priority="3915" stopIfTrue="1" operator="between">
      <formula>0</formula>
      <formula>0.5</formula>
    </cfRule>
  </conditionalFormatting>
  <conditionalFormatting sqref="T137">
    <cfRule type="cellIs" dxfId="5931" priority="3824" operator="between">
      <formula>0.3751</formula>
      <formula>0.475</formula>
    </cfRule>
    <cfRule type="cellIs" dxfId="5930" priority="3825" operator="between">
      <formula>0.2551</formula>
      <formula>0.375</formula>
    </cfRule>
    <cfRule type="cellIs" dxfId="5929" priority="3826" operator="greaterThan">
      <formula>0.505</formula>
    </cfRule>
    <cfRule type="cellIs" dxfId="5928" priority="3827" operator="between">
      <formula>0.48</formula>
      <formula>0.5</formula>
    </cfRule>
    <cfRule type="cellIs" dxfId="5927" priority="3828" stopIfTrue="1" operator="between">
      <formula>0</formula>
      <formula>0.255</formula>
    </cfRule>
  </conditionalFormatting>
  <conditionalFormatting sqref="O243">
    <cfRule type="cellIs" dxfId="5926" priority="3896" operator="between">
      <formula>0.1876</formula>
      <formula>0.2375</formula>
    </cfRule>
    <cfRule type="cellIs" dxfId="5925" priority="3897" operator="between">
      <formula>0.1251</formula>
      <formula>0.1875</formula>
    </cfRule>
    <cfRule type="cellIs" dxfId="5924" priority="3898" operator="greaterThan">
      <formula>0.25</formula>
    </cfRule>
    <cfRule type="cellIs" dxfId="5923" priority="3899" operator="between">
      <formula>0.2375</formula>
      <formula>0.25</formula>
    </cfRule>
    <cfRule type="cellIs" dxfId="5922" priority="3900" stopIfTrue="1" operator="between">
      <formula>0</formula>
      <formula>0.125</formula>
    </cfRule>
  </conditionalFormatting>
  <conditionalFormatting sqref="M243:N243">
    <cfRule type="cellIs" dxfId="5921" priority="3891" operator="between">
      <formula>0.1876</formula>
      <formula>0.2375</formula>
    </cfRule>
    <cfRule type="cellIs" dxfId="5920" priority="3892" operator="between">
      <formula>0.1251</formula>
      <formula>0.1875</formula>
    </cfRule>
    <cfRule type="cellIs" dxfId="5919" priority="3893" operator="greaterThan">
      <formula>0.25</formula>
    </cfRule>
    <cfRule type="cellIs" dxfId="5918" priority="3894" operator="between">
      <formula>0.2376</formula>
      <formula>0.25</formula>
    </cfRule>
    <cfRule type="cellIs" dxfId="5917" priority="3895" stopIfTrue="1" operator="between">
      <formula>0</formula>
      <formula>0.125</formula>
    </cfRule>
  </conditionalFormatting>
  <conditionalFormatting sqref="V243">
    <cfRule type="cellIs" dxfId="5916" priority="3876" operator="between">
      <formula>0.376</formula>
      <formula>0.475</formula>
    </cfRule>
    <cfRule type="cellIs" dxfId="5915" priority="3877" operator="between">
      <formula>0.2551</formula>
      <formula>0.3751</formula>
    </cfRule>
    <cfRule type="cellIs" dxfId="5914" priority="3878" operator="greaterThan">
      <formula>0.505</formula>
    </cfRule>
    <cfRule type="cellIs" dxfId="5913" priority="3879" operator="between">
      <formula>0.48</formula>
      <formula>0.5</formula>
    </cfRule>
    <cfRule type="cellIs" dxfId="5912" priority="3880" stopIfTrue="1" operator="between">
      <formula>0</formula>
      <formula>0.255</formula>
    </cfRule>
  </conditionalFormatting>
  <conditionalFormatting sqref="O137">
    <cfRule type="cellIs" dxfId="5911" priority="3859" operator="between">
      <formula>0.1876</formula>
      <formula>0.2375</formula>
    </cfRule>
    <cfRule type="cellIs" dxfId="5910" priority="3860" operator="between">
      <formula>0.1251</formula>
      <formula>0.1875</formula>
    </cfRule>
    <cfRule type="cellIs" dxfId="5909" priority="3861" operator="greaterThan">
      <formula>0.25</formula>
    </cfRule>
    <cfRule type="cellIs" dxfId="5908" priority="3862" operator="between">
      <formula>0.2375</formula>
      <formula>0.25</formula>
    </cfRule>
    <cfRule type="cellIs" dxfId="5907" priority="3863" stopIfTrue="1" operator="between">
      <formula>0</formula>
      <formula>0.125</formula>
    </cfRule>
  </conditionalFormatting>
  <conditionalFormatting sqref="AG137 AI137 S137 Z137">
    <cfRule type="cellIs" dxfId="5906" priority="3849" operator="between">
      <formula>0.76</formula>
      <formula>0.95</formula>
    </cfRule>
    <cfRule type="cellIs" dxfId="5905" priority="3850" operator="between">
      <formula>0.51</formula>
      <formula>0.75</formula>
    </cfRule>
    <cfRule type="cellIs" dxfId="5904" priority="3851" operator="greaterThan">
      <formula>1</formula>
    </cfRule>
    <cfRule type="cellIs" dxfId="5903" priority="3852" operator="between">
      <formula>0.95</formula>
      <formula>1</formula>
    </cfRule>
    <cfRule type="cellIs" dxfId="5902" priority="3853" stopIfTrue="1" operator="between">
      <formula>0</formula>
      <formula>0.5</formula>
    </cfRule>
  </conditionalFormatting>
  <conditionalFormatting sqref="R137">
    <cfRule type="cellIs" dxfId="5901" priority="3844" operator="between">
      <formula>0.76</formula>
      <formula>0.95</formula>
    </cfRule>
    <cfRule type="cellIs" dxfId="5900" priority="3845" operator="between">
      <formula>0.51</formula>
      <formula>0.75</formula>
    </cfRule>
    <cfRule type="cellIs" dxfId="5899" priority="3846" operator="greaterThan">
      <formula>1</formula>
    </cfRule>
    <cfRule type="cellIs" dxfId="5898" priority="3847" operator="between">
      <formula>0.95</formula>
      <formula>1</formula>
    </cfRule>
    <cfRule type="cellIs" dxfId="5897" priority="3848" stopIfTrue="1" operator="between">
      <formula>0</formula>
      <formula>0.5</formula>
    </cfRule>
  </conditionalFormatting>
  <conditionalFormatting sqref="Y137">
    <cfRule type="cellIs" dxfId="5896" priority="3839" operator="between">
      <formula>0.76</formula>
      <formula>0.95</formula>
    </cfRule>
    <cfRule type="cellIs" dxfId="5895" priority="3840" operator="between">
      <formula>0.51</formula>
      <formula>0.75</formula>
    </cfRule>
    <cfRule type="cellIs" dxfId="5894" priority="3841" operator="greaterThan">
      <formula>1</formula>
    </cfRule>
    <cfRule type="cellIs" dxfId="5893" priority="3842" operator="between">
      <formula>0.95</formula>
      <formula>1</formula>
    </cfRule>
    <cfRule type="cellIs" dxfId="5892" priority="3843" stopIfTrue="1" operator="between">
      <formula>0</formula>
      <formula>0.5</formula>
    </cfRule>
  </conditionalFormatting>
  <conditionalFormatting sqref="AF137">
    <cfRule type="cellIs" dxfId="5891" priority="3834" operator="between">
      <formula>0.76</formula>
      <formula>0.95</formula>
    </cfRule>
    <cfRule type="cellIs" dxfId="5890" priority="3835" operator="between">
      <formula>0.51</formula>
      <formula>0.75</formula>
    </cfRule>
    <cfRule type="cellIs" dxfId="5889" priority="3836" operator="greaterThan">
      <formula>1</formula>
    </cfRule>
    <cfRule type="cellIs" dxfId="5888" priority="3837" operator="between">
      <formula>0.95</formula>
      <formula>1</formula>
    </cfRule>
    <cfRule type="cellIs" dxfId="5887" priority="3838" stopIfTrue="1" operator="between">
      <formula>0</formula>
      <formula>0.5</formula>
    </cfRule>
  </conditionalFormatting>
  <conditionalFormatting sqref="U137:V137">
    <cfRule type="cellIs" dxfId="5886" priority="3819" operator="between">
      <formula>0.376</formula>
      <formula>0.475</formula>
    </cfRule>
    <cfRule type="cellIs" dxfId="5885" priority="3820" operator="between">
      <formula>0.2551</formula>
      <formula>0.3751</formula>
    </cfRule>
    <cfRule type="cellIs" dxfId="5884" priority="3821" operator="greaterThan">
      <formula>0.505</formula>
    </cfRule>
    <cfRule type="cellIs" dxfId="5883" priority="3822" operator="between">
      <formula>0.48</formula>
      <formula>0.5</formula>
    </cfRule>
    <cfRule type="cellIs" dxfId="5882" priority="3823" stopIfTrue="1" operator="between">
      <formula>0</formula>
      <formula>0.255</formula>
    </cfRule>
  </conditionalFormatting>
  <conditionalFormatting sqref="AA137">
    <cfRule type="cellIs" dxfId="5881" priority="3814" operator="between">
      <formula>0.56251</formula>
      <formula>0.7125</formula>
    </cfRule>
    <cfRule type="cellIs" dxfId="5880" priority="3815" operator="between">
      <formula>0.3751</formula>
      <formula>0.5625</formula>
    </cfRule>
    <cfRule type="cellIs" dxfId="5879" priority="3816" operator="greaterThan">
      <formula>0.751</formula>
    </cfRule>
    <cfRule type="cellIs" dxfId="5878" priority="3817" operator="between">
      <formula>0.71251</formula>
      <formula>0.75</formula>
    </cfRule>
    <cfRule type="cellIs" dxfId="5877" priority="3818" stopIfTrue="1" operator="between">
      <formula>0</formula>
      <formula>0.375</formula>
    </cfRule>
  </conditionalFormatting>
  <conditionalFormatting sqref="AB137">
    <cfRule type="cellIs" dxfId="5876" priority="3804" operator="between">
      <formula>0.56251</formula>
      <formula>0.7125</formula>
    </cfRule>
    <cfRule type="cellIs" dxfId="5875" priority="3805" operator="between">
      <formula>0.3751</formula>
      <formula>0.5625</formula>
    </cfRule>
    <cfRule type="cellIs" dxfId="5874" priority="3806" operator="greaterThan">
      <formula>0.751</formula>
    </cfRule>
    <cfRule type="cellIs" dxfId="5873" priority="3807" operator="between">
      <formula>0.71251</formula>
      <formula>0.75</formula>
    </cfRule>
    <cfRule type="cellIs" dxfId="5872" priority="3808" stopIfTrue="1" operator="between">
      <formula>0</formula>
      <formula>0.375</formula>
    </cfRule>
  </conditionalFormatting>
  <conditionalFormatting sqref="L137">
    <cfRule type="cellIs" dxfId="5871" priority="3787" operator="between">
      <formula>0.76</formula>
      <formula>0.95</formula>
    </cfRule>
    <cfRule type="cellIs" dxfId="5870" priority="3788" operator="between">
      <formula>0.51</formula>
      <formula>0.75</formula>
    </cfRule>
    <cfRule type="cellIs" dxfId="5869" priority="3789" operator="greaterThan">
      <formula>1</formula>
    </cfRule>
    <cfRule type="cellIs" dxfId="5868" priority="3790" operator="between">
      <formula>0.96</formula>
      <formula>1</formula>
    </cfRule>
    <cfRule type="cellIs" dxfId="5867" priority="3791" stopIfTrue="1" operator="between">
      <formula>0</formula>
      <formula>0.5</formula>
    </cfRule>
  </conditionalFormatting>
  <conditionalFormatting sqref="K207:L207">
    <cfRule type="cellIs" dxfId="5866" priority="3777" operator="between">
      <formula>0.76</formula>
      <formula>0.95</formula>
    </cfRule>
    <cfRule type="cellIs" dxfId="5865" priority="3778" operator="between">
      <formula>0.51</formula>
      <formula>0.75</formula>
    </cfRule>
    <cfRule type="cellIs" dxfId="5864" priority="3779" operator="greaterThan">
      <formula>1</formula>
    </cfRule>
    <cfRule type="cellIs" dxfId="5863" priority="3780" operator="between">
      <formula>0.96</formula>
      <formula>1</formula>
    </cfRule>
    <cfRule type="cellIs" dxfId="5862" priority="3781" stopIfTrue="1" operator="between">
      <formula>0</formula>
      <formula>0.5</formula>
    </cfRule>
  </conditionalFormatting>
  <conditionalFormatting sqref="AI207">
    <cfRule type="cellIs" dxfId="5861" priority="3772" operator="between">
      <formula>0.76</formula>
      <formula>0.95</formula>
    </cfRule>
    <cfRule type="cellIs" dxfId="5860" priority="3773" operator="between">
      <formula>0.51</formula>
      <formula>0.75</formula>
    </cfRule>
    <cfRule type="cellIs" dxfId="5859" priority="3774" operator="greaterThan">
      <formula>1</formula>
    </cfRule>
    <cfRule type="cellIs" dxfId="5858" priority="3775" operator="between">
      <formula>0.95</formula>
      <formula>1</formula>
    </cfRule>
    <cfRule type="cellIs" dxfId="5857" priority="3776" stopIfTrue="1" operator="between">
      <formula>0</formula>
      <formula>0.5</formula>
    </cfRule>
  </conditionalFormatting>
  <conditionalFormatting sqref="R207">
    <cfRule type="cellIs" dxfId="5856" priority="3767" operator="between">
      <formula>0.76</formula>
      <formula>0.95</formula>
    </cfRule>
    <cfRule type="cellIs" dxfId="5855" priority="3768" operator="between">
      <formula>0.51</formula>
      <formula>0.75</formula>
    </cfRule>
    <cfRule type="cellIs" dxfId="5854" priority="3769" operator="greaterThan">
      <formula>1</formula>
    </cfRule>
    <cfRule type="cellIs" dxfId="5853" priority="3770" operator="between">
      <formula>0.95</formula>
      <formula>1</formula>
    </cfRule>
    <cfRule type="cellIs" dxfId="5852" priority="3771" stopIfTrue="1" operator="between">
      <formula>0</formula>
      <formula>0.5</formula>
    </cfRule>
  </conditionalFormatting>
  <conditionalFormatting sqref="Y207">
    <cfRule type="cellIs" dxfId="5851" priority="3762" operator="between">
      <formula>0.76</formula>
      <formula>0.95</formula>
    </cfRule>
    <cfRule type="cellIs" dxfId="5850" priority="3763" operator="between">
      <formula>0.51</formula>
      <formula>0.75</formula>
    </cfRule>
    <cfRule type="cellIs" dxfId="5849" priority="3764" operator="greaterThan">
      <formula>1</formula>
    </cfRule>
    <cfRule type="cellIs" dxfId="5848" priority="3765" operator="between">
      <formula>0.95</formula>
      <formula>1</formula>
    </cfRule>
    <cfRule type="cellIs" dxfId="5847" priority="3766" stopIfTrue="1" operator="between">
      <formula>0</formula>
      <formula>0.5</formula>
    </cfRule>
  </conditionalFormatting>
  <conditionalFormatting sqref="AF207">
    <cfRule type="cellIs" dxfId="5846" priority="3757" operator="between">
      <formula>0.76</formula>
      <formula>0.95</formula>
    </cfRule>
    <cfRule type="cellIs" dxfId="5845" priority="3758" operator="between">
      <formula>0.51</formula>
      <formula>0.75</formula>
    </cfRule>
    <cfRule type="cellIs" dxfId="5844" priority="3759" operator="greaterThan">
      <formula>1</formula>
    </cfRule>
    <cfRule type="cellIs" dxfId="5843" priority="3760" operator="between">
      <formula>0.95</formula>
      <formula>1</formula>
    </cfRule>
    <cfRule type="cellIs" dxfId="5842" priority="3761" stopIfTrue="1" operator="between">
      <formula>0</formula>
      <formula>0.5</formula>
    </cfRule>
  </conditionalFormatting>
  <conditionalFormatting sqref="AH207">
    <cfRule type="cellIs" dxfId="5841" priority="3752" operator="between">
      <formula>0.76</formula>
      <formula>0.95</formula>
    </cfRule>
    <cfRule type="cellIs" dxfId="5840" priority="3753" operator="between">
      <formula>0.51</formula>
      <formula>0.75</formula>
    </cfRule>
    <cfRule type="cellIs" dxfId="5839" priority="3754" operator="greaterThan">
      <formula>1</formula>
    </cfRule>
    <cfRule type="cellIs" dxfId="5838" priority="3755" operator="between">
      <formula>0.95</formula>
      <formula>1</formula>
    </cfRule>
    <cfRule type="cellIs" dxfId="5837" priority="3756" stopIfTrue="1" operator="between">
      <formula>0</formula>
      <formula>0.5</formula>
    </cfRule>
  </conditionalFormatting>
  <conditionalFormatting sqref="T207">
    <cfRule type="cellIs" dxfId="5836" priority="3747" operator="between">
      <formula>0.3751</formula>
      <formula>0.475</formula>
    </cfRule>
    <cfRule type="cellIs" dxfId="5835" priority="3748" operator="between">
      <formula>0.2551</formula>
      <formula>0.375</formula>
    </cfRule>
    <cfRule type="cellIs" dxfId="5834" priority="3749" operator="greaterThan">
      <formula>0.505</formula>
    </cfRule>
    <cfRule type="cellIs" dxfId="5833" priority="3750" operator="between">
      <formula>0.48</formula>
      <formula>0.5</formula>
    </cfRule>
    <cfRule type="cellIs" dxfId="5832" priority="3751" stopIfTrue="1" operator="between">
      <formula>0</formula>
      <formula>0.255</formula>
    </cfRule>
  </conditionalFormatting>
  <conditionalFormatting sqref="U207:V207">
    <cfRule type="cellIs" dxfId="5831" priority="3742" operator="between">
      <formula>0.376</formula>
      <formula>0.475</formula>
    </cfRule>
    <cfRule type="cellIs" dxfId="5830" priority="3743" operator="between">
      <formula>0.2551</formula>
      <formula>0.3751</formula>
    </cfRule>
    <cfRule type="cellIs" dxfId="5829" priority="3744" operator="greaterThan">
      <formula>0.505</formula>
    </cfRule>
    <cfRule type="cellIs" dxfId="5828" priority="3745" operator="between">
      <formula>0.48</formula>
      <formula>0.5</formula>
    </cfRule>
    <cfRule type="cellIs" dxfId="5827" priority="3746" stopIfTrue="1" operator="between">
      <formula>0</formula>
      <formula>0.255</formula>
    </cfRule>
  </conditionalFormatting>
  <conditionalFormatting sqref="AA207">
    <cfRule type="cellIs" dxfId="5826" priority="3737" operator="between">
      <formula>0.56251</formula>
      <formula>0.7125</formula>
    </cfRule>
    <cfRule type="cellIs" dxfId="5825" priority="3738" operator="between">
      <formula>0.3751</formula>
      <formula>0.5625</formula>
    </cfRule>
    <cfRule type="cellIs" dxfId="5824" priority="3739" operator="greaterThan">
      <formula>0.751</formula>
    </cfRule>
    <cfRule type="cellIs" dxfId="5823" priority="3740" operator="between">
      <formula>0.71251</formula>
      <formula>0.75</formula>
    </cfRule>
    <cfRule type="cellIs" dxfId="5822" priority="3741" stopIfTrue="1" operator="between">
      <formula>0</formula>
      <formula>0.375</formula>
    </cfRule>
  </conditionalFormatting>
  <conditionalFormatting sqref="AC207">
    <cfRule type="cellIs" dxfId="5821" priority="3732" operator="between">
      <formula>0.56251</formula>
      <formula>0.7125</formula>
    </cfRule>
    <cfRule type="cellIs" dxfId="5820" priority="3733" operator="between">
      <formula>0.3751</formula>
      <formula>0.5625</formula>
    </cfRule>
    <cfRule type="cellIs" dxfId="5819" priority="3734" operator="greaterThan">
      <formula>0.751</formula>
    </cfRule>
    <cfRule type="cellIs" dxfId="5818" priority="3735" operator="between">
      <formula>0.71251</formula>
      <formula>0.75</formula>
    </cfRule>
    <cfRule type="cellIs" dxfId="5817" priority="3736" stopIfTrue="1" operator="between">
      <formula>0</formula>
      <formula>0.375</formula>
    </cfRule>
  </conditionalFormatting>
  <conditionalFormatting sqref="AB207">
    <cfRule type="cellIs" dxfId="5816" priority="3727" operator="between">
      <formula>0.56251</formula>
      <formula>0.7125</formula>
    </cfRule>
    <cfRule type="cellIs" dxfId="5815" priority="3728" operator="between">
      <formula>0.3751</formula>
      <formula>0.5625</formula>
    </cfRule>
    <cfRule type="cellIs" dxfId="5814" priority="3729" operator="greaterThan">
      <formula>0.751</formula>
    </cfRule>
    <cfRule type="cellIs" dxfId="5813" priority="3730" operator="between">
      <formula>0.71251</formula>
      <formula>0.75</formula>
    </cfRule>
    <cfRule type="cellIs" dxfId="5812" priority="3731" stopIfTrue="1" operator="between">
      <formula>0</formula>
      <formula>0.375</formula>
    </cfRule>
  </conditionalFormatting>
  <conditionalFormatting sqref="S207">
    <cfRule type="cellIs" dxfId="5811" priority="3722" operator="between">
      <formula>0.76</formula>
      <formula>0.95</formula>
    </cfRule>
    <cfRule type="cellIs" dxfId="5810" priority="3723" operator="between">
      <formula>0.51</formula>
      <formula>0.75</formula>
    </cfRule>
    <cfRule type="cellIs" dxfId="5809" priority="3724" operator="greaterThan">
      <formula>1</formula>
    </cfRule>
    <cfRule type="cellIs" dxfId="5808" priority="3725" operator="between">
      <formula>0.95</formula>
      <formula>1</formula>
    </cfRule>
    <cfRule type="cellIs" dxfId="5807" priority="3726" stopIfTrue="1" operator="between">
      <formula>0</formula>
      <formula>0.5</formula>
    </cfRule>
  </conditionalFormatting>
  <conditionalFormatting sqref="Z207">
    <cfRule type="cellIs" dxfId="5806" priority="3717" operator="between">
      <formula>0.76</formula>
      <formula>0.95</formula>
    </cfRule>
    <cfRule type="cellIs" dxfId="5805" priority="3718" operator="between">
      <formula>0.51</formula>
      <formula>0.75</formula>
    </cfRule>
    <cfRule type="cellIs" dxfId="5804" priority="3719" operator="greaterThan">
      <formula>1</formula>
    </cfRule>
    <cfRule type="cellIs" dxfId="5803" priority="3720" operator="between">
      <formula>0.95</formula>
      <formula>1</formula>
    </cfRule>
    <cfRule type="cellIs" dxfId="5802" priority="3721" stopIfTrue="1" operator="between">
      <formula>0</formula>
      <formula>0.5</formula>
    </cfRule>
  </conditionalFormatting>
  <conditionalFormatting sqref="M207">
    <cfRule type="cellIs" dxfId="5801" priority="3700" operator="between">
      <formula>0.1876</formula>
      <formula>0.2375</formula>
    </cfRule>
    <cfRule type="cellIs" dxfId="5800" priority="3701" operator="between">
      <formula>0.1251</formula>
      <formula>0.1875</formula>
    </cfRule>
    <cfRule type="cellIs" dxfId="5799" priority="3702" operator="greaterThan">
      <formula>0.25</formula>
    </cfRule>
    <cfRule type="cellIs" dxfId="5798" priority="3703" operator="between">
      <formula>0.2376</formula>
      <formula>0.25</formula>
    </cfRule>
    <cfRule type="cellIs" dxfId="5797" priority="3704" stopIfTrue="1" operator="between">
      <formula>0</formula>
      <formula>0.125</formula>
    </cfRule>
  </conditionalFormatting>
  <conditionalFormatting sqref="N207">
    <cfRule type="cellIs" dxfId="5796" priority="3695" operator="between">
      <formula>0.1876</formula>
      <formula>0.2375</formula>
    </cfRule>
    <cfRule type="cellIs" dxfId="5795" priority="3696" operator="between">
      <formula>0.1251</formula>
      <formula>0.1875</formula>
    </cfRule>
    <cfRule type="cellIs" dxfId="5794" priority="3697" operator="greaterThan">
      <formula>0.25</formula>
    </cfRule>
    <cfRule type="cellIs" dxfId="5793" priority="3698" operator="between">
      <formula>0.2376</formula>
      <formula>0.25</formula>
    </cfRule>
    <cfRule type="cellIs" dxfId="5792" priority="3699" stopIfTrue="1" operator="between">
      <formula>0</formula>
      <formula>0.125</formula>
    </cfRule>
  </conditionalFormatting>
  <conditionalFormatting sqref="O207">
    <cfRule type="cellIs" dxfId="5791" priority="3690" operator="between">
      <formula>0.1876</formula>
      <formula>0.2375</formula>
    </cfRule>
    <cfRule type="cellIs" dxfId="5790" priority="3691" operator="between">
      <formula>0.1251</formula>
      <formula>0.1875</formula>
    </cfRule>
    <cfRule type="cellIs" dxfId="5789" priority="3692" operator="greaterThan">
      <formula>0.25</formula>
    </cfRule>
    <cfRule type="cellIs" dxfId="5788" priority="3693" operator="between">
      <formula>0.2375</formula>
      <formula>0.25</formula>
    </cfRule>
    <cfRule type="cellIs" dxfId="5787" priority="3694" stopIfTrue="1" operator="between">
      <formula>0</formula>
      <formula>0.125</formula>
    </cfRule>
  </conditionalFormatting>
  <conditionalFormatting sqref="AG207">
    <cfRule type="cellIs" dxfId="5786" priority="3685" operator="between">
      <formula>0.76</formula>
      <formula>0.95</formula>
    </cfRule>
    <cfRule type="cellIs" dxfId="5785" priority="3686" operator="between">
      <formula>0.51</formula>
      <formula>0.75</formula>
    </cfRule>
    <cfRule type="cellIs" dxfId="5784" priority="3687" operator="greaterThan">
      <formula>1</formula>
    </cfRule>
    <cfRule type="cellIs" dxfId="5783" priority="3688" operator="between">
      <formula>0.95</formula>
      <formula>1</formula>
    </cfRule>
    <cfRule type="cellIs" dxfId="5782" priority="3689" stopIfTrue="1" operator="between">
      <formula>0</formula>
      <formula>0.5</formula>
    </cfRule>
  </conditionalFormatting>
  <conditionalFormatting sqref="N30">
    <cfRule type="cellIs" dxfId="5781" priority="3501" operator="between">
      <formula>0.1876</formula>
      <formula>0.2375</formula>
    </cfRule>
    <cfRule type="cellIs" dxfId="5780" priority="3502" operator="between">
      <formula>0.1251</formula>
      <formula>0.1875</formula>
    </cfRule>
    <cfRule type="cellIs" dxfId="5779" priority="3503" operator="greaterThan">
      <formula>0.25</formula>
    </cfRule>
    <cfRule type="cellIs" dxfId="5778" priority="3504" operator="between">
      <formula>0.2376</formula>
      <formula>0.25</formula>
    </cfRule>
    <cfRule type="cellIs" dxfId="5777" priority="3505" stopIfTrue="1" operator="between">
      <formula>0</formula>
      <formula>0.125</formula>
    </cfRule>
  </conditionalFormatting>
  <conditionalFormatting sqref="T159">
    <cfRule type="cellIs" dxfId="5776" priority="3598" operator="between">
      <formula>0.3751</formula>
      <formula>0.475</formula>
    </cfRule>
    <cfRule type="cellIs" dxfId="5775" priority="3599" operator="between">
      <formula>0.2551</formula>
      <formula>0.375</formula>
    </cfRule>
    <cfRule type="cellIs" dxfId="5774" priority="3600" operator="greaterThan">
      <formula>0.505</formula>
    </cfRule>
    <cfRule type="cellIs" dxfId="5773" priority="3601" operator="between">
      <formula>0.48</formula>
      <formula>0.5</formula>
    </cfRule>
    <cfRule type="cellIs" dxfId="5772" priority="3602" stopIfTrue="1" operator="between">
      <formula>0</formula>
      <formula>0.255</formula>
    </cfRule>
  </conditionalFormatting>
  <conditionalFormatting sqref="R159:S159 Y159:Z159 AF159:AI159 K159:L159">
    <cfRule type="cellIs" dxfId="5771" priority="3603" operator="between">
      <formula>0.76</formula>
      <formula>0.95</formula>
    </cfRule>
    <cfRule type="cellIs" dxfId="5770" priority="3604" operator="between">
      <formula>0.51</formula>
      <formula>0.75</formula>
    </cfRule>
    <cfRule type="cellIs" dxfId="5769" priority="3605" operator="greaterThan">
      <formula>1</formula>
    </cfRule>
    <cfRule type="cellIs" dxfId="5768" priority="3606" operator="between">
      <formula>0.96</formula>
      <formula>1</formula>
    </cfRule>
    <cfRule type="cellIs" dxfId="5767" priority="3607" stopIfTrue="1" operator="between">
      <formula>0</formula>
      <formula>0.5</formula>
    </cfRule>
  </conditionalFormatting>
  <conditionalFormatting sqref="AA159:AC159">
    <cfRule type="cellIs" dxfId="5766" priority="3593" operator="between">
      <formula>0.56251</formula>
      <formula>0.7125</formula>
    </cfRule>
    <cfRule type="cellIs" dxfId="5765" priority="3594" operator="between">
      <formula>0.3751</formula>
      <formula>0.5625</formula>
    </cfRule>
    <cfRule type="cellIs" dxfId="5764" priority="3595" operator="greaterThan">
      <formula>0.751</formula>
    </cfRule>
    <cfRule type="cellIs" dxfId="5763" priority="3596" operator="between">
      <formula>0.71251</formula>
      <formula>0.75</formula>
    </cfRule>
    <cfRule type="cellIs" dxfId="5762" priority="3597" stopIfTrue="1" operator="between">
      <formula>0</formula>
      <formula>0.375</formula>
    </cfRule>
  </conditionalFormatting>
  <conditionalFormatting sqref="O159">
    <cfRule type="cellIs" dxfId="5761" priority="3588" operator="between">
      <formula>0.1876</formula>
      <formula>0.2375</formula>
    </cfRule>
    <cfRule type="cellIs" dxfId="5760" priority="3589" operator="between">
      <formula>0.1251</formula>
      <formula>0.1875</formula>
    </cfRule>
    <cfRule type="cellIs" dxfId="5759" priority="3590" operator="greaterThan">
      <formula>0.25</formula>
    </cfRule>
    <cfRule type="cellIs" dxfId="5758" priority="3591" operator="between">
      <formula>0.2375</formula>
      <formula>0.25</formula>
    </cfRule>
    <cfRule type="cellIs" dxfId="5757" priority="3592" stopIfTrue="1" operator="between">
      <formula>0</formula>
      <formula>0.125</formula>
    </cfRule>
  </conditionalFormatting>
  <conditionalFormatting sqref="M159:N159">
    <cfRule type="cellIs" dxfId="5756" priority="3583" operator="between">
      <formula>0.1876</formula>
      <formula>0.2375</formula>
    </cfRule>
    <cfRule type="cellIs" dxfId="5755" priority="3584" operator="between">
      <formula>0.1251</formula>
      <formula>0.1875</formula>
    </cfRule>
    <cfRule type="cellIs" dxfId="5754" priority="3585" operator="greaterThan">
      <formula>0.25</formula>
    </cfRule>
    <cfRule type="cellIs" dxfId="5753" priority="3586" operator="between">
      <formula>0.2376</formula>
      <formula>0.25</formula>
    </cfRule>
    <cfRule type="cellIs" dxfId="5752" priority="3587" stopIfTrue="1" operator="between">
      <formula>0</formula>
      <formula>0.125</formula>
    </cfRule>
  </conditionalFormatting>
  <conditionalFormatting sqref="U159:V159">
    <cfRule type="cellIs" dxfId="5751" priority="3578" operator="between">
      <formula>0.376</formula>
      <formula>0.475</formula>
    </cfRule>
    <cfRule type="cellIs" dxfId="5750" priority="3579" operator="between">
      <formula>0.2551</formula>
      <formula>0.3751</formula>
    </cfRule>
    <cfRule type="cellIs" dxfId="5749" priority="3580" operator="greaterThan">
      <formula>0.505</formula>
    </cfRule>
    <cfRule type="cellIs" dxfId="5748" priority="3581" operator="between">
      <formula>0.48</formula>
      <formula>0.5</formula>
    </cfRule>
    <cfRule type="cellIs" dxfId="5747" priority="3582" stopIfTrue="1" operator="between">
      <formula>0</formula>
      <formula>0.255</formula>
    </cfRule>
  </conditionalFormatting>
  <conditionalFormatting sqref="Y30 R30 AF30 AH30:AI30">
    <cfRule type="cellIs" dxfId="5746" priority="3561" operator="between">
      <formula>0.76</formula>
      <formula>0.95</formula>
    </cfRule>
    <cfRule type="cellIs" dxfId="5745" priority="3562" operator="between">
      <formula>0.51</formula>
      <formula>0.75</formula>
    </cfRule>
    <cfRule type="cellIs" dxfId="5744" priority="3563" operator="greaterThan">
      <formula>1</formula>
    </cfRule>
    <cfRule type="cellIs" dxfId="5743" priority="3564" operator="between">
      <formula>0.95</formula>
      <formula>1</formula>
    </cfRule>
    <cfRule type="cellIs" dxfId="5742" priority="3565" stopIfTrue="1" operator="between">
      <formula>0</formula>
      <formula>0.5</formula>
    </cfRule>
  </conditionalFormatting>
  <conditionalFormatting sqref="T30">
    <cfRule type="cellIs" dxfId="5741" priority="3556" operator="between">
      <formula>0.3751</formula>
      <formula>0.475</formula>
    </cfRule>
    <cfRule type="cellIs" dxfId="5740" priority="3557" operator="between">
      <formula>0.2551</formula>
      <formula>0.375</formula>
    </cfRule>
    <cfRule type="cellIs" dxfId="5739" priority="3558" operator="greaterThan">
      <formula>0.505</formula>
    </cfRule>
    <cfRule type="cellIs" dxfId="5738" priority="3559" operator="between">
      <formula>0.48</formula>
      <formula>0.5</formula>
    </cfRule>
    <cfRule type="cellIs" dxfId="5737" priority="3560" stopIfTrue="1" operator="between">
      <formula>0</formula>
      <formula>0.255</formula>
    </cfRule>
  </conditionalFormatting>
  <conditionalFormatting sqref="AA30:AB30">
    <cfRule type="cellIs" dxfId="5736" priority="3551" operator="between">
      <formula>0.56251</formula>
      <formula>0.7125</formula>
    </cfRule>
    <cfRule type="cellIs" dxfId="5735" priority="3552" operator="between">
      <formula>0.3751</formula>
      <formula>0.5625</formula>
    </cfRule>
    <cfRule type="cellIs" dxfId="5734" priority="3553" operator="greaterThan">
      <formula>0.751</formula>
    </cfRule>
    <cfRule type="cellIs" dxfId="5733" priority="3554" operator="between">
      <formula>0.71251</formula>
      <formula>0.75</formula>
    </cfRule>
    <cfRule type="cellIs" dxfId="5732" priority="3555" stopIfTrue="1" operator="between">
      <formula>0</formula>
      <formula>0.375</formula>
    </cfRule>
  </conditionalFormatting>
  <conditionalFormatting sqref="U30">
    <cfRule type="cellIs" dxfId="5731" priority="3546" operator="between">
      <formula>0.376</formula>
      <formula>0.475</formula>
    </cfRule>
    <cfRule type="cellIs" dxfId="5730" priority="3547" operator="between">
      <formula>0.2551</formula>
      <formula>0.3751</formula>
    </cfRule>
    <cfRule type="cellIs" dxfId="5729" priority="3548" operator="greaterThan">
      <formula>0.505</formula>
    </cfRule>
    <cfRule type="cellIs" dxfId="5728" priority="3549" operator="between">
      <formula>0.48</formula>
      <formula>0.5</formula>
    </cfRule>
    <cfRule type="cellIs" dxfId="5727" priority="3550" stopIfTrue="1" operator="between">
      <formula>0</formula>
      <formula>0.255</formula>
    </cfRule>
  </conditionalFormatting>
  <conditionalFormatting sqref="AG30">
    <cfRule type="cellIs" dxfId="5726" priority="3526" operator="between">
      <formula>0.76</formula>
      <formula>0.95</formula>
    </cfRule>
    <cfRule type="cellIs" dxfId="5725" priority="3527" operator="between">
      <formula>0.51</formula>
      <formula>0.75</formula>
    </cfRule>
    <cfRule type="cellIs" dxfId="5724" priority="3528" operator="greaterThan">
      <formula>1</formula>
    </cfRule>
    <cfRule type="cellIs" dxfId="5723" priority="3529" operator="between">
      <formula>0.95</formula>
      <formula>1</formula>
    </cfRule>
    <cfRule type="cellIs" dxfId="5722" priority="3530" stopIfTrue="1" operator="between">
      <formula>0</formula>
      <formula>0.5</formula>
    </cfRule>
  </conditionalFormatting>
  <conditionalFormatting sqref="Z30">
    <cfRule type="cellIs" dxfId="5721" priority="3521" operator="between">
      <formula>0.76</formula>
      <formula>0.95</formula>
    </cfRule>
    <cfRule type="cellIs" dxfId="5720" priority="3522" operator="between">
      <formula>0.51</formula>
      <formula>0.75</formula>
    </cfRule>
    <cfRule type="cellIs" dxfId="5719" priority="3523" operator="greaterThan">
      <formula>1</formula>
    </cfRule>
    <cfRule type="cellIs" dxfId="5718" priority="3524" operator="between">
      <formula>0.95</formula>
      <formula>1</formula>
    </cfRule>
    <cfRule type="cellIs" dxfId="5717" priority="3525" stopIfTrue="1" operator="between">
      <formula>0</formula>
      <formula>0.5</formula>
    </cfRule>
  </conditionalFormatting>
  <conditionalFormatting sqref="AC30">
    <cfRule type="cellIs" dxfId="5716" priority="3516" operator="between">
      <formula>0.56251</formula>
      <formula>0.7125</formula>
    </cfRule>
    <cfRule type="cellIs" dxfId="5715" priority="3517" operator="between">
      <formula>0.3751</formula>
      <formula>0.5625</formula>
    </cfRule>
    <cfRule type="cellIs" dxfId="5714" priority="3518" operator="greaterThan">
      <formula>0.751</formula>
    </cfRule>
    <cfRule type="cellIs" dxfId="5713" priority="3519" operator="between">
      <formula>0.71251</formula>
      <formula>0.75</formula>
    </cfRule>
    <cfRule type="cellIs" dxfId="5712" priority="3520" stopIfTrue="1" operator="between">
      <formula>0</formula>
      <formula>0.375</formula>
    </cfRule>
  </conditionalFormatting>
  <conditionalFormatting sqref="S30">
    <cfRule type="cellIs" dxfId="5711" priority="3511" operator="between">
      <formula>0.76</formula>
      <formula>0.95</formula>
    </cfRule>
    <cfRule type="cellIs" dxfId="5710" priority="3512" operator="between">
      <formula>0.51</formula>
      <formula>0.75</formula>
    </cfRule>
    <cfRule type="cellIs" dxfId="5709" priority="3513" operator="greaterThan">
      <formula>1</formula>
    </cfRule>
    <cfRule type="cellIs" dxfId="5708" priority="3514" operator="between">
      <formula>0.95</formula>
      <formula>1</formula>
    </cfRule>
    <cfRule type="cellIs" dxfId="5707" priority="3515" stopIfTrue="1" operator="between">
      <formula>0</formula>
      <formula>0.5</formula>
    </cfRule>
  </conditionalFormatting>
  <conditionalFormatting sqref="V30">
    <cfRule type="cellIs" dxfId="5706" priority="3506" operator="between">
      <formula>0.376</formula>
      <formula>0.475</formula>
    </cfRule>
    <cfRule type="cellIs" dxfId="5705" priority="3507" operator="between">
      <formula>0.2551</formula>
      <formula>0.3751</formula>
    </cfRule>
    <cfRule type="cellIs" dxfId="5704" priority="3508" operator="greaterThan">
      <formula>0.505</formula>
    </cfRule>
    <cfRule type="cellIs" dxfId="5703" priority="3509" operator="between">
      <formula>0.48</formula>
      <formula>0.5</formula>
    </cfRule>
    <cfRule type="cellIs" dxfId="5702" priority="3510" stopIfTrue="1" operator="between">
      <formula>0</formula>
      <formula>0.255</formula>
    </cfRule>
  </conditionalFormatting>
  <conditionalFormatting sqref="O30">
    <cfRule type="cellIs" dxfId="5701" priority="3496" operator="between">
      <formula>0.1876</formula>
      <formula>0.2375</formula>
    </cfRule>
    <cfRule type="cellIs" dxfId="5700" priority="3497" operator="between">
      <formula>0.1251</formula>
      <formula>0.1875</formula>
    </cfRule>
    <cfRule type="cellIs" dxfId="5699" priority="3498" operator="greaterThan">
      <formula>0.25</formula>
    </cfRule>
    <cfRule type="cellIs" dxfId="5698" priority="3499" operator="between">
      <formula>0.2376</formula>
      <formula>0.25</formula>
    </cfRule>
    <cfRule type="cellIs" dxfId="5697" priority="3500" stopIfTrue="1" operator="between">
      <formula>0</formula>
      <formula>0.125</formula>
    </cfRule>
  </conditionalFormatting>
  <conditionalFormatting sqref="M30">
    <cfRule type="cellIs" dxfId="5696" priority="3491" operator="between">
      <formula>0.1876</formula>
      <formula>0.2375</formula>
    </cfRule>
    <cfRule type="cellIs" dxfId="5695" priority="3492" operator="between">
      <formula>0.1251</formula>
      <formula>0.1875</formula>
    </cfRule>
    <cfRule type="cellIs" dxfId="5694" priority="3493" operator="greaterThan">
      <formula>0.25</formula>
    </cfRule>
    <cfRule type="cellIs" dxfId="5693" priority="3494" operator="between">
      <formula>0.2375</formula>
      <formula>0.25</formula>
    </cfRule>
    <cfRule type="cellIs" dxfId="5692" priority="3495" stopIfTrue="1" operator="between">
      <formula>0</formula>
      <formula>0.125</formula>
    </cfRule>
  </conditionalFormatting>
  <conditionalFormatting sqref="K30">
    <cfRule type="cellIs" dxfId="5691" priority="3486" operator="between">
      <formula>0.76</formula>
      <formula>0.95</formula>
    </cfRule>
    <cfRule type="cellIs" dxfId="5690" priority="3487" operator="between">
      <formula>0.51</formula>
      <formula>0.75</formula>
    </cfRule>
    <cfRule type="cellIs" dxfId="5689" priority="3488" operator="greaterThan">
      <formula>1</formula>
    </cfRule>
    <cfRule type="cellIs" dxfId="5688" priority="3489" operator="between">
      <formula>0.96</formula>
      <formula>1</formula>
    </cfRule>
    <cfRule type="cellIs" dxfId="5687" priority="3490" stopIfTrue="1" operator="between">
      <formula>0</formula>
      <formula>0.5</formula>
    </cfRule>
  </conditionalFormatting>
  <conditionalFormatting sqref="L30">
    <cfRule type="cellIs" dxfId="5686" priority="3481" operator="between">
      <formula>0.76</formula>
      <formula>0.95</formula>
    </cfRule>
    <cfRule type="cellIs" dxfId="5685" priority="3482" operator="between">
      <formula>0.51</formula>
      <formula>0.75</formula>
    </cfRule>
    <cfRule type="cellIs" dxfId="5684" priority="3483" operator="greaterThan">
      <formula>1</formula>
    </cfRule>
    <cfRule type="cellIs" dxfId="5683" priority="3484" operator="between">
      <formula>0.96</formula>
      <formula>1</formula>
    </cfRule>
    <cfRule type="cellIs" dxfId="5682" priority="3485" stopIfTrue="1" operator="between">
      <formula>0</formula>
      <formula>0.5</formula>
    </cfRule>
  </conditionalFormatting>
  <conditionalFormatting sqref="AF169:AG169 Y169:Z169 R169:S169">
    <cfRule type="cellIs" dxfId="5681" priority="3476" operator="between">
      <formula>0.76</formula>
      <formula>0.95</formula>
    </cfRule>
    <cfRule type="cellIs" dxfId="5680" priority="3477" operator="between">
      <formula>0.51</formula>
      <formula>0.75</formula>
    </cfRule>
    <cfRule type="cellIs" dxfId="5679" priority="3478" operator="greaterThan">
      <formula>1</formula>
    </cfRule>
    <cfRule type="cellIs" dxfId="5678" priority="3479" operator="between">
      <formula>0.96</formula>
      <formula>1</formula>
    </cfRule>
    <cfRule type="cellIs" dxfId="5677" priority="3480" stopIfTrue="1" operator="between">
      <formula>0</formula>
      <formula>0.5</formula>
    </cfRule>
  </conditionalFormatting>
  <conditionalFormatting sqref="AG169">
    <cfRule type="cellIs" dxfId="5676" priority="3439" operator="between">
      <formula>0.76</formula>
      <formula>0.95</formula>
    </cfRule>
    <cfRule type="cellIs" dxfId="5675" priority="3440" operator="between">
      <formula>0.51</formula>
      <formula>0.75</formula>
    </cfRule>
    <cfRule type="cellIs" dxfId="5674" priority="3441" operator="greaterThan">
      <formula>1</formula>
    </cfRule>
    <cfRule type="cellIs" dxfId="5673" priority="3442" operator="between">
      <formula>0.95</formula>
      <formula>1</formula>
    </cfRule>
    <cfRule type="cellIs" dxfId="5672" priority="3443" stopIfTrue="1" operator="between">
      <formula>0</formula>
      <formula>0.5</formula>
    </cfRule>
  </conditionalFormatting>
  <conditionalFormatting sqref="Y269:Z269 AF269:AI269 R269">
    <cfRule type="cellIs" dxfId="5671" priority="3434" operator="between">
      <formula>0.76</formula>
      <formula>0.95</formula>
    </cfRule>
    <cfRule type="cellIs" dxfId="5670" priority="3435" operator="between">
      <formula>0.51</formula>
      <formula>0.75</formula>
    </cfRule>
    <cfRule type="cellIs" dxfId="5669" priority="3436" operator="greaterThan">
      <formula>1</formula>
    </cfRule>
    <cfRule type="cellIs" dxfId="5668" priority="3437" operator="between">
      <formula>0.95</formula>
      <formula>1</formula>
    </cfRule>
    <cfRule type="cellIs" dxfId="5667" priority="3438" stopIfTrue="1" operator="between">
      <formula>0</formula>
      <formula>0.5</formula>
    </cfRule>
  </conditionalFormatting>
  <conditionalFormatting sqref="T269">
    <cfRule type="cellIs" dxfId="5666" priority="3429" operator="between">
      <formula>0.3751</formula>
      <formula>0.475</formula>
    </cfRule>
    <cfRule type="cellIs" dxfId="5665" priority="3430" operator="between">
      <formula>0.2551</formula>
      <formula>0.375</formula>
    </cfRule>
    <cfRule type="cellIs" dxfId="5664" priority="3431" operator="greaterThan">
      <formula>0.505</formula>
    </cfRule>
    <cfRule type="cellIs" dxfId="5663" priority="3432" operator="between">
      <formula>0.48</formula>
      <formula>0.5</formula>
    </cfRule>
    <cfRule type="cellIs" dxfId="5662" priority="3433" stopIfTrue="1" operator="between">
      <formula>0</formula>
      <formula>0.255</formula>
    </cfRule>
  </conditionalFormatting>
  <conditionalFormatting sqref="AA269:AC269">
    <cfRule type="cellIs" dxfId="5661" priority="3424" operator="between">
      <formula>0.56251</formula>
      <formula>0.7125</formula>
    </cfRule>
    <cfRule type="cellIs" dxfId="5660" priority="3425" operator="between">
      <formula>0.3751</formula>
      <formula>0.5625</formula>
    </cfRule>
    <cfRule type="cellIs" dxfId="5659" priority="3426" operator="greaterThan">
      <formula>0.751</formula>
    </cfRule>
    <cfRule type="cellIs" dxfId="5658" priority="3427" operator="between">
      <formula>0.71251</formula>
      <formula>0.75</formula>
    </cfRule>
    <cfRule type="cellIs" dxfId="5657" priority="3428" stopIfTrue="1" operator="between">
      <formula>0</formula>
      <formula>0.375</formula>
    </cfRule>
  </conditionalFormatting>
  <conditionalFormatting sqref="U269">
    <cfRule type="cellIs" dxfId="5656" priority="3419" operator="between">
      <formula>0.376</formula>
      <formula>0.475</formula>
    </cfRule>
    <cfRule type="cellIs" dxfId="5655" priority="3420" operator="between">
      <formula>0.2551</formula>
      <formula>0.3751</formula>
    </cfRule>
    <cfRule type="cellIs" dxfId="5654" priority="3421" operator="greaterThan">
      <formula>0.505</formula>
    </cfRule>
    <cfRule type="cellIs" dxfId="5653" priority="3422" operator="between">
      <formula>0.48</formula>
      <formula>0.5</formula>
    </cfRule>
    <cfRule type="cellIs" dxfId="5652" priority="3423" stopIfTrue="1" operator="between">
      <formula>0</formula>
      <formula>0.255</formula>
    </cfRule>
  </conditionalFormatting>
  <conditionalFormatting sqref="S269">
    <cfRule type="cellIs" dxfId="5651" priority="3414" operator="between">
      <formula>0.76</formula>
      <formula>0.95</formula>
    </cfRule>
    <cfRule type="cellIs" dxfId="5650" priority="3415" operator="between">
      <formula>0.51</formula>
      <formula>0.75</formula>
    </cfRule>
    <cfRule type="cellIs" dxfId="5649" priority="3416" operator="greaterThan">
      <formula>1</formula>
    </cfRule>
    <cfRule type="cellIs" dxfId="5648" priority="3417" operator="between">
      <formula>0.95</formula>
      <formula>1</formula>
    </cfRule>
    <cfRule type="cellIs" dxfId="5647" priority="3418" stopIfTrue="1" operator="between">
      <formula>0</formula>
      <formula>0.5</formula>
    </cfRule>
  </conditionalFormatting>
  <conditionalFormatting sqref="V269">
    <cfRule type="cellIs" dxfId="5646" priority="3409" operator="between">
      <formula>0.376</formula>
      <formula>0.475</formula>
    </cfRule>
    <cfRule type="cellIs" dxfId="5645" priority="3410" operator="between">
      <formula>0.2551</formula>
      <formula>0.3751</formula>
    </cfRule>
    <cfRule type="cellIs" dxfId="5644" priority="3411" operator="greaterThan">
      <formula>0.505</formula>
    </cfRule>
    <cfRule type="cellIs" dxfId="5643" priority="3412" operator="between">
      <formula>0.48</formula>
      <formula>0.5</formula>
    </cfRule>
    <cfRule type="cellIs" dxfId="5642" priority="3413" stopIfTrue="1" operator="between">
      <formula>0</formula>
      <formula>0.255</formula>
    </cfRule>
  </conditionalFormatting>
  <conditionalFormatting sqref="AF88 R88 Y88 AH88:AI88">
    <cfRule type="cellIs" dxfId="5641" priority="3395" operator="between">
      <formula>0.76</formula>
      <formula>0.95</formula>
    </cfRule>
    <cfRule type="cellIs" dxfId="5640" priority="3396" operator="between">
      <formula>0.51</formula>
      <formula>0.75</formula>
    </cfRule>
    <cfRule type="cellIs" dxfId="5639" priority="3397" operator="greaterThan">
      <formula>1</formula>
    </cfRule>
    <cfRule type="cellIs" dxfId="5638" priority="3398" operator="between">
      <formula>0.95</formula>
      <formula>1</formula>
    </cfRule>
    <cfRule type="cellIs" dxfId="5637" priority="3399" stopIfTrue="1" operator="between">
      <formula>0</formula>
      <formula>0.5</formula>
    </cfRule>
  </conditionalFormatting>
  <conditionalFormatting sqref="T88">
    <cfRule type="cellIs" dxfId="5636" priority="3390" operator="between">
      <formula>0.3751</formula>
      <formula>0.475</formula>
    </cfRule>
    <cfRule type="cellIs" dxfId="5635" priority="3391" operator="between">
      <formula>0.2551</formula>
      <formula>0.375</formula>
    </cfRule>
    <cfRule type="cellIs" dxfId="5634" priority="3392" operator="greaterThan">
      <formula>0.505</formula>
    </cfRule>
    <cfRule type="cellIs" dxfId="5633" priority="3393" operator="between">
      <formula>0.48</formula>
      <formula>0.5</formula>
    </cfRule>
    <cfRule type="cellIs" dxfId="5632" priority="3394" stopIfTrue="1" operator="between">
      <formula>0</formula>
      <formula>0.255</formula>
    </cfRule>
  </conditionalFormatting>
  <conditionalFormatting sqref="AA88:AB88">
    <cfRule type="cellIs" dxfId="5631" priority="3385" operator="between">
      <formula>0.56251</formula>
      <formula>0.7125</formula>
    </cfRule>
    <cfRule type="cellIs" dxfId="5630" priority="3386" operator="between">
      <formula>0.3751</formula>
      <formula>0.5625</formula>
    </cfRule>
    <cfRule type="cellIs" dxfId="5629" priority="3387" operator="greaterThan">
      <formula>0.751</formula>
    </cfRule>
    <cfRule type="cellIs" dxfId="5628" priority="3388" operator="between">
      <formula>0.71251</formula>
      <formula>0.75</formula>
    </cfRule>
    <cfRule type="cellIs" dxfId="5627" priority="3389" stopIfTrue="1" operator="between">
      <formula>0</formula>
      <formula>0.375</formula>
    </cfRule>
  </conditionalFormatting>
  <conditionalFormatting sqref="U88">
    <cfRule type="cellIs" dxfId="5626" priority="3380" operator="between">
      <formula>0.376</formula>
      <formula>0.475</formula>
    </cfRule>
    <cfRule type="cellIs" dxfId="5625" priority="3381" operator="between">
      <formula>0.2551</formula>
      <formula>0.3751</formula>
    </cfRule>
    <cfRule type="cellIs" dxfId="5624" priority="3382" operator="greaterThan">
      <formula>0.505</formula>
    </cfRule>
    <cfRule type="cellIs" dxfId="5623" priority="3383" operator="between">
      <formula>0.48</formula>
      <formula>0.5</formula>
    </cfRule>
    <cfRule type="cellIs" dxfId="5622" priority="3384" stopIfTrue="1" operator="between">
      <formula>0</formula>
      <formula>0.255</formula>
    </cfRule>
  </conditionalFormatting>
  <conditionalFormatting sqref="Z88">
    <cfRule type="cellIs" dxfId="5621" priority="3363" operator="between">
      <formula>0.76</formula>
      <formula>0.95</formula>
    </cfRule>
    <cfRule type="cellIs" dxfId="5620" priority="3364" operator="between">
      <formula>0.51</formula>
      <formula>0.75</formula>
    </cfRule>
    <cfRule type="cellIs" dxfId="5619" priority="3365" operator="greaterThan">
      <formula>1</formula>
    </cfRule>
    <cfRule type="cellIs" dxfId="5618" priority="3366" operator="between">
      <formula>0.95</formula>
      <formula>1</formula>
    </cfRule>
    <cfRule type="cellIs" dxfId="5617" priority="3367" stopIfTrue="1" operator="between">
      <formula>0</formula>
      <formula>0.5</formula>
    </cfRule>
  </conditionalFormatting>
  <conditionalFormatting sqref="AC88">
    <cfRule type="cellIs" dxfId="5616" priority="3358" operator="between">
      <formula>0.56251</formula>
      <formula>0.7125</formula>
    </cfRule>
    <cfRule type="cellIs" dxfId="5615" priority="3359" operator="between">
      <formula>0.3751</formula>
      <formula>0.5625</formula>
    </cfRule>
    <cfRule type="cellIs" dxfId="5614" priority="3360" operator="greaterThan">
      <formula>0.751</formula>
    </cfRule>
    <cfRule type="cellIs" dxfId="5613" priority="3361" operator="between">
      <formula>0.71251</formula>
      <formula>0.75</formula>
    </cfRule>
    <cfRule type="cellIs" dxfId="5612" priority="3362" stopIfTrue="1" operator="between">
      <formula>0</formula>
      <formula>0.375</formula>
    </cfRule>
  </conditionalFormatting>
  <conditionalFormatting sqref="S88">
    <cfRule type="cellIs" dxfId="5611" priority="3353" operator="between">
      <formula>0.76</formula>
      <formula>0.95</formula>
    </cfRule>
    <cfRule type="cellIs" dxfId="5610" priority="3354" operator="between">
      <formula>0.51</formula>
      <formula>0.75</formula>
    </cfRule>
    <cfRule type="cellIs" dxfId="5609" priority="3355" operator="greaterThan">
      <formula>1</formula>
    </cfRule>
    <cfRule type="cellIs" dxfId="5608" priority="3356" operator="between">
      <formula>0.95</formula>
      <formula>1</formula>
    </cfRule>
    <cfRule type="cellIs" dxfId="5607" priority="3357" stopIfTrue="1" operator="between">
      <formula>0</formula>
      <formula>0.5</formula>
    </cfRule>
  </conditionalFormatting>
  <conditionalFormatting sqref="V88">
    <cfRule type="cellIs" dxfId="5606" priority="3348" operator="between">
      <formula>0.376</formula>
      <formula>0.475</formula>
    </cfRule>
    <cfRule type="cellIs" dxfId="5605" priority="3349" operator="between">
      <formula>0.2551</formula>
      <formula>0.3751</formula>
    </cfRule>
    <cfRule type="cellIs" dxfId="5604" priority="3350" operator="greaterThan">
      <formula>0.505</formula>
    </cfRule>
    <cfRule type="cellIs" dxfId="5603" priority="3351" operator="between">
      <formula>0.48</formula>
      <formula>0.5</formula>
    </cfRule>
    <cfRule type="cellIs" dxfId="5602" priority="3352" stopIfTrue="1" operator="between">
      <formula>0</formula>
      <formula>0.255</formula>
    </cfRule>
  </conditionalFormatting>
  <conditionalFormatting sqref="AG88">
    <cfRule type="cellIs" dxfId="5601" priority="3343" operator="between">
      <formula>0.76</formula>
      <formula>0.95</formula>
    </cfRule>
    <cfRule type="cellIs" dxfId="5600" priority="3344" operator="between">
      <formula>0.51</formula>
      <formula>0.75</formula>
    </cfRule>
    <cfRule type="cellIs" dxfId="5599" priority="3345" operator="greaterThan">
      <formula>1</formula>
    </cfRule>
    <cfRule type="cellIs" dxfId="5598" priority="3346" operator="between">
      <formula>0.95</formula>
      <formula>1</formula>
    </cfRule>
    <cfRule type="cellIs" dxfId="5597" priority="3347" stopIfTrue="1" operator="between">
      <formula>0</formula>
      <formula>0.5</formula>
    </cfRule>
  </conditionalFormatting>
  <conditionalFormatting sqref="Z119">
    <cfRule type="cellIs" dxfId="5596" priority="2785" operator="between">
      <formula>0.76</formula>
      <formula>0.95</formula>
    </cfRule>
    <cfRule type="cellIs" dxfId="5595" priority="2786" operator="between">
      <formula>0.51</formula>
      <formula>0.75</formula>
    </cfRule>
    <cfRule type="cellIs" dxfId="5594" priority="2787" operator="greaterThan">
      <formula>1</formula>
    </cfRule>
    <cfRule type="cellIs" dxfId="5593" priority="2788" operator="between">
      <formula>0.95</formula>
      <formula>1</formula>
    </cfRule>
    <cfRule type="cellIs" dxfId="5592" priority="2789" stopIfTrue="1" operator="between">
      <formula>0</formula>
      <formula>0.5</formula>
    </cfRule>
  </conditionalFormatting>
  <conditionalFormatting sqref="AI354">
    <cfRule type="cellIs" dxfId="5591" priority="2975" operator="between">
      <formula>0.76</formula>
      <formula>0.95</formula>
    </cfRule>
    <cfRule type="cellIs" dxfId="5590" priority="2976" operator="between">
      <formula>0.51</formula>
      <formula>0.75</formula>
    </cfRule>
    <cfRule type="cellIs" dxfId="5589" priority="2977" operator="greaterThan">
      <formula>1</formula>
    </cfRule>
    <cfRule type="cellIs" dxfId="5588" priority="2978" operator="between">
      <formula>0.95</formula>
      <formula>1</formula>
    </cfRule>
    <cfRule type="cellIs" dxfId="5587" priority="2979" stopIfTrue="1" operator="between">
      <formula>0</formula>
      <formula>0.5</formula>
    </cfRule>
  </conditionalFormatting>
  <conditionalFormatting sqref="R354">
    <cfRule type="cellIs" dxfId="5586" priority="2970" operator="between">
      <formula>0.76</formula>
      <formula>0.95</formula>
    </cfRule>
    <cfRule type="cellIs" dxfId="5585" priority="2971" operator="between">
      <formula>0.51</formula>
      <formula>0.75</formula>
    </cfRule>
    <cfRule type="cellIs" dxfId="5584" priority="2972" operator="greaterThan">
      <formula>1</formula>
    </cfRule>
    <cfRule type="cellIs" dxfId="5583" priority="2973" operator="between">
      <formula>0.95</formula>
      <formula>1</formula>
    </cfRule>
    <cfRule type="cellIs" dxfId="5582" priority="2974" stopIfTrue="1" operator="between">
      <formula>0</formula>
      <formula>0.5</formula>
    </cfRule>
  </conditionalFormatting>
  <conditionalFormatting sqref="Y354">
    <cfRule type="cellIs" dxfId="5581" priority="2965" operator="between">
      <formula>0.76</formula>
      <formula>0.95</formula>
    </cfRule>
    <cfRule type="cellIs" dxfId="5580" priority="2966" operator="between">
      <formula>0.51</formula>
      <formula>0.75</formula>
    </cfRule>
    <cfRule type="cellIs" dxfId="5579" priority="2967" operator="greaterThan">
      <formula>1</formula>
    </cfRule>
    <cfRule type="cellIs" dxfId="5578" priority="2968" operator="between">
      <formula>0.95</formula>
      <formula>1</formula>
    </cfRule>
    <cfRule type="cellIs" dxfId="5577" priority="2969" stopIfTrue="1" operator="between">
      <formula>0</formula>
      <formula>0.5</formula>
    </cfRule>
  </conditionalFormatting>
  <conditionalFormatting sqref="AF354">
    <cfRule type="cellIs" dxfId="5576" priority="2960" operator="between">
      <formula>0.76</formula>
      <formula>0.95</formula>
    </cfRule>
    <cfRule type="cellIs" dxfId="5575" priority="2961" operator="between">
      <formula>0.51</formula>
      <formula>0.75</formula>
    </cfRule>
    <cfRule type="cellIs" dxfId="5574" priority="2962" operator="greaterThan">
      <formula>1</formula>
    </cfRule>
    <cfRule type="cellIs" dxfId="5573" priority="2963" operator="between">
      <formula>0.95</formula>
      <formula>1</formula>
    </cfRule>
    <cfRule type="cellIs" dxfId="5572" priority="2964" stopIfTrue="1" operator="between">
      <formula>0</formula>
      <formula>0.5</formula>
    </cfRule>
  </conditionalFormatting>
  <conditionalFormatting sqref="AH354">
    <cfRule type="cellIs" dxfId="5571" priority="2955" operator="between">
      <formula>0.76</formula>
      <formula>0.95</formula>
    </cfRule>
    <cfRule type="cellIs" dxfId="5570" priority="2956" operator="between">
      <formula>0.51</formula>
      <formula>0.75</formula>
    </cfRule>
    <cfRule type="cellIs" dxfId="5569" priority="2957" operator="greaterThan">
      <formula>1</formula>
    </cfRule>
    <cfRule type="cellIs" dxfId="5568" priority="2958" operator="between">
      <formula>0.95</formula>
      <formula>1</formula>
    </cfRule>
    <cfRule type="cellIs" dxfId="5567" priority="2959" stopIfTrue="1" operator="between">
      <formula>0</formula>
      <formula>0.5</formula>
    </cfRule>
  </conditionalFormatting>
  <conditionalFormatting sqref="T354">
    <cfRule type="cellIs" dxfId="5566" priority="2950" operator="between">
      <formula>0.3751</formula>
      <formula>0.475</formula>
    </cfRule>
    <cfRule type="cellIs" dxfId="5565" priority="2951" operator="between">
      <formula>0.2551</formula>
      <formula>0.375</formula>
    </cfRule>
    <cfRule type="cellIs" dxfId="5564" priority="2952" operator="greaterThan">
      <formula>0.505</formula>
    </cfRule>
    <cfRule type="cellIs" dxfId="5563" priority="2953" operator="between">
      <formula>0.48</formula>
      <formula>0.5</formula>
    </cfRule>
    <cfRule type="cellIs" dxfId="5562" priority="2954" stopIfTrue="1" operator="between">
      <formula>0</formula>
      <formula>0.255</formula>
    </cfRule>
  </conditionalFormatting>
  <conditionalFormatting sqref="U354">
    <cfRule type="cellIs" dxfId="5561" priority="2945" operator="between">
      <formula>0.376</formula>
      <formula>0.475</formula>
    </cfRule>
    <cfRule type="cellIs" dxfId="5560" priority="2946" operator="between">
      <formula>0.2551</formula>
      <formula>0.3751</formula>
    </cfRule>
    <cfRule type="cellIs" dxfId="5559" priority="2947" operator="greaterThan">
      <formula>0.505</formula>
    </cfRule>
    <cfRule type="cellIs" dxfId="5558" priority="2948" operator="between">
      <formula>0.48</formula>
      <formula>0.5</formula>
    </cfRule>
    <cfRule type="cellIs" dxfId="5557" priority="2949" stopIfTrue="1" operator="between">
      <formula>0</formula>
      <formula>0.255</formula>
    </cfRule>
  </conditionalFormatting>
  <conditionalFormatting sqref="AA354">
    <cfRule type="cellIs" dxfId="5556" priority="2940" operator="between">
      <formula>0.56251</formula>
      <formula>0.7125</formula>
    </cfRule>
    <cfRule type="cellIs" dxfId="5555" priority="2941" operator="between">
      <formula>0.3751</formula>
      <formula>0.5625</formula>
    </cfRule>
    <cfRule type="cellIs" dxfId="5554" priority="2942" operator="greaterThan">
      <formula>0.751</formula>
    </cfRule>
    <cfRule type="cellIs" dxfId="5553" priority="2943" operator="between">
      <formula>0.71251</formula>
      <formula>0.75</formula>
    </cfRule>
    <cfRule type="cellIs" dxfId="5552" priority="2944" stopIfTrue="1" operator="between">
      <formula>0</formula>
      <formula>0.375</formula>
    </cfRule>
  </conditionalFormatting>
  <conditionalFormatting sqref="AC354">
    <cfRule type="cellIs" dxfId="5551" priority="2935" operator="between">
      <formula>0.56251</formula>
      <formula>0.7125</formula>
    </cfRule>
    <cfRule type="cellIs" dxfId="5550" priority="2936" operator="between">
      <formula>0.3751</formula>
      <formula>0.5625</formula>
    </cfRule>
    <cfRule type="cellIs" dxfId="5549" priority="2937" operator="greaterThan">
      <formula>0.751</formula>
    </cfRule>
    <cfRule type="cellIs" dxfId="5548" priority="2938" operator="between">
      <formula>0.71251</formula>
      <formula>0.75</formula>
    </cfRule>
    <cfRule type="cellIs" dxfId="5547" priority="2939" stopIfTrue="1" operator="between">
      <formula>0</formula>
      <formula>0.375</formula>
    </cfRule>
  </conditionalFormatting>
  <conditionalFormatting sqref="AB354">
    <cfRule type="cellIs" dxfId="5546" priority="2930" operator="between">
      <formula>0.56251</formula>
      <formula>0.7125</formula>
    </cfRule>
    <cfRule type="cellIs" dxfId="5545" priority="2931" operator="between">
      <formula>0.3751</formula>
      <formula>0.5625</formula>
    </cfRule>
    <cfRule type="cellIs" dxfId="5544" priority="2932" operator="greaterThan">
      <formula>0.751</formula>
    </cfRule>
    <cfRule type="cellIs" dxfId="5543" priority="2933" operator="between">
      <formula>0.71251</formula>
      <formula>0.75</formula>
    </cfRule>
    <cfRule type="cellIs" dxfId="5542" priority="2934" stopIfTrue="1" operator="between">
      <formula>0</formula>
      <formula>0.375</formula>
    </cfRule>
  </conditionalFormatting>
  <conditionalFormatting sqref="Z354">
    <cfRule type="cellIs" dxfId="5541" priority="2925" operator="between">
      <formula>0.76</formula>
      <formula>0.95</formula>
    </cfRule>
    <cfRule type="cellIs" dxfId="5540" priority="2926" operator="between">
      <formula>0.51</formula>
      <formula>0.75</formula>
    </cfRule>
    <cfRule type="cellIs" dxfId="5539" priority="2927" operator="greaterThan">
      <formula>1</formula>
    </cfRule>
    <cfRule type="cellIs" dxfId="5538" priority="2928" operator="between">
      <formula>0.95</formula>
      <formula>1</formula>
    </cfRule>
    <cfRule type="cellIs" dxfId="5537" priority="2929" stopIfTrue="1" operator="between">
      <formula>0</formula>
      <formula>0.5</formula>
    </cfRule>
  </conditionalFormatting>
  <conditionalFormatting sqref="S354">
    <cfRule type="cellIs" dxfId="5536" priority="2920" operator="between">
      <formula>0.76</formula>
      <formula>0.95</formula>
    </cfRule>
    <cfRule type="cellIs" dxfId="5535" priority="2921" operator="between">
      <formula>0.51</formula>
      <formula>0.75</formula>
    </cfRule>
    <cfRule type="cellIs" dxfId="5534" priority="2922" operator="greaterThan">
      <formula>1</formula>
    </cfRule>
    <cfRule type="cellIs" dxfId="5533" priority="2923" operator="between">
      <formula>0.95</formula>
      <formula>1</formula>
    </cfRule>
    <cfRule type="cellIs" dxfId="5532" priority="2924" stopIfTrue="1" operator="between">
      <formula>0</formula>
      <formula>0.5</formula>
    </cfRule>
  </conditionalFormatting>
  <conditionalFormatting sqref="V354">
    <cfRule type="cellIs" dxfId="5531" priority="2915" operator="between">
      <formula>0.376</formula>
      <formula>0.475</formula>
    </cfRule>
    <cfRule type="cellIs" dxfId="5530" priority="2916" operator="between">
      <formula>0.2551</formula>
      <formula>0.3751</formula>
    </cfRule>
    <cfRule type="cellIs" dxfId="5529" priority="2917" operator="greaterThan">
      <formula>0.505</formula>
    </cfRule>
    <cfRule type="cellIs" dxfId="5528" priority="2918" operator="between">
      <formula>0.48</formula>
      <formula>0.5</formula>
    </cfRule>
    <cfRule type="cellIs" dxfId="5527" priority="2919" stopIfTrue="1" operator="between">
      <formula>0</formula>
      <formula>0.255</formula>
    </cfRule>
  </conditionalFormatting>
  <conditionalFormatting sqref="AG354">
    <cfRule type="cellIs" dxfId="5526" priority="2910" operator="between">
      <formula>0.76</formula>
      <formula>0.95</formula>
    </cfRule>
    <cfRule type="cellIs" dxfId="5525" priority="2911" operator="between">
      <formula>0.51</formula>
      <formula>0.75</formula>
    </cfRule>
    <cfRule type="cellIs" dxfId="5524" priority="2912" operator="greaterThan">
      <formula>1</formula>
    </cfRule>
    <cfRule type="cellIs" dxfId="5523" priority="2913" operator="between">
      <formula>0.95</formula>
      <formula>1</formula>
    </cfRule>
    <cfRule type="cellIs" dxfId="5522" priority="2914" stopIfTrue="1" operator="between">
      <formula>0</formula>
      <formula>0.5</formula>
    </cfRule>
  </conditionalFormatting>
  <conditionalFormatting sqref="AI355">
    <cfRule type="cellIs" dxfId="5521" priority="2896" operator="between">
      <formula>0.76</formula>
      <formula>0.95</formula>
    </cfRule>
    <cfRule type="cellIs" dxfId="5520" priority="2897" operator="between">
      <formula>0.51</formula>
      <formula>0.75</formula>
    </cfRule>
    <cfRule type="cellIs" dxfId="5519" priority="2898" operator="greaterThan">
      <formula>1</formula>
    </cfRule>
    <cfRule type="cellIs" dxfId="5518" priority="2899" operator="between">
      <formula>0.95</formula>
      <formula>1</formula>
    </cfRule>
    <cfRule type="cellIs" dxfId="5517" priority="2900" stopIfTrue="1" operator="between">
      <formula>0</formula>
      <formula>0.5</formula>
    </cfRule>
  </conditionalFormatting>
  <conditionalFormatting sqref="R355">
    <cfRule type="cellIs" dxfId="5516" priority="2891" operator="between">
      <formula>0.76</formula>
      <formula>0.95</formula>
    </cfRule>
    <cfRule type="cellIs" dxfId="5515" priority="2892" operator="between">
      <formula>0.51</formula>
      <formula>0.75</formula>
    </cfRule>
    <cfRule type="cellIs" dxfId="5514" priority="2893" operator="greaterThan">
      <formula>1</formula>
    </cfRule>
    <cfRule type="cellIs" dxfId="5513" priority="2894" operator="between">
      <formula>0.95</formula>
      <formula>1</formula>
    </cfRule>
    <cfRule type="cellIs" dxfId="5512" priority="2895" stopIfTrue="1" operator="between">
      <formula>0</formula>
      <formula>0.5</formula>
    </cfRule>
  </conditionalFormatting>
  <conditionalFormatting sqref="Y355">
    <cfRule type="cellIs" dxfId="5511" priority="2886" operator="between">
      <formula>0.76</formula>
      <formula>0.95</formula>
    </cfRule>
    <cfRule type="cellIs" dxfId="5510" priority="2887" operator="between">
      <formula>0.51</formula>
      <formula>0.75</formula>
    </cfRule>
    <cfRule type="cellIs" dxfId="5509" priority="2888" operator="greaterThan">
      <formula>1</formula>
    </cfRule>
    <cfRule type="cellIs" dxfId="5508" priority="2889" operator="between">
      <formula>0.95</formula>
      <formula>1</formula>
    </cfRule>
    <cfRule type="cellIs" dxfId="5507" priority="2890" stopIfTrue="1" operator="between">
      <formula>0</formula>
      <formula>0.5</formula>
    </cfRule>
  </conditionalFormatting>
  <conditionalFormatting sqref="AF355">
    <cfRule type="cellIs" dxfId="5506" priority="2881" operator="between">
      <formula>0.76</formula>
      <formula>0.95</formula>
    </cfRule>
    <cfRule type="cellIs" dxfId="5505" priority="2882" operator="between">
      <formula>0.51</formula>
      <formula>0.75</formula>
    </cfRule>
    <cfRule type="cellIs" dxfId="5504" priority="2883" operator="greaterThan">
      <formula>1</formula>
    </cfRule>
    <cfRule type="cellIs" dxfId="5503" priority="2884" operator="between">
      <formula>0.95</formula>
      <formula>1</formula>
    </cfRule>
    <cfRule type="cellIs" dxfId="5502" priority="2885" stopIfTrue="1" operator="between">
      <formula>0</formula>
      <formula>0.5</formula>
    </cfRule>
  </conditionalFormatting>
  <conditionalFormatting sqref="AH355">
    <cfRule type="cellIs" dxfId="5501" priority="2876" operator="between">
      <formula>0.76</formula>
      <formula>0.95</formula>
    </cfRule>
    <cfRule type="cellIs" dxfId="5500" priority="2877" operator="between">
      <formula>0.51</formula>
      <formula>0.75</formula>
    </cfRule>
    <cfRule type="cellIs" dxfId="5499" priority="2878" operator="greaterThan">
      <formula>1</formula>
    </cfRule>
    <cfRule type="cellIs" dxfId="5498" priority="2879" operator="between">
      <formula>0.95</formula>
      <formula>1</formula>
    </cfRule>
    <cfRule type="cellIs" dxfId="5497" priority="2880" stopIfTrue="1" operator="between">
      <formula>0</formula>
      <formula>0.5</formula>
    </cfRule>
  </conditionalFormatting>
  <conditionalFormatting sqref="T355">
    <cfRule type="cellIs" dxfId="5496" priority="2871" operator="between">
      <formula>0.3751</formula>
      <formula>0.475</formula>
    </cfRule>
    <cfRule type="cellIs" dxfId="5495" priority="2872" operator="between">
      <formula>0.2551</formula>
      <formula>0.375</formula>
    </cfRule>
    <cfRule type="cellIs" dxfId="5494" priority="2873" operator="greaterThan">
      <formula>0.505</formula>
    </cfRule>
    <cfRule type="cellIs" dxfId="5493" priority="2874" operator="between">
      <formula>0.48</formula>
      <formula>0.5</formula>
    </cfRule>
    <cfRule type="cellIs" dxfId="5492" priority="2875" stopIfTrue="1" operator="between">
      <formula>0</formula>
      <formula>0.255</formula>
    </cfRule>
  </conditionalFormatting>
  <conditionalFormatting sqref="U355">
    <cfRule type="cellIs" dxfId="5491" priority="2866" operator="between">
      <formula>0.376</formula>
      <formula>0.475</formula>
    </cfRule>
    <cfRule type="cellIs" dxfId="5490" priority="2867" operator="between">
      <formula>0.2551</formula>
      <formula>0.3751</formula>
    </cfRule>
    <cfRule type="cellIs" dxfId="5489" priority="2868" operator="greaterThan">
      <formula>0.505</formula>
    </cfRule>
    <cfRule type="cellIs" dxfId="5488" priority="2869" operator="between">
      <formula>0.48</formula>
      <formula>0.5</formula>
    </cfRule>
    <cfRule type="cellIs" dxfId="5487" priority="2870" stopIfTrue="1" operator="between">
      <formula>0</formula>
      <formula>0.255</formula>
    </cfRule>
  </conditionalFormatting>
  <conditionalFormatting sqref="AA355">
    <cfRule type="cellIs" dxfId="5486" priority="2861" operator="between">
      <formula>0.56251</formula>
      <formula>0.7125</formula>
    </cfRule>
    <cfRule type="cellIs" dxfId="5485" priority="2862" operator="between">
      <formula>0.3751</formula>
      <formula>0.5625</formula>
    </cfRule>
    <cfRule type="cellIs" dxfId="5484" priority="2863" operator="greaterThan">
      <formula>0.751</formula>
    </cfRule>
    <cfRule type="cellIs" dxfId="5483" priority="2864" operator="between">
      <formula>0.71251</formula>
      <formula>0.75</formula>
    </cfRule>
    <cfRule type="cellIs" dxfId="5482" priority="2865" stopIfTrue="1" operator="between">
      <formula>0</formula>
      <formula>0.375</formula>
    </cfRule>
  </conditionalFormatting>
  <conditionalFormatting sqref="AC355">
    <cfRule type="cellIs" dxfId="5481" priority="2856" operator="between">
      <formula>0.56251</formula>
      <formula>0.7125</formula>
    </cfRule>
    <cfRule type="cellIs" dxfId="5480" priority="2857" operator="between">
      <formula>0.3751</formula>
      <formula>0.5625</formula>
    </cfRule>
    <cfRule type="cellIs" dxfId="5479" priority="2858" operator="greaterThan">
      <formula>0.751</formula>
    </cfRule>
    <cfRule type="cellIs" dxfId="5478" priority="2859" operator="between">
      <formula>0.71251</formula>
      <formula>0.75</formula>
    </cfRule>
    <cfRule type="cellIs" dxfId="5477" priority="2860" stopIfTrue="1" operator="between">
      <formula>0</formula>
      <formula>0.375</formula>
    </cfRule>
  </conditionalFormatting>
  <conditionalFormatting sqref="AB355">
    <cfRule type="cellIs" dxfId="5476" priority="2851" operator="between">
      <formula>0.56251</formula>
      <formula>0.7125</formula>
    </cfRule>
    <cfRule type="cellIs" dxfId="5475" priority="2852" operator="between">
      <formula>0.3751</formula>
      <formula>0.5625</formula>
    </cfRule>
    <cfRule type="cellIs" dxfId="5474" priority="2853" operator="greaterThan">
      <formula>0.751</formula>
    </cfRule>
    <cfRule type="cellIs" dxfId="5473" priority="2854" operator="between">
      <formula>0.71251</formula>
      <formula>0.75</formula>
    </cfRule>
    <cfRule type="cellIs" dxfId="5472" priority="2855" stopIfTrue="1" operator="between">
      <formula>0</formula>
      <formula>0.375</formula>
    </cfRule>
  </conditionalFormatting>
  <conditionalFormatting sqref="Z355">
    <cfRule type="cellIs" dxfId="5471" priority="2846" operator="between">
      <formula>0.76</formula>
      <formula>0.95</formula>
    </cfRule>
    <cfRule type="cellIs" dxfId="5470" priority="2847" operator="between">
      <formula>0.51</formula>
      <formula>0.75</formula>
    </cfRule>
    <cfRule type="cellIs" dxfId="5469" priority="2848" operator="greaterThan">
      <formula>1</formula>
    </cfRule>
    <cfRule type="cellIs" dxfId="5468" priority="2849" operator="between">
      <formula>0.95</formula>
      <formula>1</formula>
    </cfRule>
    <cfRule type="cellIs" dxfId="5467" priority="2850" stopIfTrue="1" operator="between">
      <formula>0</formula>
      <formula>0.5</formula>
    </cfRule>
  </conditionalFormatting>
  <conditionalFormatting sqref="S355">
    <cfRule type="cellIs" dxfId="5466" priority="2841" operator="between">
      <formula>0.76</formula>
      <formula>0.95</formula>
    </cfRule>
    <cfRule type="cellIs" dxfId="5465" priority="2842" operator="between">
      <formula>0.51</formula>
      <formula>0.75</formula>
    </cfRule>
    <cfRule type="cellIs" dxfId="5464" priority="2843" operator="greaterThan">
      <formula>1</formula>
    </cfRule>
    <cfRule type="cellIs" dxfId="5463" priority="2844" operator="between">
      <formula>0.95</formula>
      <formula>1</formula>
    </cfRule>
    <cfRule type="cellIs" dxfId="5462" priority="2845" stopIfTrue="1" operator="between">
      <formula>0</formula>
      <formula>0.5</formula>
    </cfRule>
  </conditionalFormatting>
  <conditionalFormatting sqref="V355">
    <cfRule type="cellIs" dxfId="5461" priority="2836" operator="between">
      <formula>0.376</formula>
      <formula>0.475</formula>
    </cfRule>
    <cfRule type="cellIs" dxfId="5460" priority="2837" operator="between">
      <formula>0.2551</formula>
      <formula>0.3751</formula>
    </cfRule>
    <cfRule type="cellIs" dxfId="5459" priority="2838" operator="greaterThan">
      <formula>0.505</formula>
    </cfRule>
    <cfRule type="cellIs" dxfId="5458" priority="2839" operator="between">
      <formula>0.48</formula>
      <formula>0.5</formula>
    </cfRule>
    <cfRule type="cellIs" dxfId="5457" priority="2840" stopIfTrue="1" operator="between">
      <formula>0</formula>
      <formula>0.255</formula>
    </cfRule>
  </conditionalFormatting>
  <conditionalFormatting sqref="AG355">
    <cfRule type="cellIs" dxfId="5456" priority="2831" operator="between">
      <formula>0.76</formula>
      <formula>0.95</formula>
    </cfRule>
    <cfRule type="cellIs" dxfId="5455" priority="2832" operator="between">
      <formula>0.51</formula>
      <formula>0.75</formula>
    </cfRule>
    <cfRule type="cellIs" dxfId="5454" priority="2833" operator="greaterThan">
      <formula>1</formula>
    </cfRule>
    <cfRule type="cellIs" dxfId="5453" priority="2834" operator="between">
      <formula>0.95</formula>
      <formula>1</formula>
    </cfRule>
    <cfRule type="cellIs" dxfId="5452" priority="2835" stopIfTrue="1" operator="between">
      <formula>0</formula>
      <formula>0.5</formula>
    </cfRule>
  </conditionalFormatting>
  <conditionalFormatting sqref="AF119 R119 Y119 AH119:AI119">
    <cfRule type="cellIs" dxfId="5451" priority="2817" operator="between">
      <formula>0.76</formula>
      <formula>0.95</formula>
    </cfRule>
    <cfRule type="cellIs" dxfId="5450" priority="2818" operator="between">
      <formula>0.51</formula>
      <formula>0.75</formula>
    </cfRule>
    <cfRule type="cellIs" dxfId="5449" priority="2819" operator="greaterThan">
      <formula>1</formula>
    </cfRule>
    <cfRule type="cellIs" dxfId="5448" priority="2820" operator="between">
      <formula>0.95</formula>
      <formula>1</formula>
    </cfRule>
    <cfRule type="cellIs" dxfId="5447" priority="2821" stopIfTrue="1" operator="between">
      <formula>0</formula>
      <formula>0.5</formula>
    </cfRule>
  </conditionalFormatting>
  <conditionalFormatting sqref="T119">
    <cfRule type="cellIs" dxfId="5446" priority="2812" operator="between">
      <formula>0.3751</formula>
      <formula>0.475</formula>
    </cfRule>
    <cfRule type="cellIs" dxfId="5445" priority="2813" operator="between">
      <formula>0.2551</formula>
      <formula>0.375</formula>
    </cfRule>
    <cfRule type="cellIs" dxfId="5444" priority="2814" operator="greaterThan">
      <formula>0.505</formula>
    </cfRule>
    <cfRule type="cellIs" dxfId="5443" priority="2815" operator="between">
      <formula>0.48</formula>
      <formula>0.5</formula>
    </cfRule>
    <cfRule type="cellIs" dxfId="5442" priority="2816" stopIfTrue="1" operator="between">
      <formula>0</formula>
      <formula>0.255</formula>
    </cfRule>
  </conditionalFormatting>
  <conditionalFormatting sqref="AA119:AB119">
    <cfRule type="cellIs" dxfId="5441" priority="2807" operator="between">
      <formula>0.56251</formula>
      <formula>0.7125</formula>
    </cfRule>
    <cfRule type="cellIs" dxfId="5440" priority="2808" operator="between">
      <formula>0.3751</formula>
      <formula>0.5625</formula>
    </cfRule>
    <cfRule type="cellIs" dxfId="5439" priority="2809" operator="greaterThan">
      <formula>0.751</formula>
    </cfRule>
    <cfRule type="cellIs" dxfId="5438" priority="2810" operator="between">
      <formula>0.71251</formula>
      <formula>0.75</formula>
    </cfRule>
    <cfRule type="cellIs" dxfId="5437" priority="2811" stopIfTrue="1" operator="between">
      <formula>0</formula>
      <formula>0.375</formula>
    </cfRule>
  </conditionalFormatting>
  <conditionalFormatting sqref="U119">
    <cfRule type="cellIs" dxfId="5436" priority="2802" operator="between">
      <formula>0.376</formula>
      <formula>0.475</formula>
    </cfRule>
    <cfRule type="cellIs" dxfId="5435" priority="2803" operator="between">
      <formula>0.2551</formula>
      <formula>0.3751</formula>
    </cfRule>
    <cfRule type="cellIs" dxfId="5434" priority="2804" operator="greaterThan">
      <formula>0.505</formula>
    </cfRule>
    <cfRule type="cellIs" dxfId="5433" priority="2805" operator="between">
      <formula>0.48</formula>
      <formula>0.5</formula>
    </cfRule>
    <cfRule type="cellIs" dxfId="5432" priority="2806" stopIfTrue="1" operator="between">
      <formula>0</formula>
      <formula>0.255</formula>
    </cfRule>
  </conditionalFormatting>
  <conditionalFormatting sqref="AC119">
    <cfRule type="cellIs" dxfId="5431" priority="2780" operator="between">
      <formula>0.56251</formula>
      <formula>0.7125</formula>
    </cfRule>
    <cfRule type="cellIs" dxfId="5430" priority="2781" operator="between">
      <formula>0.3751</formula>
      <formula>0.5625</formula>
    </cfRule>
    <cfRule type="cellIs" dxfId="5429" priority="2782" operator="greaterThan">
      <formula>0.751</formula>
    </cfRule>
    <cfRule type="cellIs" dxfId="5428" priority="2783" operator="between">
      <formula>0.71251</formula>
      <formula>0.75</formula>
    </cfRule>
    <cfRule type="cellIs" dxfId="5427" priority="2784" stopIfTrue="1" operator="between">
      <formula>0</formula>
      <formula>0.375</formula>
    </cfRule>
  </conditionalFormatting>
  <conditionalFormatting sqref="S119">
    <cfRule type="cellIs" dxfId="5426" priority="2775" operator="between">
      <formula>0.76</formula>
      <formula>0.95</formula>
    </cfRule>
    <cfRule type="cellIs" dxfId="5425" priority="2776" operator="between">
      <formula>0.51</formula>
      <formula>0.75</formula>
    </cfRule>
    <cfRule type="cellIs" dxfId="5424" priority="2777" operator="greaterThan">
      <formula>1</formula>
    </cfRule>
    <cfRule type="cellIs" dxfId="5423" priority="2778" operator="between">
      <formula>0.95</formula>
      <formula>1</formula>
    </cfRule>
    <cfRule type="cellIs" dxfId="5422" priority="2779" stopIfTrue="1" operator="between">
      <formula>0</formula>
      <formula>0.5</formula>
    </cfRule>
  </conditionalFormatting>
  <conditionalFormatting sqref="V119">
    <cfRule type="cellIs" dxfId="5421" priority="2770" operator="between">
      <formula>0.376</formula>
      <formula>0.475</formula>
    </cfRule>
    <cfRule type="cellIs" dxfId="5420" priority="2771" operator="between">
      <formula>0.2551</formula>
      <formula>0.3751</formula>
    </cfRule>
    <cfRule type="cellIs" dxfId="5419" priority="2772" operator="greaterThan">
      <formula>0.505</formula>
    </cfRule>
    <cfRule type="cellIs" dxfId="5418" priority="2773" operator="between">
      <formula>0.48</formula>
      <formula>0.5</formula>
    </cfRule>
    <cfRule type="cellIs" dxfId="5417" priority="2774" stopIfTrue="1" operator="between">
      <formula>0</formula>
      <formula>0.255</formula>
    </cfRule>
  </conditionalFormatting>
  <conditionalFormatting sqref="AG119">
    <cfRule type="cellIs" dxfId="5416" priority="2765" operator="between">
      <formula>0.76</formula>
      <formula>0.95</formula>
    </cfRule>
    <cfRule type="cellIs" dxfId="5415" priority="2766" operator="between">
      <formula>0.51</formula>
      <formula>0.75</formula>
    </cfRule>
    <cfRule type="cellIs" dxfId="5414" priority="2767" operator="greaterThan">
      <formula>1</formula>
    </cfRule>
    <cfRule type="cellIs" dxfId="5413" priority="2768" operator="between">
      <formula>0.95</formula>
      <formula>1</formula>
    </cfRule>
    <cfRule type="cellIs" dxfId="5412" priority="2769" stopIfTrue="1" operator="between">
      <formula>0</formula>
      <formula>0.5</formula>
    </cfRule>
  </conditionalFormatting>
  <conditionalFormatting sqref="AF120 R120 Y120 AH120:AI120">
    <cfRule type="cellIs" dxfId="5411" priority="2760" operator="between">
      <formula>0.76</formula>
      <formula>0.95</formula>
    </cfRule>
    <cfRule type="cellIs" dxfId="5410" priority="2761" operator="between">
      <formula>0.51</formula>
      <formula>0.75</formula>
    </cfRule>
    <cfRule type="cellIs" dxfId="5409" priority="2762" operator="greaterThan">
      <formula>1</formula>
    </cfRule>
    <cfRule type="cellIs" dxfId="5408" priority="2763" operator="between">
      <formula>0.95</formula>
      <formula>1</formula>
    </cfRule>
    <cfRule type="cellIs" dxfId="5407" priority="2764" stopIfTrue="1" operator="between">
      <formula>0</formula>
      <formula>0.5</formula>
    </cfRule>
  </conditionalFormatting>
  <conditionalFormatting sqref="T120">
    <cfRule type="cellIs" dxfId="5406" priority="2755" operator="between">
      <formula>0.3751</formula>
      <formula>0.475</formula>
    </cfRule>
    <cfRule type="cellIs" dxfId="5405" priority="2756" operator="between">
      <formula>0.2551</formula>
      <formula>0.375</formula>
    </cfRule>
    <cfRule type="cellIs" dxfId="5404" priority="2757" operator="greaterThan">
      <formula>0.505</formula>
    </cfRule>
    <cfRule type="cellIs" dxfId="5403" priority="2758" operator="between">
      <formula>0.48</formula>
      <formula>0.5</formula>
    </cfRule>
    <cfRule type="cellIs" dxfId="5402" priority="2759" stopIfTrue="1" operator="between">
      <formula>0</formula>
      <formula>0.255</formula>
    </cfRule>
  </conditionalFormatting>
  <conditionalFormatting sqref="AA120:AB120">
    <cfRule type="cellIs" dxfId="5401" priority="2750" operator="between">
      <formula>0.56251</formula>
      <formula>0.7125</formula>
    </cfRule>
    <cfRule type="cellIs" dxfId="5400" priority="2751" operator="between">
      <formula>0.3751</formula>
      <formula>0.5625</formula>
    </cfRule>
    <cfRule type="cellIs" dxfId="5399" priority="2752" operator="greaterThan">
      <formula>0.751</formula>
    </cfRule>
    <cfRule type="cellIs" dxfId="5398" priority="2753" operator="between">
      <formula>0.71251</formula>
      <formula>0.75</formula>
    </cfRule>
    <cfRule type="cellIs" dxfId="5397" priority="2754" stopIfTrue="1" operator="between">
      <formula>0</formula>
      <formula>0.375</formula>
    </cfRule>
  </conditionalFormatting>
  <conditionalFormatting sqref="U120">
    <cfRule type="cellIs" dxfId="5396" priority="2745" operator="between">
      <formula>0.376</formula>
      <formula>0.475</formula>
    </cfRule>
    <cfRule type="cellIs" dxfId="5395" priority="2746" operator="between">
      <formula>0.2551</formula>
      <formula>0.3751</formula>
    </cfRule>
    <cfRule type="cellIs" dxfId="5394" priority="2747" operator="greaterThan">
      <formula>0.505</formula>
    </cfRule>
    <cfRule type="cellIs" dxfId="5393" priority="2748" operator="between">
      <formula>0.48</formula>
      <formula>0.5</formula>
    </cfRule>
    <cfRule type="cellIs" dxfId="5392" priority="2749" stopIfTrue="1" operator="between">
      <formula>0</formula>
      <formula>0.255</formula>
    </cfRule>
  </conditionalFormatting>
  <conditionalFormatting sqref="Z120">
    <cfRule type="cellIs" dxfId="5391" priority="2728" operator="between">
      <formula>0.76</formula>
      <formula>0.95</formula>
    </cfRule>
    <cfRule type="cellIs" dxfId="5390" priority="2729" operator="between">
      <formula>0.51</formula>
      <formula>0.75</formula>
    </cfRule>
    <cfRule type="cellIs" dxfId="5389" priority="2730" operator="greaterThan">
      <formula>1</formula>
    </cfRule>
    <cfRule type="cellIs" dxfId="5388" priority="2731" operator="between">
      <formula>0.95</formula>
      <formula>1</formula>
    </cfRule>
    <cfRule type="cellIs" dxfId="5387" priority="2732" stopIfTrue="1" operator="between">
      <formula>0</formula>
      <formula>0.5</formula>
    </cfRule>
  </conditionalFormatting>
  <conditionalFormatting sqref="AC120">
    <cfRule type="cellIs" dxfId="5386" priority="2723" operator="between">
      <formula>0.56251</formula>
      <formula>0.7125</formula>
    </cfRule>
    <cfRule type="cellIs" dxfId="5385" priority="2724" operator="between">
      <formula>0.3751</formula>
      <formula>0.5625</formula>
    </cfRule>
    <cfRule type="cellIs" dxfId="5384" priority="2725" operator="greaterThan">
      <formula>0.751</formula>
    </cfRule>
    <cfRule type="cellIs" dxfId="5383" priority="2726" operator="between">
      <formula>0.71251</formula>
      <formula>0.75</formula>
    </cfRule>
    <cfRule type="cellIs" dxfId="5382" priority="2727" stopIfTrue="1" operator="between">
      <formula>0</formula>
      <formula>0.375</formula>
    </cfRule>
  </conditionalFormatting>
  <conditionalFormatting sqref="S120">
    <cfRule type="cellIs" dxfId="5381" priority="2718" operator="between">
      <formula>0.76</formula>
      <formula>0.95</formula>
    </cfRule>
    <cfRule type="cellIs" dxfId="5380" priority="2719" operator="between">
      <formula>0.51</formula>
      <formula>0.75</formula>
    </cfRule>
    <cfRule type="cellIs" dxfId="5379" priority="2720" operator="greaterThan">
      <formula>1</formula>
    </cfRule>
    <cfRule type="cellIs" dxfId="5378" priority="2721" operator="between">
      <formula>0.95</formula>
      <formula>1</formula>
    </cfRule>
    <cfRule type="cellIs" dxfId="5377" priority="2722" stopIfTrue="1" operator="between">
      <formula>0</formula>
      <formula>0.5</formula>
    </cfRule>
  </conditionalFormatting>
  <conditionalFormatting sqref="V120">
    <cfRule type="cellIs" dxfId="5376" priority="2713" operator="between">
      <formula>0.376</formula>
      <formula>0.475</formula>
    </cfRule>
    <cfRule type="cellIs" dxfId="5375" priority="2714" operator="between">
      <formula>0.2551</formula>
      <formula>0.3751</formula>
    </cfRule>
    <cfRule type="cellIs" dxfId="5374" priority="2715" operator="greaterThan">
      <formula>0.505</formula>
    </cfRule>
    <cfRule type="cellIs" dxfId="5373" priority="2716" operator="between">
      <formula>0.48</formula>
      <formula>0.5</formula>
    </cfRule>
    <cfRule type="cellIs" dxfId="5372" priority="2717" stopIfTrue="1" operator="between">
      <formula>0</formula>
      <formula>0.255</formula>
    </cfRule>
  </conditionalFormatting>
  <conditionalFormatting sqref="AG120">
    <cfRule type="cellIs" dxfId="5371" priority="2708" operator="between">
      <formula>0.76</formula>
      <formula>0.95</formula>
    </cfRule>
    <cfRule type="cellIs" dxfId="5370" priority="2709" operator="between">
      <formula>0.51</formula>
      <formula>0.75</formula>
    </cfRule>
    <cfRule type="cellIs" dxfId="5369" priority="2710" operator="greaterThan">
      <formula>1</formula>
    </cfRule>
    <cfRule type="cellIs" dxfId="5368" priority="2711" operator="between">
      <formula>0.95</formula>
      <formula>1</formula>
    </cfRule>
    <cfRule type="cellIs" dxfId="5367" priority="2712" stopIfTrue="1" operator="between">
      <formula>0</formula>
      <formula>0.5</formula>
    </cfRule>
  </conditionalFormatting>
  <conditionalFormatting sqref="Z97">
    <cfRule type="cellIs" dxfId="5366" priority="2533" operator="between">
      <formula>0.76</formula>
      <formula>0.95</formula>
    </cfRule>
    <cfRule type="cellIs" dxfId="5365" priority="2534" operator="between">
      <formula>0.51</formula>
      <formula>0.75</formula>
    </cfRule>
    <cfRule type="cellIs" dxfId="5364" priority="2535" operator="greaterThan">
      <formula>1</formula>
    </cfRule>
    <cfRule type="cellIs" dxfId="5363" priority="2536" operator="between">
      <formula>0.95</formula>
      <formula>1</formula>
    </cfRule>
    <cfRule type="cellIs" dxfId="5362" priority="2537" stopIfTrue="1" operator="between">
      <formula>0</formula>
      <formula>0.5</formula>
    </cfRule>
  </conditionalFormatting>
  <conditionalFormatting sqref="AG97">
    <cfRule type="cellIs" dxfId="5361" priority="2528" operator="between">
      <formula>0.76</formula>
      <formula>0.95</formula>
    </cfRule>
    <cfRule type="cellIs" dxfId="5360" priority="2529" operator="between">
      <formula>0.51</formula>
      <formula>0.75</formula>
    </cfRule>
    <cfRule type="cellIs" dxfId="5359" priority="2530" operator="greaterThan">
      <formula>1</formula>
    </cfRule>
    <cfRule type="cellIs" dxfId="5358" priority="2531" operator="between">
      <formula>0.95</formula>
      <formula>1</formula>
    </cfRule>
    <cfRule type="cellIs" dxfId="5357" priority="2532" stopIfTrue="1" operator="between">
      <formula>0</formula>
      <formula>0.5</formula>
    </cfRule>
  </conditionalFormatting>
  <conditionalFormatting sqref="K352:L352">
    <cfRule type="cellIs" dxfId="5356" priority="2523" operator="between">
      <formula>0.76</formula>
      <formula>0.95</formula>
    </cfRule>
    <cfRule type="cellIs" dxfId="5355" priority="2524" operator="between">
      <formula>0.51</formula>
      <formula>0.75</formula>
    </cfRule>
    <cfRule type="cellIs" dxfId="5354" priority="2525" operator="greaterThan">
      <formula>1</formula>
    </cfRule>
    <cfRule type="cellIs" dxfId="5353" priority="2526" operator="between">
      <formula>0.96</formula>
      <formula>1</formula>
    </cfRule>
    <cfRule type="cellIs" dxfId="5352" priority="2527" stopIfTrue="1" operator="between">
      <formula>0</formula>
      <formula>0.5</formula>
    </cfRule>
  </conditionalFormatting>
  <conditionalFormatting sqref="O352">
    <cfRule type="cellIs" dxfId="5351" priority="2518" operator="between">
      <formula>0.1876</formula>
      <formula>0.2375</formula>
    </cfRule>
    <cfRule type="cellIs" dxfId="5350" priority="2519" operator="between">
      <formula>0.1251</formula>
      <formula>0.1875</formula>
    </cfRule>
    <cfRule type="cellIs" dxfId="5349" priority="2520" operator="greaterThan">
      <formula>0.25</formula>
    </cfRule>
    <cfRule type="cellIs" dxfId="5348" priority="2521" operator="between">
      <formula>0.2375</formula>
      <formula>0.25</formula>
    </cfRule>
    <cfRule type="cellIs" dxfId="5347" priority="2522" stopIfTrue="1" operator="between">
      <formula>0</formula>
      <formula>0.125</formula>
    </cfRule>
  </conditionalFormatting>
  <conditionalFormatting sqref="M352:N352">
    <cfRule type="cellIs" dxfId="5346" priority="2513" operator="between">
      <formula>0.1876</formula>
      <formula>0.2375</formula>
    </cfRule>
    <cfRule type="cellIs" dxfId="5345" priority="2514" operator="between">
      <formula>0.1251</formula>
      <formula>0.1875</formula>
    </cfRule>
    <cfRule type="cellIs" dxfId="5344" priority="2515" operator="greaterThan">
      <formula>0.25</formula>
    </cfRule>
    <cfRule type="cellIs" dxfId="5343" priority="2516" operator="between">
      <formula>0.2376</formula>
      <formula>0.25</formula>
    </cfRule>
    <cfRule type="cellIs" dxfId="5342" priority="2517" stopIfTrue="1" operator="between">
      <formula>0</formula>
      <formula>0.125</formula>
    </cfRule>
  </conditionalFormatting>
  <conditionalFormatting sqref="AI352">
    <cfRule type="cellIs" dxfId="5341" priority="2508" operator="between">
      <formula>0.76</formula>
      <formula>0.95</formula>
    </cfRule>
    <cfRule type="cellIs" dxfId="5340" priority="2509" operator="between">
      <formula>0.51</formula>
      <formula>0.75</formula>
    </cfRule>
    <cfRule type="cellIs" dxfId="5339" priority="2510" operator="greaterThan">
      <formula>1</formula>
    </cfRule>
    <cfRule type="cellIs" dxfId="5338" priority="2511" operator="between">
      <formula>0.95</formula>
      <formula>1</formula>
    </cfRule>
    <cfRule type="cellIs" dxfId="5337" priority="2512" stopIfTrue="1" operator="between">
      <formula>0</formula>
      <formula>0.5</formula>
    </cfRule>
  </conditionalFormatting>
  <conditionalFormatting sqref="R352">
    <cfRule type="cellIs" dxfId="5336" priority="2503" operator="between">
      <formula>0.76</formula>
      <formula>0.95</formula>
    </cfRule>
    <cfRule type="cellIs" dxfId="5335" priority="2504" operator="between">
      <formula>0.51</formula>
      <formula>0.75</formula>
    </cfRule>
    <cfRule type="cellIs" dxfId="5334" priority="2505" operator="greaterThan">
      <formula>1</formula>
    </cfRule>
    <cfRule type="cellIs" dxfId="5333" priority="2506" operator="between">
      <formula>0.95</formula>
      <formula>1</formula>
    </cfRule>
    <cfRule type="cellIs" dxfId="5332" priority="2507" stopIfTrue="1" operator="between">
      <formula>0</formula>
      <formula>0.5</formula>
    </cfRule>
  </conditionalFormatting>
  <conditionalFormatting sqref="Y352">
    <cfRule type="cellIs" dxfId="5331" priority="2498" operator="between">
      <formula>0.76</formula>
      <formula>0.95</formula>
    </cfRule>
    <cfRule type="cellIs" dxfId="5330" priority="2499" operator="between">
      <formula>0.51</formula>
      <formula>0.75</formula>
    </cfRule>
    <cfRule type="cellIs" dxfId="5329" priority="2500" operator="greaterThan">
      <formula>1</formula>
    </cfRule>
    <cfRule type="cellIs" dxfId="5328" priority="2501" operator="between">
      <formula>0.95</formula>
      <formula>1</formula>
    </cfRule>
    <cfRule type="cellIs" dxfId="5327" priority="2502" stopIfTrue="1" operator="between">
      <formula>0</formula>
      <formula>0.5</formula>
    </cfRule>
  </conditionalFormatting>
  <conditionalFormatting sqref="AF352">
    <cfRule type="cellIs" dxfId="5326" priority="2493" operator="between">
      <formula>0.76</formula>
      <formula>0.95</formula>
    </cfRule>
    <cfRule type="cellIs" dxfId="5325" priority="2494" operator="between">
      <formula>0.51</formula>
      <formula>0.75</formula>
    </cfRule>
    <cfRule type="cellIs" dxfId="5324" priority="2495" operator="greaterThan">
      <formula>1</formula>
    </cfRule>
    <cfRule type="cellIs" dxfId="5323" priority="2496" operator="between">
      <formula>0.95</formula>
      <formula>1</formula>
    </cfRule>
    <cfRule type="cellIs" dxfId="5322" priority="2497" stopIfTrue="1" operator="between">
      <formula>0</formula>
      <formula>0.5</formula>
    </cfRule>
  </conditionalFormatting>
  <conditionalFormatting sqref="AH352">
    <cfRule type="cellIs" dxfId="5321" priority="2488" operator="between">
      <formula>0.76</formula>
      <formula>0.95</formula>
    </cfRule>
    <cfRule type="cellIs" dxfId="5320" priority="2489" operator="between">
      <formula>0.51</formula>
      <formula>0.75</formula>
    </cfRule>
    <cfRule type="cellIs" dxfId="5319" priority="2490" operator="greaterThan">
      <formula>1</formula>
    </cfRule>
    <cfRule type="cellIs" dxfId="5318" priority="2491" operator="between">
      <formula>0.95</formula>
      <formula>1</formula>
    </cfRule>
    <cfRule type="cellIs" dxfId="5317" priority="2492" stopIfTrue="1" operator="between">
      <formula>0</formula>
      <formula>0.5</formula>
    </cfRule>
  </conditionalFormatting>
  <conditionalFormatting sqref="T352">
    <cfRule type="cellIs" dxfId="5316" priority="2483" operator="between">
      <formula>0.3751</formula>
      <formula>0.475</formula>
    </cfRule>
    <cfRule type="cellIs" dxfId="5315" priority="2484" operator="between">
      <formula>0.2551</formula>
      <formula>0.375</formula>
    </cfRule>
    <cfRule type="cellIs" dxfId="5314" priority="2485" operator="greaterThan">
      <formula>0.505</formula>
    </cfRule>
    <cfRule type="cellIs" dxfId="5313" priority="2486" operator="between">
      <formula>0.48</formula>
      <formula>0.5</formula>
    </cfRule>
    <cfRule type="cellIs" dxfId="5312" priority="2487" stopIfTrue="1" operator="between">
      <formula>0</formula>
      <formula>0.255</formula>
    </cfRule>
  </conditionalFormatting>
  <conditionalFormatting sqref="U352">
    <cfRule type="cellIs" dxfId="5311" priority="2478" operator="between">
      <formula>0.376</formula>
      <formula>0.475</formula>
    </cfRule>
    <cfRule type="cellIs" dxfId="5310" priority="2479" operator="between">
      <formula>0.2551</formula>
      <formula>0.3751</formula>
    </cfRule>
    <cfRule type="cellIs" dxfId="5309" priority="2480" operator="greaterThan">
      <formula>0.505</formula>
    </cfRule>
    <cfRule type="cellIs" dxfId="5308" priority="2481" operator="between">
      <formula>0.48</formula>
      <formula>0.5</formula>
    </cfRule>
    <cfRule type="cellIs" dxfId="5307" priority="2482" stopIfTrue="1" operator="between">
      <formula>0</formula>
      <formula>0.255</formula>
    </cfRule>
  </conditionalFormatting>
  <conditionalFormatting sqref="AA352">
    <cfRule type="cellIs" dxfId="5306" priority="2473" operator="between">
      <formula>0.56251</formula>
      <formula>0.7125</formula>
    </cfRule>
    <cfRule type="cellIs" dxfId="5305" priority="2474" operator="between">
      <formula>0.3751</formula>
      <formula>0.5625</formula>
    </cfRule>
    <cfRule type="cellIs" dxfId="5304" priority="2475" operator="greaterThan">
      <formula>0.751</formula>
    </cfRule>
    <cfRule type="cellIs" dxfId="5303" priority="2476" operator="between">
      <formula>0.71251</formula>
      <formula>0.75</formula>
    </cfRule>
    <cfRule type="cellIs" dxfId="5302" priority="2477" stopIfTrue="1" operator="between">
      <formula>0</formula>
      <formula>0.375</formula>
    </cfRule>
  </conditionalFormatting>
  <conditionalFormatting sqref="AC352">
    <cfRule type="cellIs" dxfId="5301" priority="2468" operator="between">
      <formula>0.56251</formula>
      <formula>0.7125</formula>
    </cfRule>
    <cfRule type="cellIs" dxfId="5300" priority="2469" operator="between">
      <formula>0.3751</formula>
      <formula>0.5625</formula>
    </cfRule>
    <cfRule type="cellIs" dxfId="5299" priority="2470" operator="greaterThan">
      <formula>0.751</formula>
    </cfRule>
    <cfRule type="cellIs" dxfId="5298" priority="2471" operator="between">
      <formula>0.71251</formula>
      <formula>0.75</formula>
    </cfRule>
    <cfRule type="cellIs" dxfId="5297" priority="2472" stopIfTrue="1" operator="between">
      <formula>0</formula>
      <formula>0.375</formula>
    </cfRule>
  </conditionalFormatting>
  <conditionalFormatting sqref="AB352">
    <cfRule type="cellIs" dxfId="5296" priority="2463" operator="between">
      <formula>0.56251</formula>
      <formula>0.7125</formula>
    </cfRule>
    <cfRule type="cellIs" dxfId="5295" priority="2464" operator="between">
      <formula>0.3751</formula>
      <formula>0.5625</formula>
    </cfRule>
    <cfRule type="cellIs" dxfId="5294" priority="2465" operator="greaterThan">
      <formula>0.751</formula>
    </cfRule>
    <cfRule type="cellIs" dxfId="5293" priority="2466" operator="between">
      <formula>0.71251</formula>
      <formula>0.75</formula>
    </cfRule>
    <cfRule type="cellIs" dxfId="5292" priority="2467" stopIfTrue="1" operator="between">
      <formula>0</formula>
      <formula>0.375</formula>
    </cfRule>
  </conditionalFormatting>
  <conditionalFormatting sqref="Z352">
    <cfRule type="cellIs" dxfId="5291" priority="2458" operator="between">
      <formula>0.76</formula>
      <formula>0.95</formula>
    </cfRule>
    <cfRule type="cellIs" dxfId="5290" priority="2459" operator="between">
      <formula>0.51</formula>
      <formula>0.75</formula>
    </cfRule>
    <cfRule type="cellIs" dxfId="5289" priority="2460" operator="greaterThan">
      <formula>1</formula>
    </cfRule>
    <cfRule type="cellIs" dxfId="5288" priority="2461" operator="between">
      <formula>0.95</formula>
      <formula>1</formula>
    </cfRule>
    <cfRule type="cellIs" dxfId="5287" priority="2462" stopIfTrue="1" operator="between">
      <formula>0</formula>
      <formula>0.5</formula>
    </cfRule>
  </conditionalFormatting>
  <conditionalFormatting sqref="S352">
    <cfRule type="cellIs" dxfId="5286" priority="2453" operator="between">
      <formula>0.76</formula>
      <formula>0.95</formula>
    </cfRule>
    <cfRule type="cellIs" dxfId="5285" priority="2454" operator="between">
      <formula>0.51</formula>
      <formula>0.75</formula>
    </cfRule>
    <cfRule type="cellIs" dxfId="5284" priority="2455" operator="greaterThan">
      <formula>1</formula>
    </cfRule>
    <cfRule type="cellIs" dxfId="5283" priority="2456" operator="between">
      <formula>0.95</formula>
      <formula>1</formula>
    </cfRule>
    <cfRule type="cellIs" dxfId="5282" priority="2457" stopIfTrue="1" operator="between">
      <formula>0</formula>
      <formula>0.5</formula>
    </cfRule>
  </conditionalFormatting>
  <conditionalFormatting sqref="V352">
    <cfRule type="cellIs" dxfId="5281" priority="2448" operator="between">
      <formula>0.376</formula>
      <formula>0.475</formula>
    </cfRule>
    <cfRule type="cellIs" dxfId="5280" priority="2449" operator="between">
      <formula>0.2551</formula>
      <formula>0.3751</formula>
    </cfRule>
    <cfRule type="cellIs" dxfId="5279" priority="2450" operator="greaterThan">
      <formula>0.505</formula>
    </cfRule>
    <cfRule type="cellIs" dxfId="5278" priority="2451" operator="between">
      <formula>0.48</formula>
      <formula>0.5</formula>
    </cfRule>
    <cfRule type="cellIs" dxfId="5277" priority="2452" stopIfTrue="1" operator="between">
      <formula>0</formula>
      <formula>0.255</formula>
    </cfRule>
  </conditionalFormatting>
  <conditionalFormatting sqref="AG352">
    <cfRule type="cellIs" dxfId="5276" priority="2443" operator="between">
      <formula>0.76</formula>
      <formula>0.95</formula>
    </cfRule>
    <cfRule type="cellIs" dxfId="5275" priority="2444" operator="between">
      <formula>0.51</formula>
      <formula>0.75</formula>
    </cfRule>
    <cfRule type="cellIs" dxfId="5274" priority="2445" operator="greaterThan">
      <formula>1</formula>
    </cfRule>
    <cfRule type="cellIs" dxfId="5273" priority="2446" operator="between">
      <formula>0.95</formula>
      <formula>1</formula>
    </cfRule>
    <cfRule type="cellIs" dxfId="5272" priority="2447" stopIfTrue="1" operator="between">
      <formula>0</formula>
      <formula>0.5</formula>
    </cfRule>
  </conditionalFormatting>
  <conditionalFormatting sqref="L332">
    <cfRule type="cellIs" dxfId="5271" priority="2426" operator="between">
      <formula>0.76</formula>
      <formula>0.95</formula>
    </cfRule>
    <cfRule type="cellIs" dxfId="5270" priority="2427" operator="between">
      <formula>0.51</formula>
      <formula>0.75</formula>
    </cfRule>
    <cfRule type="cellIs" dxfId="5269" priority="2428" operator="greaterThan">
      <formula>1</formula>
    </cfRule>
    <cfRule type="cellIs" dxfId="5268" priority="2429" operator="between">
      <formula>0.96</formula>
      <formula>1</formula>
    </cfRule>
    <cfRule type="cellIs" dxfId="5267" priority="2430" stopIfTrue="1" operator="between">
      <formula>0</formula>
      <formula>0.5</formula>
    </cfRule>
  </conditionalFormatting>
  <conditionalFormatting sqref="O332">
    <cfRule type="cellIs" dxfId="5266" priority="2421" operator="between">
      <formula>0.1876</formula>
      <formula>0.2375</formula>
    </cfRule>
    <cfRule type="cellIs" dxfId="5265" priority="2422" operator="between">
      <formula>0.1251</formula>
      <formula>0.1875</formula>
    </cfRule>
    <cfRule type="cellIs" dxfId="5264" priority="2423" operator="greaterThan">
      <formula>0.25</formula>
    </cfRule>
    <cfRule type="cellIs" dxfId="5263" priority="2424" operator="between">
      <formula>0.2375</formula>
      <formula>0.25</formula>
    </cfRule>
    <cfRule type="cellIs" dxfId="5262" priority="2425" stopIfTrue="1" operator="between">
      <formula>0</formula>
      <formula>0.125</formula>
    </cfRule>
  </conditionalFormatting>
  <conditionalFormatting sqref="AG332">
    <cfRule type="cellIs" dxfId="5261" priority="2416" operator="between">
      <formula>0.76</formula>
      <formula>0.95</formula>
    </cfRule>
    <cfRule type="cellIs" dxfId="5260" priority="2417" operator="between">
      <formula>0.51</formula>
      <formula>0.75</formula>
    </cfRule>
    <cfRule type="cellIs" dxfId="5259" priority="2418" operator="greaterThan">
      <formula>1</formula>
    </cfRule>
    <cfRule type="cellIs" dxfId="5258" priority="2419" operator="between">
      <formula>0.95</formula>
      <formula>1</formula>
    </cfRule>
    <cfRule type="cellIs" dxfId="5257" priority="2420" stopIfTrue="1" operator="between">
      <formula>0</formula>
      <formula>0.5</formula>
    </cfRule>
  </conditionalFormatting>
  <conditionalFormatting sqref="K304:L304">
    <cfRule type="cellIs" dxfId="5256" priority="2411" operator="between">
      <formula>0.76</formula>
      <formula>0.95</formula>
    </cfRule>
    <cfRule type="cellIs" dxfId="5255" priority="2412" operator="between">
      <formula>0.51</formula>
      <formula>0.75</formula>
    </cfRule>
    <cfRule type="cellIs" dxfId="5254" priority="2413" operator="greaterThan">
      <formula>1</formula>
    </cfRule>
    <cfRule type="cellIs" dxfId="5253" priority="2414" operator="between">
      <formula>0.96</formula>
      <formula>1</formula>
    </cfRule>
    <cfRule type="cellIs" dxfId="5252" priority="2415" stopIfTrue="1" operator="between">
      <formula>0</formula>
      <formula>0.5</formula>
    </cfRule>
  </conditionalFormatting>
  <conditionalFormatting sqref="O304">
    <cfRule type="cellIs" dxfId="5251" priority="2406" operator="between">
      <formula>0.1876</formula>
      <formula>0.2375</formula>
    </cfRule>
    <cfRule type="cellIs" dxfId="5250" priority="2407" operator="between">
      <formula>0.1251</formula>
      <formula>0.1875</formula>
    </cfRule>
    <cfRule type="cellIs" dxfId="5249" priority="2408" operator="greaterThan">
      <formula>0.25</formula>
    </cfRule>
    <cfRule type="cellIs" dxfId="5248" priority="2409" operator="between">
      <formula>0.2375</formula>
      <formula>0.25</formula>
    </cfRule>
    <cfRule type="cellIs" dxfId="5247" priority="2410" stopIfTrue="1" operator="between">
      <formula>0</formula>
      <formula>0.125</formula>
    </cfRule>
  </conditionalFormatting>
  <conditionalFormatting sqref="M304:N304">
    <cfRule type="cellIs" dxfId="5246" priority="2401" operator="between">
      <formula>0.1876</formula>
      <formula>0.2375</formula>
    </cfRule>
    <cfRule type="cellIs" dxfId="5245" priority="2402" operator="between">
      <formula>0.1251</formula>
      <formula>0.1875</formula>
    </cfRule>
    <cfRule type="cellIs" dxfId="5244" priority="2403" operator="greaterThan">
      <formula>0.25</formula>
    </cfRule>
    <cfRule type="cellIs" dxfId="5243" priority="2404" operator="between">
      <formula>0.2376</formula>
      <formula>0.25</formula>
    </cfRule>
    <cfRule type="cellIs" dxfId="5242" priority="2405" stopIfTrue="1" operator="between">
      <formula>0</formula>
      <formula>0.125</formula>
    </cfRule>
  </conditionalFormatting>
  <conditionalFormatting sqref="Y304 AF304 R304 AH304:AI304">
    <cfRule type="cellIs" dxfId="5241" priority="2396" operator="between">
      <formula>0.76</formula>
      <formula>0.95</formula>
    </cfRule>
    <cfRule type="cellIs" dxfId="5240" priority="2397" operator="between">
      <formula>0.51</formula>
      <formula>0.75</formula>
    </cfRule>
    <cfRule type="cellIs" dxfId="5239" priority="2398" operator="greaterThan">
      <formula>1</formula>
    </cfRule>
    <cfRule type="cellIs" dxfId="5238" priority="2399" operator="between">
      <formula>0.95</formula>
      <formula>1</formula>
    </cfRule>
    <cfRule type="cellIs" dxfId="5237" priority="2400" stopIfTrue="1" operator="between">
      <formula>0</formula>
      <formula>0.5</formula>
    </cfRule>
  </conditionalFormatting>
  <conditionalFormatting sqref="T304">
    <cfRule type="cellIs" dxfId="5236" priority="2391" operator="between">
      <formula>0.3751</formula>
      <formula>0.475</formula>
    </cfRule>
    <cfRule type="cellIs" dxfId="5235" priority="2392" operator="between">
      <formula>0.2551</formula>
      <formula>0.375</formula>
    </cfRule>
    <cfRule type="cellIs" dxfId="5234" priority="2393" operator="greaterThan">
      <formula>0.505</formula>
    </cfRule>
    <cfRule type="cellIs" dxfId="5233" priority="2394" operator="between">
      <formula>0.48</formula>
      <formula>0.5</formula>
    </cfRule>
    <cfRule type="cellIs" dxfId="5232" priority="2395" stopIfTrue="1" operator="between">
      <formula>0</formula>
      <formula>0.255</formula>
    </cfRule>
  </conditionalFormatting>
  <conditionalFormatting sqref="AA304:AB304">
    <cfRule type="cellIs" dxfId="5231" priority="2386" operator="between">
      <formula>0.56251</formula>
      <formula>0.7125</formula>
    </cfRule>
    <cfRule type="cellIs" dxfId="5230" priority="2387" operator="between">
      <formula>0.3751</formula>
      <formula>0.5625</formula>
    </cfRule>
    <cfRule type="cellIs" dxfId="5229" priority="2388" operator="greaterThan">
      <formula>0.751</formula>
    </cfRule>
    <cfRule type="cellIs" dxfId="5228" priority="2389" operator="between">
      <formula>0.71251</formula>
      <formula>0.75</formula>
    </cfRule>
    <cfRule type="cellIs" dxfId="5227" priority="2390" stopIfTrue="1" operator="between">
      <formula>0</formula>
      <formula>0.375</formula>
    </cfRule>
  </conditionalFormatting>
  <conditionalFormatting sqref="U304">
    <cfRule type="cellIs" dxfId="5226" priority="2381" operator="between">
      <formula>0.376</formula>
      <formula>0.475</formula>
    </cfRule>
    <cfRule type="cellIs" dxfId="5225" priority="2382" operator="between">
      <formula>0.2551</formula>
      <formula>0.3751</formula>
    </cfRule>
    <cfRule type="cellIs" dxfId="5224" priority="2383" operator="greaterThan">
      <formula>0.505</formula>
    </cfRule>
    <cfRule type="cellIs" dxfId="5223" priority="2384" operator="between">
      <formula>0.48</formula>
      <formula>0.5</formula>
    </cfRule>
    <cfRule type="cellIs" dxfId="5222" priority="2385" stopIfTrue="1" operator="between">
      <formula>0</formula>
      <formula>0.255</formula>
    </cfRule>
  </conditionalFormatting>
  <conditionalFormatting sqref="S304">
    <cfRule type="cellIs" dxfId="5221" priority="2373" operator="between">
      <formula>0.76</formula>
      <formula>0.95</formula>
    </cfRule>
    <cfRule type="cellIs" dxfId="5220" priority="2374" operator="between">
      <formula>0.51</formula>
      <formula>0.75</formula>
    </cfRule>
    <cfRule type="cellIs" dxfId="5219" priority="2375" operator="greaterThan">
      <formula>1</formula>
    </cfRule>
    <cfRule type="cellIs" dxfId="5218" priority="2376" operator="between">
      <formula>0.95</formula>
      <formula>1</formula>
    </cfRule>
    <cfRule type="cellIs" dxfId="5217" priority="2377" stopIfTrue="1" operator="between">
      <formula>0</formula>
      <formula>0.5</formula>
    </cfRule>
  </conditionalFormatting>
  <conditionalFormatting sqref="V304">
    <cfRule type="cellIs" dxfId="5216" priority="2368" operator="between">
      <formula>0.376</formula>
      <formula>0.475</formula>
    </cfRule>
    <cfRule type="cellIs" dxfId="5215" priority="2369" operator="between">
      <formula>0.2551</formula>
      <formula>0.3751</formula>
    </cfRule>
    <cfRule type="cellIs" dxfId="5214" priority="2370" operator="greaterThan">
      <formula>0.505</formula>
    </cfRule>
    <cfRule type="cellIs" dxfId="5213" priority="2371" operator="between">
      <formula>0.48</formula>
      <formula>0.5</formula>
    </cfRule>
    <cfRule type="cellIs" dxfId="5212" priority="2372" stopIfTrue="1" operator="between">
      <formula>0</formula>
      <formula>0.255</formula>
    </cfRule>
  </conditionalFormatting>
  <conditionalFormatting sqref="AC304">
    <cfRule type="cellIs" dxfId="5211" priority="2363" operator="between">
      <formula>0.56251</formula>
      <formula>0.7125</formula>
    </cfRule>
    <cfRule type="cellIs" dxfId="5210" priority="2364" operator="between">
      <formula>0.3751</formula>
      <formula>0.5625</formula>
    </cfRule>
    <cfRule type="cellIs" dxfId="5209" priority="2365" operator="greaterThan">
      <formula>0.751</formula>
    </cfRule>
    <cfRule type="cellIs" dxfId="5208" priority="2366" operator="between">
      <formula>0.71251</formula>
      <formula>0.75</formula>
    </cfRule>
    <cfRule type="cellIs" dxfId="5207" priority="2367" stopIfTrue="1" operator="between">
      <formula>0</formula>
      <formula>0.375</formula>
    </cfRule>
  </conditionalFormatting>
  <conditionalFormatting sqref="AG304">
    <cfRule type="cellIs" dxfId="5206" priority="2358" operator="between">
      <formula>0.76</formula>
      <formula>0.95</formula>
    </cfRule>
    <cfRule type="cellIs" dxfId="5205" priority="2359" operator="between">
      <formula>0.51</formula>
      <formula>0.75</formula>
    </cfRule>
    <cfRule type="cellIs" dxfId="5204" priority="2360" operator="greaterThan">
      <formula>1</formula>
    </cfRule>
    <cfRule type="cellIs" dxfId="5203" priority="2361" operator="between">
      <formula>0.95</formula>
      <formula>1</formula>
    </cfRule>
    <cfRule type="cellIs" dxfId="5202" priority="2362" stopIfTrue="1" operator="between">
      <formula>0</formula>
      <formula>0.5</formula>
    </cfRule>
  </conditionalFormatting>
  <conditionalFormatting sqref="Z304">
    <cfRule type="cellIs" dxfId="5201" priority="2353" operator="between">
      <formula>0.76</formula>
      <formula>0.95</formula>
    </cfRule>
    <cfRule type="cellIs" dxfId="5200" priority="2354" operator="between">
      <formula>0.51</formula>
      <formula>0.75</formula>
    </cfRule>
    <cfRule type="cellIs" dxfId="5199" priority="2355" operator="greaterThan">
      <formula>1</formula>
    </cfRule>
    <cfRule type="cellIs" dxfId="5198" priority="2356" operator="between">
      <formula>0.95</formula>
      <formula>1</formula>
    </cfRule>
    <cfRule type="cellIs" dxfId="5197" priority="2357" stopIfTrue="1" operator="between">
      <formula>0</formula>
      <formula>0.5</formula>
    </cfRule>
  </conditionalFormatting>
  <conditionalFormatting sqref="AG134:AG135 AI134:AI135 S134:S135 Z134:Z135 L135">
    <cfRule type="cellIs" dxfId="5196" priority="2348" operator="between">
      <formula>0.76</formula>
      <formula>0.95</formula>
    </cfRule>
    <cfRule type="cellIs" dxfId="5195" priority="2349" operator="between">
      <formula>0.51</formula>
      <formula>0.75</formula>
    </cfRule>
    <cfRule type="cellIs" dxfId="5194" priority="2350" operator="greaterThan">
      <formula>1</formula>
    </cfRule>
    <cfRule type="cellIs" dxfId="5193" priority="2351" operator="between">
      <formula>0.96</formula>
      <formula>1</formula>
    </cfRule>
    <cfRule type="cellIs" dxfId="5192" priority="2352" stopIfTrue="1" operator="between">
      <formula>0</formula>
      <formula>0.5</formula>
    </cfRule>
  </conditionalFormatting>
  <conditionalFormatting sqref="R135">
    <cfRule type="cellIs" dxfId="5191" priority="2338" operator="between">
      <formula>0.76</formula>
      <formula>0.95</formula>
    </cfRule>
    <cfRule type="cellIs" dxfId="5190" priority="2339" operator="between">
      <formula>0.51</formula>
      <formula>0.75</formula>
    </cfRule>
    <cfRule type="cellIs" dxfId="5189" priority="2340" operator="greaterThan">
      <formula>1</formula>
    </cfRule>
    <cfRule type="cellIs" dxfId="5188" priority="2341" operator="between">
      <formula>0.95</formula>
      <formula>1</formula>
    </cfRule>
    <cfRule type="cellIs" dxfId="5187" priority="2342" stopIfTrue="1" operator="between">
      <formula>0</formula>
      <formula>0.5</formula>
    </cfRule>
  </conditionalFormatting>
  <conditionalFormatting sqref="Y135">
    <cfRule type="cellIs" dxfId="5186" priority="2333" operator="between">
      <formula>0.76</formula>
      <formula>0.95</formula>
    </cfRule>
    <cfRule type="cellIs" dxfId="5185" priority="2334" operator="between">
      <formula>0.51</formula>
      <formula>0.75</formula>
    </cfRule>
    <cfRule type="cellIs" dxfId="5184" priority="2335" operator="greaterThan">
      <formula>1</formula>
    </cfRule>
    <cfRule type="cellIs" dxfId="5183" priority="2336" operator="between">
      <formula>0.95</formula>
      <formula>1</formula>
    </cfRule>
    <cfRule type="cellIs" dxfId="5182" priority="2337" stopIfTrue="1" operator="between">
      <formula>0</formula>
      <formula>0.5</formula>
    </cfRule>
  </conditionalFormatting>
  <conditionalFormatting sqref="AF135">
    <cfRule type="cellIs" dxfId="5181" priority="2328" operator="between">
      <formula>0.76</formula>
      <formula>0.95</formula>
    </cfRule>
    <cfRule type="cellIs" dxfId="5180" priority="2329" operator="between">
      <formula>0.51</formula>
      <formula>0.75</formula>
    </cfRule>
    <cfRule type="cellIs" dxfId="5179" priority="2330" operator="greaterThan">
      <formula>1</formula>
    </cfRule>
    <cfRule type="cellIs" dxfId="5178" priority="2331" operator="between">
      <formula>0.95</formula>
      <formula>1</formula>
    </cfRule>
    <cfRule type="cellIs" dxfId="5177" priority="2332" stopIfTrue="1" operator="between">
      <formula>0</formula>
      <formula>0.5</formula>
    </cfRule>
  </conditionalFormatting>
  <conditionalFormatting sqref="AH134:AH135">
    <cfRule type="cellIs" dxfId="5176" priority="2323" operator="between">
      <formula>0.76</formula>
      <formula>0.95</formula>
    </cfRule>
    <cfRule type="cellIs" dxfId="5175" priority="2324" operator="between">
      <formula>0.51</formula>
      <formula>0.75</formula>
    </cfRule>
    <cfRule type="cellIs" dxfId="5174" priority="2325" operator="greaterThan">
      <formula>1</formula>
    </cfRule>
    <cfRule type="cellIs" dxfId="5173" priority="2326" operator="between">
      <formula>0.95</formula>
      <formula>1</formula>
    </cfRule>
    <cfRule type="cellIs" dxfId="5172" priority="2327" stopIfTrue="1" operator="between">
      <formula>0</formula>
      <formula>0.5</formula>
    </cfRule>
  </conditionalFormatting>
  <conditionalFormatting sqref="O135">
    <cfRule type="cellIs" dxfId="5171" priority="2318" operator="between">
      <formula>0.1876</formula>
      <formula>0.2375</formula>
    </cfRule>
    <cfRule type="cellIs" dxfId="5170" priority="2319" operator="between">
      <formula>0.1251</formula>
      <formula>0.1875</formula>
    </cfRule>
    <cfRule type="cellIs" dxfId="5169" priority="2320" operator="greaterThan">
      <formula>0.25</formula>
    </cfRule>
    <cfRule type="cellIs" dxfId="5168" priority="2321" operator="between">
      <formula>0.2375</formula>
      <formula>0.25</formula>
    </cfRule>
    <cfRule type="cellIs" dxfId="5167" priority="2322" stopIfTrue="1" operator="between">
      <formula>0</formula>
      <formula>0.125</formula>
    </cfRule>
  </conditionalFormatting>
  <conditionalFormatting sqref="T134:T135">
    <cfRule type="cellIs" dxfId="5166" priority="2308" operator="between">
      <formula>0.3751</formula>
      <formula>0.475</formula>
    </cfRule>
    <cfRule type="cellIs" dxfId="5165" priority="2309" operator="between">
      <formula>0.2551</formula>
      <formula>0.375</formula>
    </cfRule>
    <cfRule type="cellIs" dxfId="5164" priority="2310" operator="greaterThan">
      <formula>0.505</formula>
    </cfRule>
    <cfRule type="cellIs" dxfId="5163" priority="2311" operator="between">
      <formula>0.48</formula>
      <formula>0.5</formula>
    </cfRule>
    <cfRule type="cellIs" dxfId="5162" priority="2312" stopIfTrue="1" operator="between">
      <formula>0</formula>
      <formula>0.255</formula>
    </cfRule>
  </conditionalFormatting>
  <conditionalFormatting sqref="U134:V135">
    <cfRule type="cellIs" dxfId="5161" priority="2303" operator="between">
      <formula>0.376</formula>
      <formula>0.475</formula>
    </cfRule>
    <cfRule type="cellIs" dxfId="5160" priority="2304" operator="between">
      <formula>0.2551</formula>
      <formula>0.3751</formula>
    </cfRule>
    <cfRule type="cellIs" dxfId="5159" priority="2305" operator="greaterThan">
      <formula>0.505</formula>
    </cfRule>
    <cfRule type="cellIs" dxfId="5158" priority="2306" operator="between">
      <formula>0.48</formula>
      <formula>0.5</formula>
    </cfRule>
    <cfRule type="cellIs" dxfId="5157" priority="2307" stopIfTrue="1" operator="between">
      <formula>0</formula>
      <formula>0.255</formula>
    </cfRule>
  </conditionalFormatting>
  <conditionalFormatting sqref="AB134:AB135">
    <cfRule type="cellIs" dxfId="5156" priority="2288" operator="between">
      <formula>0.56251</formula>
      <formula>0.7125</formula>
    </cfRule>
    <cfRule type="cellIs" dxfId="5155" priority="2289" operator="between">
      <formula>0.3751</formula>
      <formula>0.5625</formula>
    </cfRule>
    <cfRule type="cellIs" dxfId="5154" priority="2290" operator="greaterThan">
      <formula>0.751</formula>
    </cfRule>
    <cfRule type="cellIs" dxfId="5153" priority="2291" operator="between">
      <formula>0.71251</formula>
      <formula>0.75</formula>
    </cfRule>
    <cfRule type="cellIs" dxfId="5152" priority="2292" stopIfTrue="1" operator="between">
      <formula>0</formula>
      <formula>0.375</formula>
    </cfRule>
  </conditionalFormatting>
  <conditionalFormatting sqref="AA134:AA135">
    <cfRule type="cellIs" dxfId="5151" priority="2298" operator="between">
      <formula>0.56251</formula>
      <formula>0.7125</formula>
    </cfRule>
    <cfRule type="cellIs" dxfId="5150" priority="2299" operator="between">
      <formula>0.3751</formula>
      <formula>0.5625</formula>
    </cfRule>
    <cfRule type="cellIs" dxfId="5149" priority="2300" operator="greaterThan">
      <formula>0.751</formula>
    </cfRule>
    <cfRule type="cellIs" dxfId="5148" priority="2301" operator="between">
      <formula>0.71251</formula>
      <formula>0.75</formula>
    </cfRule>
    <cfRule type="cellIs" dxfId="5147" priority="2302" stopIfTrue="1" operator="between">
      <formula>0</formula>
      <formula>0.375</formula>
    </cfRule>
  </conditionalFormatting>
  <conditionalFormatting sqref="AC134:AC135">
    <cfRule type="cellIs" dxfId="5146" priority="2293" operator="between">
      <formula>0.56251</formula>
      <formula>0.7125</formula>
    </cfRule>
    <cfRule type="cellIs" dxfId="5145" priority="2294" operator="between">
      <formula>0.3751</formula>
      <formula>0.5625</formula>
    </cfRule>
    <cfRule type="cellIs" dxfId="5144" priority="2295" operator="greaterThan">
      <formula>0.751</formula>
    </cfRule>
    <cfRule type="cellIs" dxfId="5143" priority="2296" operator="between">
      <formula>0.71251</formula>
      <formula>0.75</formula>
    </cfRule>
    <cfRule type="cellIs" dxfId="5142" priority="2297" stopIfTrue="1" operator="between">
      <formula>0</formula>
      <formula>0.375</formula>
    </cfRule>
  </conditionalFormatting>
  <conditionalFormatting sqref="K135">
    <cfRule type="cellIs" dxfId="5141" priority="2271" operator="between">
      <formula>0.76</formula>
      <formula>0.95</formula>
    </cfRule>
    <cfRule type="cellIs" dxfId="5140" priority="2272" operator="between">
      <formula>0.51</formula>
      <formula>0.75</formula>
    </cfRule>
    <cfRule type="cellIs" dxfId="5139" priority="2273" operator="greaterThan">
      <formula>1</formula>
    </cfRule>
    <cfRule type="cellIs" dxfId="5138" priority="2274" operator="between">
      <formula>0.95</formula>
      <formula>1</formula>
    </cfRule>
    <cfRule type="cellIs" dxfId="5137" priority="2275" stopIfTrue="1" operator="between">
      <formula>0</formula>
      <formula>0.5</formula>
    </cfRule>
  </conditionalFormatting>
  <conditionalFormatting sqref="M135">
    <cfRule type="cellIs" dxfId="5136" priority="2266" operator="between">
      <formula>0.76</formula>
      <formula>0.95</formula>
    </cfRule>
    <cfRule type="cellIs" dxfId="5135" priority="2267" operator="between">
      <formula>0.51</formula>
      <formula>0.75</formula>
    </cfRule>
    <cfRule type="cellIs" dxfId="5134" priority="2268" operator="greaterThan">
      <formula>1</formula>
    </cfRule>
    <cfRule type="cellIs" dxfId="5133" priority="2269" operator="between">
      <formula>0.96</formula>
      <formula>1</formula>
    </cfRule>
    <cfRule type="cellIs" dxfId="5132" priority="2270" stopIfTrue="1" operator="between">
      <formula>0</formula>
      <formula>0.5</formula>
    </cfRule>
  </conditionalFormatting>
  <conditionalFormatting sqref="N135">
    <cfRule type="cellIs" dxfId="5131" priority="2261" operator="between">
      <formula>0.76</formula>
      <formula>0.95</formula>
    </cfRule>
    <cfRule type="cellIs" dxfId="5130" priority="2262" operator="between">
      <formula>0.51</formula>
      <formula>0.75</formula>
    </cfRule>
    <cfRule type="cellIs" dxfId="5129" priority="2263" operator="greaterThan">
      <formula>1</formula>
    </cfRule>
    <cfRule type="cellIs" dxfId="5128" priority="2264" operator="between">
      <formula>0.96</formula>
      <formula>1</formula>
    </cfRule>
    <cfRule type="cellIs" dxfId="5127" priority="2265" stopIfTrue="1" operator="between">
      <formula>0</formula>
      <formula>0.5</formula>
    </cfRule>
  </conditionalFormatting>
  <conditionalFormatting sqref="M136:N137">
    <cfRule type="cellIs" dxfId="5126" priority="2256" operator="between">
      <formula>0.76</formula>
      <formula>0.95</formula>
    </cfRule>
    <cfRule type="cellIs" dxfId="5125" priority="2257" operator="between">
      <formula>0.51</formula>
      <formula>0.75</formula>
    </cfRule>
    <cfRule type="cellIs" dxfId="5124" priority="2258" operator="greaterThan">
      <formula>1</formula>
    </cfRule>
    <cfRule type="cellIs" dxfId="5123" priority="2259" operator="between">
      <formula>0.96</formula>
      <formula>1</formula>
    </cfRule>
    <cfRule type="cellIs" dxfId="5122" priority="2260" stopIfTrue="1" operator="between">
      <formula>0</formula>
      <formula>0.5</formula>
    </cfRule>
  </conditionalFormatting>
  <conditionalFormatting sqref="K136:K137">
    <cfRule type="cellIs" dxfId="5121" priority="2251" operator="between">
      <formula>0.76</formula>
      <formula>0.95</formula>
    </cfRule>
    <cfRule type="cellIs" dxfId="5120" priority="2252" operator="between">
      <formula>0.51</formula>
      <formula>0.75</formula>
    </cfRule>
    <cfRule type="cellIs" dxfId="5119" priority="2253" operator="greaterThan">
      <formula>1</formula>
    </cfRule>
    <cfRule type="cellIs" dxfId="5118" priority="2254" operator="between">
      <formula>0.95</formula>
      <formula>1</formula>
    </cfRule>
    <cfRule type="cellIs" dxfId="5117" priority="2255" stopIfTrue="1" operator="between">
      <formula>0</formula>
      <formula>0.5</formula>
    </cfRule>
  </conditionalFormatting>
  <conditionalFormatting sqref="R134">
    <cfRule type="cellIs" dxfId="5116" priority="2246" operator="between">
      <formula>0.76</formula>
      <formula>0.95</formula>
    </cfRule>
    <cfRule type="cellIs" dxfId="5115" priority="2247" operator="between">
      <formula>0.51</formula>
      <formula>0.75</formula>
    </cfRule>
    <cfRule type="cellIs" dxfId="5114" priority="2248" operator="greaterThan">
      <formula>1</formula>
    </cfRule>
    <cfRule type="cellIs" dxfId="5113" priority="2249" operator="between">
      <formula>0.95</formula>
      <formula>1</formula>
    </cfRule>
    <cfRule type="cellIs" dxfId="5112" priority="2250" stopIfTrue="1" operator="between">
      <formula>0</formula>
      <formula>0.5</formula>
    </cfRule>
  </conditionalFormatting>
  <conditionalFormatting sqref="Y134">
    <cfRule type="cellIs" dxfId="5111" priority="2241" operator="between">
      <formula>0.76</formula>
      <formula>0.95</formula>
    </cfRule>
    <cfRule type="cellIs" dxfId="5110" priority="2242" operator="between">
      <formula>0.51</formula>
      <formula>0.75</formula>
    </cfRule>
    <cfRule type="cellIs" dxfId="5109" priority="2243" operator="greaterThan">
      <formula>1</formula>
    </cfRule>
    <cfRule type="cellIs" dxfId="5108" priority="2244" operator="between">
      <formula>0.95</formula>
      <formula>1</formula>
    </cfRule>
    <cfRule type="cellIs" dxfId="5107" priority="2245" stopIfTrue="1" operator="between">
      <formula>0</formula>
      <formula>0.5</formula>
    </cfRule>
  </conditionalFormatting>
  <conditionalFormatting sqref="AF134">
    <cfRule type="cellIs" dxfId="5106" priority="2236" operator="between">
      <formula>0.76</formula>
      <formula>0.95</formula>
    </cfRule>
    <cfRule type="cellIs" dxfId="5105" priority="2237" operator="between">
      <formula>0.51</formula>
      <formula>0.75</formula>
    </cfRule>
    <cfRule type="cellIs" dxfId="5104" priority="2238" operator="greaterThan">
      <formula>1</formula>
    </cfRule>
    <cfRule type="cellIs" dxfId="5103" priority="2239" operator="between">
      <formula>0.95</formula>
      <formula>1</formula>
    </cfRule>
    <cfRule type="cellIs" dxfId="5102" priority="2240" stopIfTrue="1" operator="between">
      <formula>0</formula>
      <formula>0.5</formula>
    </cfRule>
  </conditionalFormatting>
  <conditionalFormatting sqref="N55">
    <cfRule type="cellIs" dxfId="5101" priority="2171" operator="between">
      <formula>0.1876</formula>
      <formula>0.2375</formula>
    </cfRule>
    <cfRule type="cellIs" dxfId="5100" priority="2172" operator="between">
      <formula>0.1251</formula>
      <formula>0.1875</formula>
    </cfRule>
    <cfRule type="cellIs" dxfId="5099" priority="2173" operator="greaterThan">
      <formula>0.25</formula>
    </cfRule>
    <cfRule type="cellIs" dxfId="5098" priority="2174" operator="between">
      <formula>0.2376</formula>
      <formula>0.25</formula>
    </cfRule>
    <cfRule type="cellIs" dxfId="5097" priority="2175" stopIfTrue="1" operator="between">
      <formula>0</formula>
      <formula>0.125</formula>
    </cfRule>
  </conditionalFormatting>
  <conditionalFormatting sqref="O55">
    <cfRule type="cellIs" dxfId="5096" priority="2166" operator="between">
      <formula>0.1876</formula>
      <formula>0.2375</formula>
    </cfRule>
    <cfRule type="cellIs" dxfId="5095" priority="2167" operator="between">
      <formula>0.1251</formula>
      <formula>0.1875</formula>
    </cfRule>
    <cfRule type="cellIs" dxfId="5094" priority="2168" operator="greaterThan">
      <formula>0.25</formula>
    </cfRule>
    <cfRule type="cellIs" dxfId="5093" priority="2169" operator="between">
      <formula>0.2376</formula>
      <formula>0.25</formula>
    </cfRule>
    <cfRule type="cellIs" dxfId="5092" priority="2170" stopIfTrue="1" operator="between">
      <formula>0</formula>
      <formula>0.125</formula>
    </cfRule>
  </conditionalFormatting>
  <conditionalFormatting sqref="M55">
    <cfRule type="cellIs" dxfId="5091" priority="2161" operator="between">
      <formula>0.1876</formula>
      <formula>0.2375</formula>
    </cfRule>
    <cfRule type="cellIs" dxfId="5090" priority="2162" operator="between">
      <formula>0.1251</formula>
      <formula>0.1875</formula>
    </cfRule>
    <cfRule type="cellIs" dxfId="5089" priority="2163" operator="greaterThan">
      <formula>0.25</formula>
    </cfRule>
    <cfRule type="cellIs" dxfId="5088" priority="2164" operator="between">
      <formula>0.2375</formula>
      <formula>0.25</formula>
    </cfRule>
    <cfRule type="cellIs" dxfId="5087" priority="2165" stopIfTrue="1" operator="between">
      <formula>0</formula>
      <formula>0.125</formula>
    </cfRule>
  </conditionalFormatting>
  <conditionalFormatting sqref="K55">
    <cfRule type="cellIs" dxfId="5086" priority="2156" operator="between">
      <formula>0.76</formula>
      <formula>0.95</formula>
    </cfRule>
    <cfRule type="cellIs" dxfId="5085" priority="2157" operator="between">
      <formula>0.51</formula>
      <formula>0.75</formula>
    </cfRule>
    <cfRule type="cellIs" dxfId="5084" priority="2158" operator="greaterThan">
      <formula>1</formula>
    </cfRule>
    <cfRule type="cellIs" dxfId="5083" priority="2159" operator="between">
      <formula>0.96</formula>
      <formula>1</formula>
    </cfRule>
    <cfRule type="cellIs" dxfId="5082" priority="2160" stopIfTrue="1" operator="between">
      <formula>0</formula>
      <formula>0.5</formula>
    </cfRule>
  </conditionalFormatting>
  <conditionalFormatting sqref="L55">
    <cfRule type="cellIs" dxfId="5081" priority="2151" operator="between">
      <formula>0.76</formula>
      <formula>0.95</formula>
    </cfRule>
    <cfRule type="cellIs" dxfId="5080" priority="2152" operator="between">
      <formula>0.51</formula>
      <formula>0.75</formula>
    </cfRule>
    <cfRule type="cellIs" dxfId="5079" priority="2153" operator="greaterThan">
      <formula>1</formula>
    </cfRule>
    <cfRule type="cellIs" dxfId="5078" priority="2154" operator="between">
      <formula>0.96</formula>
      <formula>1</formula>
    </cfRule>
    <cfRule type="cellIs" dxfId="5077" priority="2155" stopIfTrue="1" operator="between">
      <formula>0</formula>
      <formula>0.5</formula>
    </cfRule>
  </conditionalFormatting>
  <conditionalFormatting sqref="L232">
    <cfRule type="cellIs" dxfId="5076" priority="2131" operator="between">
      <formula>0.76</formula>
      <formula>0.95</formula>
    </cfRule>
    <cfRule type="cellIs" dxfId="5075" priority="2132" operator="between">
      <formula>0.51</formula>
      <formula>0.75</formula>
    </cfRule>
    <cfRule type="cellIs" dxfId="5074" priority="2133" operator="greaterThan">
      <formula>1</formula>
    </cfRule>
    <cfRule type="cellIs" dxfId="5073" priority="2134" operator="between">
      <formula>0.96</formula>
      <formula>1</formula>
    </cfRule>
    <cfRule type="cellIs" dxfId="5072" priority="2135" stopIfTrue="1" operator="between">
      <formula>0</formula>
      <formula>0.5</formula>
    </cfRule>
  </conditionalFormatting>
  <conditionalFormatting sqref="O232">
    <cfRule type="cellIs" dxfId="5071" priority="2126" operator="between">
      <formula>0.1876</formula>
      <formula>0.2375</formula>
    </cfRule>
    <cfRule type="cellIs" dxfId="5070" priority="2127" operator="between">
      <formula>0.1251</formula>
      <formula>0.1875</formula>
    </cfRule>
    <cfRule type="cellIs" dxfId="5069" priority="2128" operator="greaterThan">
      <formula>0.25</formula>
    </cfRule>
    <cfRule type="cellIs" dxfId="5068" priority="2129" operator="between">
      <formula>0.2375</formula>
      <formula>0.25</formula>
    </cfRule>
    <cfRule type="cellIs" dxfId="5067" priority="2130" stopIfTrue="1" operator="between">
      <formula>0</formula>
      <formula>0.125</formula>
    </cfRule>
  </conditionalFormatting>
  <conditionalFormatting sqref="M232:N232">
    <cfRule type="cellIs" dxfId="5066" priority="2121" operator="between">
      <formula>0.1876</formula>
      <formula>0.2375</formula>
    </cfRule>
    <cfRule type="cellIs" dxfId="5065" priority="2122" operator="between">
      <formula>0.1251</formula>
      <formula>0.1875</formula>
    </cfRule>
    <cfRule type="cellIs" dxfId="5064" priority="2123" operator="greaterThan">
      <formula>0.25</formula>
    </cfRule>
    <cfRule type="cellIs" dxfId="5063" priority="2124" operator="between">
      <formula>0.2376</formula>
      <formula>0.25</formula>
    </cfRule>
    <cfRule type="cellIs" dxfId="5062" priority="2125" stopIfTrue="1" operator="between">
      <formula>0</formula>
      <formula>0.125</formula>
    </cfRule>
  </conditionalFormatting>
  <conditionalFormatting sqref="AF232:AG232 Y232:Z232 R232:S232">
    <cfRule type="cellIs" dxfId="5061" priority="2116" operator="between">
      <formula>0.76</formula>
      <formula>0.95</formula>
    </cfRule>
    <cfRule type="cellIs" dxfId="5060" priority="2117" operator="between">
      <formula>0.51</formula>
      <formula>0.75</formula>
    </cfRule>
    <cfRule type="cellIs" dxfId="5059" priority="2118" operator="greaterThan">
      <formula>1</formula>
    </cfRule>
    <cfRule type="cellIs" dxfId="5058" priority="2119" operator="between">
      <formula>0.95</formula>
      <formula>1</formula>
    </cfRule>
    <cfRule type="cellIs" dxfId="5057" priority="2120" stopIfTrue="1" operator="between">
      <formula>0</formula>
      <formula>0.5</formula>
    </cfRule>
  </conditionalFormatting>
  <conditionalFormatting sqref="AG232">
    <cfRule type="cellIs" dxfId="5056" priority="2096" operator="between">
      <formula>0.76</formula>
      <formula>0.95</formula>
    </cfRule>
    <cfRule type="cellIs" dxfId="5055" priority="2097" operator="between">
      <formula>0.51</formula>
      <formula>0.75</formula>
    </cfRule>
    <cfRule type="cellIs" dxfId="5054" priority="2098" operator="greaterThan">
      <formula>1</formula>
    </cfRule>
    <cfRule type="cellIs" dxfId="5053" priority="2099" operator="between">
      <formula>0.95</formula>
      <formula>1</formula>
    </cfRule>
    <cfRule type="cellIs" dxfId="5052" priority="2100" stopIfTrue="1" operator="between">
      <formula>0</formula>
      <formula>0.5</formula>
    </cfRule>
  </conditionalFormatting>
  <conditionalFormatting sqref="K232:K233">
    <cfRule type="cellIs" dxfId="5051" priority="2079" operator="between">
      <formula>0.76</formula>
      <formula>0.95</formula>
    </cfRule>
    <cfRule type="cellIs" dxfId="5050" priority="2080" operator="between">
      <formula>0.51</formula>
      <formula>0.75</formula>
    </cfRule>
    <cfRule type="cellIs" dxfId="5049" priority="2081" operator="greaterThan">
      <formula>1</formula>
    </cfRule>
    <cfRule type="cellIs" dxfId="5048" priority="2082" operator="between">
      <formula>0.96</formula>
      <formula>1</formula>
    </cfRule>
    <cfRule type="cellIs" dxfId="5047" priority="2083" stopIfTrue="1" operator="between">
      <formula>0</formula>
      <formula>0.5</formula>
    </cfRule>
  </conditionalFormatting>
  <conditionalFormatting sqref="R55">
    <cfRule type="cellIs" dxfId="5046" priority="2074" operator="between">
      <formula>0.76</formula>
      <formula>0.95</formula>
    </cfRule>
    <cfRule type="cellIs" dxfId="5045" priority="2075" operator="between">
      <formula>0.51</formula>
      <formula>0.75</formula>
    </cfRule>
    <cfRule type="cellIs" dxfId="5044" priority="2076" operator="greaterThan">
      <formula>1</formula>
    </cfRule>
    <cfRule type="cellIs" dxfId="5043" priority="2077" operator="between">
      <formula>0.95</formula>
      <formula>1</formula>
    </cfRule>
    <cfRule type="cellIs" dxfId="5042" priority="2078" stopIfTrue="1" operator="between">
      <formula>0</formula>
      <formula>0.5</formula>
    </cfRule>
  </conditionalFormatting>
  <conditionalFormatting sqref="T55">
    <cfRule type="cellIs" dxfId="5041" priority="2069" operator="between">
      <formula>0.3751</formula>
      <formula>0.475</formula>
    </cfRule>
    <cfRule type="cellIs" dxfId="5040" priority="2070" operator="between">
      <formula>0.2551</formula>
      <formula>0.375</formula>
    </cfRule>
    <cfRule type="cellIs" dxfId="5039" priority="2071" operator="greaterThan">
      <formula>0.505</formula>
    </cfRule>
    <cfRule type="cellIs" dxfId="5038" priority="2072" operator="between">
      <formula>0.48</formula>
      <formula>0.5</formula>
    </cfRule>
    <cfRule type="cellIs" dxfId="5037" priority="2073" stopIfTrue="1" operator="between">
      <formula>0</formula>
      <formula>0.255</formula>
    </cfRule>
  </conditionalFormatting>
  <conditionalFormatting sqref="U55">
    <cfRule type="cellIs" dxfId="5036" priority="2064" operator="between">
      <formula>0.376</formula>
      <formula>0.475</formula>
    </cfRule>
    <cfRule type="cellIs" dxfId="5035" priority="2065" operator="between">
      <formula>0.2551</formula>
      <formula>0.3751</formula>
    </cfRule>
    <cfRule type="cellIs" dxfId="5034" priority="2066" operator="greaterThan">
      <formula>0.505</formula>
    </cfRule>
    <cfRule type="cellIs" dxfId="5033" priority="2067" operator="between">
      <formula>0.48</formula>
      <formula>0.5</formula>
    </cfRule>
    <cfRule type="cellIs" dxfId="5032" priority="2068" stopIfTrue="1" operator="between">
      <formula>0</formula>
      <formula>0.255</formula>
    </cfRule>
  </conditionalFormatting>
  <conditionalFormatting sqref="S55">
    <cfRule type="cellIs" dxfId="5031" priority="2059" operator="between">
      <formula>0.76</formula>
      <formula>0.95</formula>
    </cfRule>
    <cfRule type="cellIs" dxfId="5030" priority="2060" operator="between">
      <formula>0.51</formula>
      <formula>0.75</formula>
    </cfRule>
    <cfRule type="cellIs" dxfId="5029" priority="2061" operator="greaterThan">
      <formula>1</formula>
    </cfRule>
    <cfRule type="cellIs" dxfId="5028" priority="2062" operator="between">
      <formula>0.95</formula>
      <formula>1</formula>
    </cfRule>
    <cfRule type="cellIs" dxfId="5027" priority="2063" stopIfTrue="1" operator="between">
      <formula>0</formula>
      <formula>0.5</formula>
    </cfRule>
  </conditionalFormatting>
  <conditionalFormatting sqref="V55">
    <cfRule type="cellIs" dxfId="5026" priority="2054" operator="between">
      <formula>0.376</formula>
      <formula>0.475</formula>
    </cfRule>
    <cfRule type="cellIs" dxfId="5025" priority="2055" operator="between">
      <formula>0.2551</formula>
      <formula>0.3751</formula>
    </cfRule>
    <cfRule type="cellIs" dxfId="5024" priority="2056" operator="greaterThan">
      <formula>0.505</formula>
    </cfRule>
    <cfRule type="cellIs" dxfId="5023" priority="2057" operator="between">
      <formula>0.48</formula>
      <formula>0.5</formula>
    </cfRule>
    <cfRule type="cellIs" dxfId="5022" priority="2058" stopIfTrue="1" operator="between">
      <formula>0</formula>
      <formula>0.255</formula>
    </cfRule>
  </conditionalFormatting>
  <conditionalFormatting sqref="Y55:Z55 AF55:AI55">
    <cfRule type="cellIs" dxfId="5021" priority="2049" operator="between">
      <formula>0.76</formula>
      <formula>0.95</formula>
    </cfRule>
    <cfRule type="cellIs" dxfId="5020" priority="2050" operator="between">
      <formula>0.51</formula>
      <formula>0.75</formula>
    </cfRule>
    <cfRule type="cellIs" dxfId="5019" priority="2051" operator="greaterThan">
      <formula>1</formula>
    </cfRule>
    <cfRule type="cellIs" dxfId="5018" priority="2052" operator="between">
      <formula>0.95</formula>
      <formula>1</formula>
    </cfRule>
    <cfRule type="cellIs" dxfId="5017" priority="2053" stopIfTrue="1" operator="between">
      <formula>0</formula>
      <formula>0.5</formula>
    </cfRule>
  </conditionalFormatting>
  <conditionalFormatting sqref="AA55:AC55">
    <cfRule type="cellIs" dxfId="5016" priority="2044" operator="between">
      <formula>0.56251</formula>
      <formula>0.7125</formula>
    </cfRule>
    <cfRule type="cellIs" dxfId="5015" priority="2045" operator="between">
      <formula>0.3751</formula>
      <formula>0.5625</formula>
    </cfRule>
    <cfRule type="cellIs" dxfId="5014" priority="2046" operator="greaterThan">
      <formula>0.751</formula>
    </cfRule>
    <cfRule type="cellIs" dxfId="5013" priority="2047" operator="between">
      <formula>0.71251</formula>
      <formula>0.75</formula>
    </cfRule>
    <cfRule type="cellIs" dxfId="5012" priority="2048" stopIfTrue="1" operator="between">
      <formula>0</formula>
      <formula>0.375</formula>
    </cfRule>
  </conditionalFormatting>
  <conditionalFormatting sqref="T29">
    <cfRule type="cellIs" dxfId="5011" priority="2026" operator="between">
      <formula>0.3751</formula>
      <formula>0.475</formula>
    </cfRule>
    <cfRule type="cellIs" dxfId="5010" priority="2027" operator="between">
      <formula>0.2551</formula>
      <formula>0.375</formula>
    </cfRule>
    <cfRule type="cellIs" dxfId="5009" priority="2028" operator="greaterThan">
      <formula>0.505</formula>
    </cfRule>
    <cfRule type="cellIs" dxfId="5008" priority="2029" operator="between">
      <formula>0.48</formula>
      <formula>0.5</formula>
    </cfRule>
    <cfRule type="cellIs" dxfId="5007" priority="2030" stopIfTrue="1" operator="between">
      <formula>0</formula>
      <formula>0.255</formula>
    </cfRule>
  </conditionalFormatting>
  <conditionalFormatting sqref="U29">
    <cfRule type="cellIs" dxfId="5006" priority="2021" operator="between">
      <formula>0.376</formula>
      <formula>0.475</formula>
    </cfRule>
    <cfRule type="cellIs" dxfId="5005" priority="2022" operator="between">
      <formula>0.2551</formula>
      <formula>0.3751</formula>
    </cfRule>
    <cfRule type="cellIs" dxfId="5004" priority="2023" operator="greaterThan">
      <formula>0.505</formula>
    </cfRule>
    <cfRule type="cellIs" dxfId="5003" priority="2024" operator="between">
      <formula>0.48</formula>
      <formula>0.5</formula>
    </cfRule>
    <cfRule type="cellIs" dxfId="5002" priority="2025" stopIfTrue="1" operator="between">
      <formula>0</formula>
      <formula>0.255</formula>
    </cfRule>
  </conditionalFormatting>
  <conditionalFormatting sqref="V29">
    <cfRule type="cellIs" dxfId="5001" priority="2016" operator="between">
      <formula>0.376</formula>
      <formula>0.475</formula>
    </cfRule>
    <cfRule type="cellIs" dxfId="5000" priority="2017" operator="between">
      <formula>0.2551</formula>
      <formula>0.3751</formula>
    </cfRule>
    <cfRule type="cellIs" dxfId="4999" priority="2018" operator="greaterThan">
      <formula>0.505</formula>
    </cfRule>
    <cfRule type="cellIs" dxfId="4998" priority="2019" operator="between">
      <formula>0.48</formula>
      <formula>0.5</formula>
    </cfRule>
    <cfRule type="cellIs" dxfId="4997" priority="2020" stopIfTrue="1" operator="between">
      <formula>0</formula>
      <formula>0.255</formula>
    </cfRule>
  </conditionalFormatting>
  <conditionalFormatting sqref="AA29:AB29">
    <cfRule type="cellIs" dxfId="4996" priority="2011" operator="between">
      <formula>0.56251</formula>
      <formula>0.7125</formula>
    </cfRule>
    <cfRule type="cellIs" dxfId="4995" priority="2012" operator="between">
      <formula>0.3751</formula>
      <formula>0.5625</formula>
    </cfRule>
    <cfRule type="cellIs" dxfId="4994" priority="2013" operator="greaterThan">
      <formula>0.751</formula>
    </cfRule>
    <cfRule type="cellIs" dxfId="4993" priority="2014" operator="between">
      <formula>0.71251</formula>
      <formula>0.75</formula>
    </cfRule>
    <cfRule type="cellIs" dxfId="4992" priority="2015" stopIfTrue="1" operator="between">
      <formula>0</formula>
      <formula>0.375</formula>
    </cfRule>
  </conditionalFormatting>
  <conditionalFormatting sqref="AC29">
    <cfRule type="cellIs" dxfId="4991" priority="2006" operator="between">
      <formula>0.56251</formula>
      <formula>0.7125</formula>
    </cfRule>
    <cfRule type="cellIs" dxfId="4990" priority="2007" operator="between">
      <formula>0.3751</formula>
      <formula>0.5625</formula>
    </cfRule>
    <cfRule type="cellIs" dxfId="4989" priority="2008" operator="greaterThan">
      <formula>0.751</formula>
    </cfRule>
    <cfRule type="cellIs" dxfId="4988" priority="2009" operator="between">
      <formula>0.71251</formula>
      <formula>0.75</formula>
    </cfRule>
    <cfRule type="cellIs" dxfId="4987" priority="2010" stopIfTrue="1" operator="between">
      <formula>0</formula>
      <formula>0.375</formula>
    </cfRule>
  </conditionalFormatting>
  <conditionalFormatting sqref="AH29:AI29">
    <cfRule type="cellIs" dxfId="4986" priority="2001" operator="between">
      <formula>0.76</formula>
      <formula>0.95</formula>
    </cfRule>
    <cfRule type="cellIs" dxfId="4985" priority="2002" operator="between">
      <formula>0.51</formula>
      <formula>0.75</formula>
    </cfRule>
    <cfRule type="cellIs" dxfId="4984" priority="2003" operator="greaterThan">
      <formula>1</formula>
    </cfRule>
    <cfRule type="cellIs" dxfId="4983" priority="2004" operator="between">
      <formula>0.95</formula>
      <formula>1</formula>
    </cfRule>
    <cfRule type="cellIs" dxfId="4982" priority="2005" stopIfTrue="1" operator="between">
      <formula>0</formula>
      <formula>0.5</formula>
    </cfRule>
  </conditionalFormatting>
  <conditionalFormatting sqref="T53">
    <cfRule type="cellIs" dxfId="4981" priority="1996" operator="between">
      <formula>0.3751</formula>
      <formula>0.475</formula>
    </cfRule>
    <cfRule type="cellIs" dxfId="4980" priority="1997" operator="between">
      <formula>0.2551</formula>
      <formula>0.375</formula>
    </cfRule>
    <cfRule type="cellIs" dxfId="4979" priority="1998" operator="greaterThan">
      <formula>0.505</formula>
    </cfRule>
    <cfRule type="cellIs" dxfId="4978" priority="1999" operator="between">
      <formula>0.48</formula>
      <formula>0.5</formula>
    </cfRule>
    <cfRule type="cellIs" dxfId="4977" priority="2000" stopIfTrue="1" operator="between">
      <formula>0</formula>
      <formula>0.255</formula>
    </cfRule>
  </conditionalFormatting>
  <conditionalFormatting sqref="U53">
    <cfRule type="cellIs" dxfId="4976" priority="1991" operator="between">
      <formula>0.376</formula>
      <formula>0.475</formula>
    </cfRule>
    <cfRule type="cellIs" dxfId="4975" priority="1992" operator="between">
      <formula>0.2551</formula>
      <formula>0.3751</formula>
    </cfRule>
    <cfRule type="cellIs" dxfId="4974" priority="1993" operator="greaterThan">
      <formula>0.505</formula>
    </cfRule>
    <cfRule type="cellIs" dxfId="4973" priority="1994" operator="between">
      <formula>0.48</formula>
      <formula>0.5</formula>
    </cfRule>
    <cfRule type="cellIs" dxfId="4972" priority="1995" stopIfTrue="1" operator="between">
      <formula>0</formula>
      <formula>0.255</formula>
    </cfRule>
  </conditionalFormatting>
  <conditionalFormatting sqref="V53">
    <cfRule type="cellIs" dxfId="4971" priority="1986" operator="between">
      <formula>0.376</formula>
      <formula>0.475</formula>
    </cfRule>
    <cfRule type="cellIs" dxfId="4970" priority="1987" operator="between">
      <formula>0.2551</formula>
      <formula>0.3751</formula>
    </cfRule>
    <cfRule type="cellIs" dxfId="4969" priority="1988" operator="greaterThan">
      <formula>0.505</formula>
    </cfRule>
    <cfRule type="cellIs" dxfId="4968" priority="1989" operator="between">
      <formula>0.48</formula>
      <formula>0.5</formula>
    </cfRule>
    <cfRule type="cellIs" dxfId="4967" priority="1990" stopIfTrue="1" operator="between">
      <formula>0</formula>
      <formula>0.255</formula>
    </cfRule>
  </conditionalFormatting>
  <conditionalFormatting sqref="AA53:AC53">
    <cfRule type="cellIs" dxfId="4966" priority="1981" operator="between">
      <formula>0.56251</formula>
      <formula>0.7125</formula>
    </cfRule>
    <cfRule type="cellIs" dxfId="4965" priority="1982" operator="between">
      <formula>0.3751</formula>
      <formula>0.5625</formula>
    </cfRule>
    <cfRule type="cellIs" dxfId="4964" priority="1983" operator="greaterThan">
      <formula>0.751</formula>
    </cfRule>
    <cfRule type="cellIs" dxfId="4963" priority="1984" operator="between">
      <formula>0.71251</formula>
      <formula>0.75</formula>
    </cfRule>
    <cfRule type="cellIs" dxfId="4962" priority="1985" stopIfTrue="1" operator="between">
      <formula>0</formula>
      <formula>0.375</formula>
    </cfRule>
  </conditionalFormatting>
  <conditionalFormatting sqref="AH53:AI53">
    <cfRule type="cellIs" dxfId="4961" priority="1976" operator="between">
      <formula>0.76</formula>
      <formula>0.95</formula>
    </cfRule>
    <cfRule type="cellIs" dxfId="4960" priority="1977" operator="between">
      <formula>0.51</formula>
      <formula>0.75</formula>
    </cfRule>
    <cfRule type="cellIs" dxfId="4959" priority="1978" operator="greaterThan">
      <formula>1</formula>
    </cfRule>
    <cfRule type="cellIs" dxfId="4958" priority="1979" operator="between">
      <formula>0.95</formula>
      <formula>1</formula>
    </cfRule>
    <cfRule type="cellIs" dxfId="4957" priority="1980" stopIfTrue="1" operator="between">
      <formula>0</formula>
      <formula>0.5</formula>
    </cfRule>
  </conditionalFormatting>
  <conditionalFormatting sqref="T158">
    <cfRule type="cellIs" dxfId="4956" priority="1961" operator="between">
      <formula>0.3751</formula>
      <formula>0.475</formula>
    </cfRule>
    <cfRule type="cellIs" dxfId="4955" priority="1962" operator="between">
      <formula>0.2551</formula>
      <formula>0.375</formula>
    </cfRule>
    <cfRule type="cellIs" dxfId="4954" priority="1963" operator="greaterThan">
      <formula>0.505</formula>
    </cfRule>
    <cfRule type="cellIs" dxfId="4953" priority="1964" operator="between">
      <formula>0.48</formula>
      <formula>0.5</formula>
    </cfRule>
    <cfRule type="cellIs" dxfId="4952" priority="1965" stopIfTrue="1" operator="between">
      <formula>0</formula>
      <formula>0.255</formula>
    </cfRule>
  </conditionalFormatting>
  <conditionalFormatting sqref="U158">
    <cfRule type="cellIs" dxfId="4951" priority="1956" operator="between">
      <formula>0.376</formula>
      <formula>0.475</formula>
    </cfRule>
    <cfRule type="cellIs" dxfId="4950" priority="1957" operator="between">
      <formula>0.2551</formula>
      <formula>0.3751</formula>
    </cfRule>
    <cfRule type="cellIs" dxfId="4949" priority="1958" operator="greaterThan">
      <formula>0.505</formula>
    </cfRule>
    <cfRule type="cellIs" dxfId="4948" priority="1959" operator="between">
      <formula>0.48</formula>
      <formula>0.5</formula>
    </cfRule>
    <cfRule type="cellIs" dxfId="4947" priority="1960" stopIfTrue="1" operator="between">
      <formula>0</formula>
      <formula>0.255</formula>
    </cfRule>
  </conditionalFormatting>
  <conditionalFormatting sqref="V158">
    <cfRule type="cellIs" dxfId="4946" priority="1951" operator="between">
      <formula>0.376</formula>
      <formula>0.475</formula>
    </cfRule>
    <cfRule type="cellIs" dxfId="4945" priority="1952" operator="between">
      <formula>0.2551</formula>
      <formula>0.3751</formula>
    </cfRule>
    <cfRule type="cellIs" dxfId="4944" priority="1953" operator="greaterThan">
      <formula>0.505</formula>
    </cfRule>
    <cfRule type="cellIs" dxfId="4943" priority="1954" operator="between">
      <formula>0.48</formula>
      <formula>0.5</formula>
    </cfRule>
    <cfRule type="cellIs" dxfId="4942" priority="1955" stopIfTrue="1" operator="between">
      <formula>0</formula>
      <formula>0.255</formula>
    </cfRule>
  </conditionalFormatting>
  <conditionalFormatting sqref="AA158:AB158">
    <cfRule type="cellIs" dxfId="4941" priority="1946" operator="between">
      <formula>0.56251</formula>
      <formula>0.7125</formula>
    </cfRule>
    <cfRule type="cellIs" dxfId="4940" priority="1947" operator="between">
      <formula>0.3751</formula>
      <formula>0.5625</formula>
    </cfRule>
    <cfRule type="cellIs" dxfId="4939" priority="1948" operator="greaterThan">
      <formula>0.751</formula>
    </cfRule>
    <cfRule type="cellIs" dxfId="4938" priority="1949" operator="between">
      <formula>0.71251</formula>
      <formula>0.75</formula>
    </cfRule>
    <cfRule type="cellIs" dxfId="4937" priority="1950" stopIfTrue="1" operator="between">
      <formula>0</formula>
      <formula>0.375</formula>
    </cfRule>
  </conditionalFormatting>
  <conditionalFormatting sqref="AC158">
    <cfRule type="cellIs" dxfId="4936" priority="1941" operator="between">
      <formula>0.56251</formula>
      <formula>0.7125</formula>
    </cfRule>
    <cfRule type="cellIs" dxfId="4935" priority="1942" operator="between">
      <formula>0.3751</formula>
      <formula>0.5625</formula>
    </cfRule>
    <cfRule type="cellIs" dxfId="4934" priority="1943" operator="greaterThan">
      <formula>0.751</formula>
    </cfRule>
    <cfRule type="cellIs" dxfId="4933" priority="1944" operator="between">
      <formula>0.71251</formula>
      <formula>0.75</formula>
    </cfRule>
    <cfRule type="cellIs" dxfId="4932" priority="1945" stopIfTrue="1" operator="between">
      <formula>0</formula>
      <formula>0.375</formula>
    </cfRule>
  </conditionalFormatting>
  <conditionalFormatting sqref="AH158:AI158">
    <cfRule type="cellIs" dxfId="4931" priority="1936" operator="between">
      <formula>0.76</formula>
      <formula>0.95</formula>
    </cfRule>
    <cfRule type="cellIs" dxfId="4930" priority="1937" operator="between">
      <formula>0.51</formula>
      <formula>0.75</formula>
    </cfRule>
    <cfRule type="cellIs" dxfId="4929" priority="1938" operator="greaterThan">
      <formula>1</formula>
    </cfRule>
    <cfRule type="cellIs" dxfId="4928" priority="1939" operator="between">
      <formula>0.96</formula>
      <formula>1</formula>
    </cfRule>
    <cfRule type="cellIs" dxfId="4927" priority="1940" stopIfTrue="1" operator="between">
      <formula>0</formula>
      <formula>0.5</formula>
    </cfRule>
  </conditionalFormatting>
  <conditionalFormatting sqref="AF64:AI64 R64 Y64">
    <cfRule type="cellIs" dxfId="4926" priority="1891" operator="between">
      <formula>0.76</formula>
      <formula>0.95</formula>
    </cfRule>
    <cfRule type="cellIs" dxfId="4925" priority="1892" operator="between">
      <formula>0.51</formula>
      <formula>0.75</formula>
    </cfRule>
    <cfRule type="cellIs" dxfId="4924" priority="1893" operator="greaterThan">
      <formula>1</formula>
    </cfRule>
    <cfRule type="cellIs" dxfId="4923" priority="1894" operator="between">
      <formula>0.95</formula>
      <formula>1</formula>
    </cfRule>
    <cfRule type="cellIs" dxfId="4922" priority="1895" stopIfTrue="1" operator="between">
      <formula>0</formula>
      <formula>0.5</formula>
    </cfRule>
  </conditionalFormatting>
  <conditionalFormatting sqref="T64">
    <cfRule type="cellIs" dxfId="4921" priority="1886" operator="between">
      <formula>0.3751</formula>
      <formula>0.475</formula>
    </cfRule>
    <cfRule type="cellIs" dxfId="4920" priority="1887" operator="between">
      <formula>0.2551</formula>
      <formula>0.375</formula>
    </cfRule>
    <cfRule type="cellIs" dxfId="4919" priority="1888" operator="greaterThan">
      <formula>0.505</formula>
    </cfRule>
    <cfRule type="cellIs" dxfId="4918" priority="1889" operator="between">
      <formula>0.48</formula>
      <formula>0.5</formula>
    </cfRule>
    <cfRule type="cellIs" dxfId="4917" priority="1890" stopIfTrue="1" operator="between">
      <formula>0</formula>
      <formula>0.255</formula>
    </cfRule>
  </conditionalFormatting>
  <conditionalFormatting sqref="AA64:AB64">
    <cfRule type="cellIs" dxfId="4916" priority="1881" operator="between">
      <formula>0.56251</formula>
      <formula>0.7125</formula>
    </cfRule>
    <cfRule type="cellIs" dxfId="4915" priority="1882" operator="between">
      <formula>0.3751</formula>
      <formula>0.5625</formula>
    </cfRule>
    <cfRule type="cellIs" dxfId="4914" priority="1883" operator="greaterThan">
      <formula>0.751</formula>
    </cfRule>
    <cfRule type="cellIs" dxfId="4913" priority="1884" operator="between">
      <formula>0.71251</formula>
      <formula>0.75</formula>
    </cfRule>
    <cfRule type="cellIs" dxfId="4912" priority="1885" stopIfTrue="1" operator="between">
      <formula>0</formula>
      <formula>0.375</formula>
    </cfRule>
  </conditionalFormatting>
  <conditionalFormatting sqref="U64">
    <cfRule type="cellIs" dxfId="4911" priority="1876" operator="between">
      <formula>0.376</formula>
      <formula>0.475</formula>
    </cfRule>
    <cfRule type="cellIs" dxfId="4910" priority="1877" operator="between">
      <formula>0.2551</formula>
      <formula>0.3751</formula>
    </cfRule>
    <cfRule type="cellIs" dxfId="4909" priority="1878" operator="greaterThan">
      <formula>0.505</formula>
    </cfRule>
    <cfRule type="cellIs" dxfId="4908" priority="1879" operator="between">
      <formula>0.48</formula>
      <formula>0.5</formula>
    </cfRule>
    <cfRule type="cellIs" dxfId="4907" priority="1880" stopIfTrue="1" operator="between">
      <formula>0</formula>
      <formula>0.255</formula>
    </cfRule>
  </conditionalFormatting>
  <conditionalFormatting sqref="Z64">
    <cfRule type="cellIs" dxfId="4906" priority="1856" operator="between">
      <formula>0.76</formula>
      <formula>0.95</formula>
    </cfRule>
    <cfRule type="cellIs" dxfId="4905" priority="1857" operator="between">
      <formula>0.51</formula>
      <formula>0.75</formula>
    </cfRule>
    <cfRule type="cellIs" dxfId="4904" priority="1858" operator="greaterThan">
      <formula>1</formula>
    </cfRule>
    <cfRule type="cellIs" dxfId="4903" priority="1859" operator="between">
      <formula>0.95</formula>
      <formula>1</formula>
    </cfRule>
    <cfRule type="cellIs" dxfId="4902" priority="1860" stopIfTrue="1" operator="between">
      <formula>0</formula>
      <formula>0.5</formula>
    </cfRule>
  </conditionalFormatting>
  <conditionalFormatting sqref="AC64">
    <cfRule type="cellIs" dxfId="4901" priority="1851" operator="between">
      <formula>0.56251</formula>
      <formula>0.7125</formula>
    </cfRule>
    <cfRule type="cellIs" dxfId="4900" priority="1852" operator="between">
      <formula>0.3751</formula>
      <formula>0.5625</formula>
    </cfRule>
    <cfRule type="cellIs" dxfId="4899" priority="1853" operator="greaterThan">
      <formula>0.751</formula>
    </cfRule>
    <cfRule type="cellIs" dxfId="4898" priority="1854" operator="between">
      <formula>0.71251</formula>
      <formula>0.75</formula>
    </cfRule>
    <cfRule type="cellIs" dxfId="4897" priority="1855" stopIfTrue="1" operator="between">
      <formula>0</formula>
      <formula>0.375</formula>
    </cfRule>
  </conditionalFormatting>
  <conditionalFormatting sqref="S64">
    <cfRule type="cellIs" dxfId="4896" priority="1846" operator="between">
      <formula>0.76</formula>
      <formula>0.95</formula>
    </cfRule>
    <cfRule type="cellIs" dxfId="4895" priority="1847" operator="between">
      <formula>0.51</formula>
      <formula>0.75</formula>
    </cfRule>
    <cfRule type="cellIs" dxfId="4894" priority="1848" operator="greaterThan">
      <formula>1</formula>
    </cfRule>
    <cfRule type="cellIs" dxfId="4893" priority="1849" operator="between">
      <formula>0.95</formula>
      <formula>1</formula>
    </cfRule>
    <cfRule type="cellIs" dxfId="4892" priority="1850" stopIfTrue="1" operator="between">
      <formula>0</formula>
      <formula>0.5</formula>
    </cfRule>
  </conditionalFormatting>
  <conditionalFormatting sqref="V64">
    <cfRule type="cellIs" dxfId="4891" priority="1841" operator="between">
      <formula>0.376</formula>
      <formula>0.475</formula>
    </cfRule>
    <cfRule type="cellIs" dxfId="4890" priority="1842" operator="between">
      <formula>0.2551</formula>
      <formula>0.3751</formula>
    </cfRule>
    <cfRule type="cellIs" dxfId="4889" priority="1843" operator="greaterThan">
      <formula>0.505</formula>
    </cfRule>
    <cfRule type="cellIs" dxfId="4888" priority="1844" operator="between">
      <formula>0.48</formula>
      <formula>0.5</formula>
    </cfRule>
    <cfRule type="cellIs" dxfId="4887" priority="1845" stopIfTrue="1" operator="between">
      <formula>0</formula>
      <formula>0.255</formula>
    </cfRule>
  </conditionalFormatting>
  <conditionalFormatting sqref="O64">
    <cfRule type="cellIs" dxfId="4886" priority="1831" operator="between">
      <formula>0.1876</formula>
      <formula>0.2375</formula>
    </cfRule>
    <cfRule type="cellIs" dxfId="4885" priority="1832" operator="between">
      <formula>0.1251</formula>
      <formula>0.1875</formula>
    </cfRule>
    <cfRule type="cellIs" dxfId="4884" priority="1833" operator="greaterThan">
      <formula>0.25</formula>
    </cfRule>
    <cfRule type="cellIs" dxfId="4883" priority="1834" operator="between">
      <formula>0.2376</formula>
      <formula>0.25</formula>
    </cfRule>
    <cfRule type="cellIs" dxfId="4882" priority="1835" stopIfTrue="1" operator="between">
      <formula>0</formula>
      <formula>0.125</formula>
    </cfRule>
  </conditionalFormatting>
  <conditionalFormatting sqref="K64">
    <cfRule type="cellIs" dxfId="4881" priority="1821" operator="between">
      <formula>0.76</formula>
      <formula>0.95</formula>
    </cfRule>
    <cfRule type="cellIs" dxfId="4880" priority="1822" operator="between">
      <formula>0.51</formula>
      <formula>0.75</formula>
    </cfRule>
    <cfRule type="cellIs" dxfId="4879" priority="1823" operator="greaterThan">
      <formula>1</formula>
    </cfRule>
    <cfRule type="cellIs" dxfId="4878" priority="1824" operator="between">
      <formula>0.96</formula>
      <formula>1</formula>
    </cfRule>
    <cfRule type="cellIs" dxfId="4877" priority="1825" stopIfTrue="1" operator="between">
      <formula>0</formula>
      <formula>0.5</formula>
    </cfRule>
  </conditionalFormatting>
  <conditionalFormatting sqref="L64">
    <cfRule type="cellIs" dxfId="4876" priority="1816" operator="between">
      <formula>0.76</formula>
      <formula>0.95</formula>
    </cfRule>
    <cfRule type="cellIs" dxfId="4875" priority="1817" operator="between">
      <formula>0.51</formula>
      <formula>0.75</formula>
    </cfRule>
    <cfRule type="cellIs" dxfId="4874" priority="1818" operator="greaterThan">
      <formula>1</formula>
    </cfRule>
    <cfRule type="cellIs" dxfId="4873" priority="1819" operator="between">
      <formula>0.96</formula>
      <formula>1</formula>
    </cfRule>
    <cfRule type="cellIs" dxfId="4872" priority="1820" stopIfTrue="1" operator="between">
      <formula>0</formula>
      <formula>0.5</formula>
    </cfRule>
  </conditionalFormatting>
  <conditionalFormatting sqref="M64">
    <cfRule type="cellIs" dxfId="4871" priority="1811" operator="between">
      <formula>0.76</formula>
      <formula>0.95</formula>
    </cfRule>
    <cfRule type="cellIs" dxfId="4870" priority="1812" operator="between">
      <formula>0.51</formula>
      <formula>0.75</formula>
    </cfRule>
    <cfRule type="cellIs" dxfId="4869" priority="1813" operator="greaterThan">
      <formula>1</formula>
    </cfRule>
    <cfRule type="cellIs" dxfId="4868" priority="1814" operator="between">
      <formula>0.96</formula>
      <formula>1</formula>
    </cfRule>
    <cfRule type="cellIs" dxfId="4867" priority="1815" stopIfTrue="1" operator="between">
      <formula>0</formula>
      <formula>0.5</formula>
    </cfRule>
  </conditionalFormatting>
  <conditionalFormatting sqref="N64">
    <cfRule type="cellIs" dxfId="4866" priority="1806" operator="between">
      <formula>0.76</formula>
      <formula>0.95</formula>
    </cfRule>
    <cfRule type="cellIs" dxfId="4865" priority="1807" operator="between">
      <formula>0.51</formula>
      <formula>0.75</formula>
    </cfRule>
    <cfRule type="cellIs" dxfId="4864" priority="1808" operator="greaterThan">
      <formula>1</formula>
    </cfRule>
    <cfRule type="cellIs" dxfId="4863" priority="1809" operator="between">
      <formula>0.96</formula>
      <formula>1</formula>
    </cfRule>
    <cfRule type="cellIs" dxfId="4862" priority="1810" stopIfTrue="1" operator="between">
      <formula>0</formula>
      <formula>0.5</formula>
    </cfRule>
  </conditionalFormatting>
  <conditionalFormatting sqref="T312">
    <cfRule type="cellIs" dxfId="4861" priority="1801" operator="between">
      <formula>0.3751</formula>
      <formula>0.475</formula>
    </cfRule>
    <cfRule type="cellIs" dxfId="4860" priority="1802" operator="between">
      <formula>0.2551</formula>
      <formula>0.375</formula>
    </cfRule>
    <cfRule type="cellIs" dxfId="4859" priority="1803" operator="greaterThan">
      <formula>0.505</formula>
    </cfRule>
    <cfRule type="cellIs" dxfId="4858" priority="1804" operator="between">
      <formula>0.48</formula>
      <formula>0.5</formula>
    </cfRule>
    <cfRule type="cellIs" dxfId="4857" priority="1805" stopIfTrue="1" operator="between">
      <formula>0</formula>
      <formula>0.255</formula>
    </cfRule>
  </conditionalFormatting>
  <conditionalFormatting sqref="U312">
    <cfRule type="cellIs" dxfId="4856" priority="1796" operator="between">
      <formula>0.376</formula>
      <formula>0.475</formula>
    </cfRule>
    <cfRule type="cellIs" dxfId="4855" priority="1797" operator="between">
      <formula>0.2551</formula>
      <formula>0.3751</formula>
    </cfRule>
    <cfRule type="cellIs" dxfId="4854" priority="1798" operator="greaterThan">
      <formula>0.505</formula>
    </cfRule>
    <cfRule type="cellIs" dxfId="4853" priority="1799" operator="between">
      <formula>0.48</formula>
      <formula>0.5</formula>
    </cfRule>
    <cfRule type="cellIs" dxfId="4852" priority="1800" stopIfTrue="1" operator="between">
      <formula>0</formula>
      <formula>0.255</formula>
    </cfRule>
  </conditionalFormatting>
  <conditionalFormatting sqref="K356:L356">
    <cfRule type="cellIs" dxfId="4851" priority="1791" operator="between">
      <formula>0.76</formula>
      <formula>0.95</formula>
    </cfRule>
    <cfRule type="cellIs" dxfId="4850" priority="1792" operator="between">
      <formula>0.51</formula>
      <formula>0.75</formula>
    </cfRule>
    <cfRule type="cellIs" dxfId="4849" priority="1793" operator="greaterThan">
      <formula>1</formula>
    </cfRule>
    <cfRule type="cellIs" dxfId="4848" priority="1794" operator="between">
      <formula>0.96</formula>
      <formula>1</formula>
    </cfRule>
    <cfRule type="cellIs" dxfId="4847" priority="1795" stopIfTrue="1" operator="between">
      <formula>0</formula>
      <formula>0.5</formula>
    </cfRule>
  </conditionalFormatting>
  <conditionalFormatting sqref="O356">
    <cfRule type="cellIs" dxfId="4846" priority="1786" operator="between">
      <formula>0.1876</formula>
      <formula>0.2375</formula>
    </cfRule>
    <cfRule type="cellIs" dxfId="4845" priority="1787" operator="between">
      <formula>0.1251</formula>
      <formula>0.1875</formula>
    </cfRule>
    <cfRule type="cellIs" dxfId="4844" priority="1788" operator="greaterThan">
      <formula>0.25</formula>
    </cfRule>
    <cfRule type="cellIs" dxfId="4843" priority="1789" operator="between">
      <formula>0.2375</formula>
      <formula>0.25</formula>
    </cfRule>
    <cfRule type="cellIs" dxfId="4842" priority="1790" stopIfTrue="1" operator="between">
      <formula>0</formula>
      <formula>0.125</formula>
    </cfRule>
  </conditionalFormatting>
  <conditionalFormatting sqref="M356:N356">
    <cfRule type="cellIs" dxfId="4841" priority="1781" operator="between">
      <formula>0.1876</formula>
      <formula>0.2375</formula>
    </cfRule>
    <cfRule type="cellIs" dxfId="4840" priority="1782" operator="between">
      <formula>0.1251</formula>
      <formula>0.1875</formula>
    </cfRule>
    <cfRule type="cellIs" dxfId="4839" priority="1783" operator="greaterThan">
      <formula>0.25</formula>
    </cfRule>
    <cfRule type="cellIs" dxfId="4838" priority="1784" operator="between">
      <formula>0.2376</formula>
      <formula>0.25</formula>
    </cfRule>
    <cfRule type="cellIs" dxfId="4837" priority="1785" stopIfTrue="1" operator="between">
      <formula>0</formula>
      <formula>0.125</formula>
    </cfRule>
  </conditionalFormatting>
  <conditionalFormatting sqref="AI356">
    <cfRule type="cellIs" dxfId="4836" priority="1691" operator="between">
      <formula>0.76</formula>
      <formula>0.95</formula>
    </cfRule>
    <cfRule type="cellIs" dxfId="4835" priority="1692" operator="between">
      <formula>0.51</formula>
      <formula>0.75</formula>
    </cfRule>
    <cfRule type="cellIs" dxfId="4834" priority="1693" operator="greaterThan">
      <formula>1</formula>
    </cfRule>
    <cfRule type="cellIs" dxfId="4833" priority="1694" operator="between">
      <formula>0.95</formula>
      <formula>1</formula>
    </cfRule>
    <cfRule type="cellIs" dxfId="4832" priority="1695" stopIfTrue="1" operator="between">
      <formula>0</formula>
      <formula>0.5</formula>
    </cfRule>
  </conditionalFormatting>
  <conditionalFormatting sqref="R356">
    <cfRule type="cellIs" dxfId="4831" priority="1686" operator="between">
      <formula>0.76</formula>
      <formula>0.95</formula>
    </cfRule>
    <cfRule type="cellIs" dxfId="4830" priority="1687" operator="between">
      <formula>0.51</formula>
      <formula>0.75</formula>
    </cfRule>
    <cfRule type="cellIs" dxfId="4829" priority="1688" operator="greaterThan">
      <formula>1</formula>
    </cfRule>
    <cfRule type="cellIs" dxfId="4828" priority="1689" operator="between">
      <formula>0.95</formula>
      <formula>1</formula>
    </cfRule>
    <cfRule type="cellIs" dxfId="4827" priority="1690" stopIfTrue="1" operator="between">
      <formula>0</formula>
      <formula>0.5</formula>
    </cfRule>
  </conditionalFormatting>
  <conditionalFormatting sqref="Y356">
    <cfRule type="cellIs" dxfId="4826" priority="1681" operator="between">
      <formula>0.76</formula>
      <formula>0.95</formula>
    </cfRule>
    <cfRule type="cellIs" dxfId="4825" priority="1682" operator="between">
      <formula>0.51</formula>
      <formula>0.75</formula>
    </cfRule>
    <cfRule type="cellIs" dxfId="4824" priority="1683" operator="greaterThan">
      <formula>1</formula>
    </cfRule>
    <cfRule type="cellIs" dxfId="4823" priority="1684" operator="between">
      <formula>0.95</formula>
      <formula>1</formula>
    </cfRule>
    <cfRule type="cellIs" dxfId="4822" priority="1685" stopIfTrue="1" operator="between">
      <formula>0</formula>
      <formula>0.5</formula>
    </cfRule>
  </conditionalFormatting>
  <conditionalFormatting sqref="AF356">
    <cfRule type="cellIs" dxfId="4821" priority="1676" operator="between">
      <formula>0.76</formula>
      <formula>0.95</formula>
    </cfRule>
    <cfRule type="cellIs" dxfId="4820" priority="1677" operator="between">
      <formula>0.51</formula>
      <formula>0.75</formula>
    </cfRule>
    <cfRule type="cellIs" dxfId="4819" priority="1678" operator="greaterThan">
      <formula>1</formula>
    </cfRule>
    <cfRule type="cellIs" dxfId="4818" priority="1679" operator="between">
      <formula>0.95</formula>
      <formula>1</formula>
    </cfRule>
    <cfRule type="cellIs" dxfId="4817" priority="1680" stopIfTrue="1" operator="between">
      <formula>0</formula>
      <formula>0.5</formula>
    </cfRule>
  </conditionalFormatting>
  <conditionalFormatting sqref="AH356">
    <cfRule type="cellIs" dxfId="4816" priority="1671" operator="between">
      <formula>0.76</formula>
      <formula>0.95</formula>
    </cfRule>
    <cfRule type="cellIs" dxfId="4815" priority="1672" operator="between">
      <formula>0.51</formula>
      <formula>0.75</formula>
    </cfRule>
    <cfRule type="cellIs" dxfId="4814" priority="1673" operator="greaterThan">
      <formula>1</formula>
    </cfRule>
    <cfRule type="cellIs" dxfId="4813" priority="1674" operator="between">
      <formula>0.95</formula>
      <formula>1</formula>
    </cfRule>
    <cfRule type="cellIs" dxfId="4812" priority="1675" stopIfTrue="1" operator="between">
      <formula>0</formula>
      <formula>0.5</formula>
    </cfRule>
  </conditionalFormatting>
  <conditionalFormatting sqref="T356">
    <cfRule type="cellIs" dxfId="4811" priority="1666" operator="between">
      <formula>0.3751</formula>
      <formula>0.475</formula>
    </cfRule>
    <cfRule type="cellIs" dxfId="4810" priority="1667" operator="between">
      <formula>0.2551</formula>
      <formula>0.375</formula>
    </cfRule>
    <cfRule type="cellIs" dxfId="4809" priority="1668" operator="greaterThan">
      <formula>0.505</formula>
    </cfRule>
    <cfRule type="cellIs" dxfId="4808" priority="1669" operator="between">
      <formula>0.48</formula>
      <formula>0.5</formula>
    </cfRule>
    <cfRule type="cellIs" dxfId="4807" priority="1670" stopIfTrue="1" operator="between">
      <formula>0</formula>
      <formula>0.255</formula>
    </cfRule>
  </conditionalFormatting>
  <conditionalFormatting sqref="U356">
    <cfRule type="cellIs" dxfId="4806" priority="1661" operator="between">
      <formula>0.376</formula>
      <formula>0.475</formula>
    </cfRule>
    <cfRule type="cellIs" dxfId="4805" priority="1662" operator="between">
      <formula>0.2551</formula>
      <formula>0.3751</formula>
    </cfRule>
    <cfRule type="cellIs" dxfId="4804" priority="1663" operator="greaterThan">
      <formula>0.505</formula>
    </cfRule>
    <cfRule type="cellIs" dxfId="4803" priority="1664" operator="between">
      <formula>0.48</formula>
      <formula>0.5</formula>
    </cfRule>
    <cfRule type="cellIs" dxfId="4802" priority="1665" stopIfTrue="1" operator="between">
      <formula>0</formula>
      <formula>0.255</formula>
    </cfRule>
  </conditionalFormatting>
  <conditionalFormatting sqref="AA356">
    <cfRule type="cellIs" dxfId="4801" priority="1656" operator="between">
      <formula>0.56251</formula>
      <formula>0.7125</formula>
    </cfRule>
    <cfRule type="cellIs" dxfId="4800" priority="1657" operator="between">
      <formula>0.3751</formula>
      <formula>0.5625</formula>
    </cfRule>
    <cfRule type="cellIs" dxfId="4799" priority="1658" operator="greaterThan">
      <formula>0.751</formula>
    </cfRule>
    <cfRule type="cellIs" dxfId="4798" priority="1659" operator="between">
      <formula>0.71251</formula>
      <formula>0.75</formula>
    </cfRule>
    <cfRule type="cellIs" dxfId="4797" priority="1660" stopIfTrue="1" operator="between">
      <formula>0</formula>
      <formula>0.375</formula>
    </cfRule>
  </conditionalFormatting>
  <conditionalFormatting sqref="AB356">
    <cfRule type="cellIs" dxfId="4796" priority="1651" operator="between">
      <formula>0.56251</formula>
      <formula>0.7125</formula>
    </cfRule>
    <cfRule type="cellIs" dxfId="4795" priority="1652" operator="between">
      <formula>0.3751</formula>
      <formula>0.5625</formula>
    </cfRule>
    <cfRule type="cellIs" dxfId="4794" priority="1653" operator="greaterThan">
      <formula>0.751</formula>
    </cfRule>
    <cfRule type="cellIs" dxfId="4793" priority="1654" operator="between">
      <formula>0.71251</formula>
      <formula>0.75</formula>
    </cfRule>
    <cfRule type="cellIs" dxfId="4792" priority="1655" stopIfTrue="1" operator="between">
      <formula>0</formula>
      <formula>0.375</formula>
    </cfRule>
  </conditionalFormatting>
  <conditionalFormatting sqref="S356">
    <cfRule type="cellIs" dxfId="4791" priority="1641" operator="between">
      <formula>0.76</formula>
      <formula>0.95</formula>
    </cfRule>
    <cfRule type="cellIs" dxfId="4790" priority="1642" operator="between">
      <formula>0.51</formula>
      <formula>0.75</formula>
    </cfRule>
    <cfRule type="cellIs" dxfId="4789" priority="1643" operator="greaterThan">
      <formula>1</formula>
    </cfRule>
    <cfRule type="cellIs" dxfId="4788" priority="1644" operator="between">
      <formula>0.95</formula>
      <formula>1</formula>
    </cfRule>
    <cfRule type="cellIs" dxfId="4787" priority="1645" stopIfTrue="1" operator="between">
      <formula>0</formula>
      <formula>0.5</formula>
    </cfRule>
  </conditionalFormatting>
  <conditionalFormatting sqref="AG356">
    <cfRule type="cellIs" dxfId="4786" priority="1646" operator="between">
      <formula>0.76</formula>
      <formula>0.95</formula>
    </cfRule>
    <cfRule type="cellIs" dxfId="4785" priority="1647" operator="between">
      <formula>0.51</formula>
      <formula>0.75</formula>
    </cfRule>
    <cfRule type="cellIs" dxfId="4784" priority="1648" operator="greaterThan">
      <formula>1</formula>
    </cfRule>
    <cfRule type="cellIs" dxfId="4783" priority="1649" operator="between">
      <formula>0.95</formula>
      <formula>1</formula>
    </cfRule>
    <cfRule type="cellIs" dxfId="4782" priority="1650" stopIfTrue="1" operator="between">
      <formula>0</formula>
      <formula>0.5</formula>
    </cfRule>
  </conditionalFormatting>
  <conditionalFormatting sqref="V356">
    <cfRule type="cellIs" dxfId="4781" priority="1636" operator="between">
      <formula>0.376</formula>
      <formula>0.475</formula>
    </cfRule>
    <cfRule type="cellIs" dxfId="4780" priority="1637" operator="between">
      <formula>0.2551</formula>
      <formula>0.3751</formula>
    </cfRule>
    <cfRule type="cellIs" dxfId="4779" priority="1638" operator="greaterThan">
      <formula>0.505</formula>
    </cfRule>
    <cfRule type="cellIs" dxfId="4778" priority="1639" operator="between">
      <formula>0.48</formula>
      <formula>0.5</formula>
    </cfRule>
    <cfRule type="cellIs" dxfId="4777" priority="1640" stopIfTrue="1" operator="between">
      <formula>0</formula>
      <formula>0.255</formula>
    </cfRule>
  </conditionalFormatting>
  <conditionalFormatting sqref="Z356">
    <cfRule type="cellIs" dxfId="4776" priority="1631" operator="between">
      <formula>0.76</formula>
      <formula>0.95</formula>
    </cfRule>
    <cfRule type="cellIs" dxfId="4775" priority="1632" operator="between">
      <formula>0.51</formula>
      <formula>0.75</formula>
    </cfRule>
    <cfRule type="cellIs" dxfId="4774" priority="1633" operator="greaterThan">
      <formula>1</formula>
    </cfRule>
    <cfRule type="cellIs" dxfId="4773" priority="1634" operator="between">
      <formula>0.95</formula>
      <formula>1</formula>
    </cfRule>
    <cfRule type="cellIs" dxfId="4772" priority="1635" stopIfTrue="1" operator="between">
      <formula>0</formula>
      <formula>0.5</formula>
    </cfRule>
  </conditionalFormatting>
  <conditionalFormatting sqref="AC356">
    <cfRule type="cellIs" dxfId="4771" priority="1626" operator="between">
      <formula>0.56251</formula>
      <formula>0.7125</formula>
    </cfRule>
    <cfRule type="cellIs" dxfId="4770" priority="1627" operator="between">
      <formula>0.3751</formula>
      <formula>0.5625</formula>
    </cfRule>
    <cfRule type="cellIs" dxfId="4769" priority="1628" operator="greaterThan">
      <formula>0.751</formula>
    </cfRule>
    <cfRule type="cellIs" dxfId="4768" priority="1629" operator="between">
      <formula>0.71251</formula>
      <formula>0.75</formula>
    </cfRule>
    <cfRule type="cellIs" dxfId="4767" priority="1630" stopIfTrue="1" operator="between">
      <formula>0</formula>
      <formula>0.375</formula>
    </cfRule>
  </conditionalFormatting>
  <conditionalFormatting sqref="AG91">
    <cfRule type="cellIs" dxfId="4766" priority="1615" operator="between">
      <formula>0.76</formula>
      <formula>0.95</formula>
    </cfRule>
    <cfRule type="cellIs" dxfId="4765" priority="1616" operator="between">
      <formula>0.51</formula>
      <formula>0.75</formula>
    </cfRule>
    <cfRule type="cellIs" dxfId="4764" priority="1617" operator="greaterThan">
      <formula>1</formula>
    </cfRule>
    <cfRule type="cellIs" dxfId="4763" priority="1618" operator="between">
      <formula>0.95</formula>
      <formula>1</formula>
    </cfRule>
    <cfRule type="cellIs" dxfId="4762" priority="1619" stopIfTrue="1" operator="between">
      <formula>0</formula>
      <formula>0.5</formula>
    </cfRule>
  </conditionalFormatting>
  <conditionalFormatting sqref="M117">
    <cfRule type="cellIs" dxfId="4761" priority="1570" operator="between">
      <formula>0.1876</formula>
      <formula>0.2375</formula>
    </cfRule>
    <cfRule type="cellIs" dxfId="4760" priority="1571" operator="between">
      <formula>0.1251</formula>
      <formula>0.1875</formula>
    </cfRule>
    <cfRule type="cellIs" dxfId="4759" priority="1572" operator="greaterThan">
      <formula>0.25</formula>
    </cfRule>
    <cfRule type="cellIs" dxfId="4758" priority="1573" operator="between">
      <formula>0.2375</formula>
      <formula>0.25</formula>
    </cfRule>
    <cfRule type="cellIs" dxfId="4757" priority="1574" stopIfTrue="1" operator="between">
      <formula>0</formula>
      <formula>0.125</formula>
    </cfRule>
  </conditionalFormatting>
  <conditionalFormatting sqref="N117">
    <cfRule type="cellIs" dxfId="4756" priority="1565" operator="between">
      <formula>0.1876</formula>
      <formula>0.2375</formula>
    </cfRule>
    <cfRule type="cellIs" dxfId="4755" priority="1566" operator="between">
      <formula>0.1251</formula>
      <formula>0.1875</formula>
    </cfRule>
    <cfRule type="cellIs" dxfId="4754" priority="1567" operator="greaterThan">
      <formula>0.25</formula>
    </cfRule>
    <cfRule type="cellIs" dxfId="4753" priority="1568" operator="between">
      <formula>0.2376</formula>
      <formula>0.25</formula>
    </cfRule>
    <cfRule type="cellIs" dxfId="4752" priority="1569" stopIfTrue="1" operator="between">
      <formula>0</formula>
      <formula>0.125</formula>
    </cfRule>
  </conditionalFormatting>
  <conditionalFormatting sqref="K286:L286">
    <cfRule type="cellIs" dxfId="4751" priority="1485" operator="between">
      <formula>0.76</formula>
      <formula>0.95</formula>
    </cfRule>
    <cfRule type="cellIs" dxfId="4750" priority="1486" operator="between">
      <formula>0.51</formula>
      <formula>0.75</formula>
    </cfRule>
    <cfRule type="cellIs" dxfId="4749" priority="1487" operator="greaterThan">
      <formula>1</formula>
    </cfRule>
    <cfRule type="cellIs" dxfId="4748" priority="1488" operator="between">
      <formula>0.96</formula>
      <formula>1</formula>
    </cfRule>
    <cfRule type="cellIs" dxfId="4747" priority="1489" stopIfTrue="1" operator="between">
      <formula>0</formula>
      <formula>0.5</formula>
    </cfRule>
  </conditionalFormatting>
  <conditionalFormatting sqref="O286">
    <cfRule type="cellIs" dxfId="4746" priority="1480" operator="between">
      <formula>0.1876</formula>
      <formula>0.2375</formula>
    </cfRule>
    <cfRule type="cellIs" dxfId="4745" priority="1481" operator="between">
      <formula>0.1251</formula>
      <formula>0.1875</formula>
    </cfRule>
    <cfRule type="cellIs" dxfId="4744" priority="1482" operator="greaterThan">
      <formula>0.25</formula>
    </cfRule>
    <cfRule type="cellIs" dxfId="4743" priority="1483" operator="between">
      <formula>0.2375</formula>
      <formula>0.25</formula>
    </cfRule>
    <cfRule type="cellIs" dxfId="4742" priority="1484" stopIfTrue="1" operator="between">
      <formula>0</formula>
      <formula>0.125</formula>
    </cfRule>
  </conditionalFormatting>
  <conditionalFormatting sqref="M286:N286">
    <cfRule type="cellIs" dxfId="4741" priority="1475" operator="between">
      <formula>0.1876</formula>
      <formula>0.2375</formula>
    </cfRule>
    <cfRule type="cellIs" dxfId="4740" priority="1476" operator="between">
      <formula>0.1251</formula>
      <formula>0.1875</formula>
    </cfRule>
    <cfRule type="cellIs" dxfId="4739" priority="1477" operator="greaterThan">
      <formula>0.25</formula>
    </cfRule>
    <cfRule type="cellIs" dxfId="4738" priority="1478" operator="between">
      <formula>0.2376</formula>
      <formula>0.25</formula>
    </cfRule>
    <cfRule type="cellIs" dxfId="4737" priority="1479" stopIfTrue="1" operator="between">
      <formula>0</formula>
      <formula>0.125</formula>
    </cfRule>
  </conditionalFormatting>
  <conditionalFormatting sqref="AH286:AI286 R286 AF286 Y286">
    <cfRule type="cellIs" dxfId="4736" priority="1470" operator="between">
      <formula>0.76</formula>
      <formula>0.95</formula>
    </cfRule>
    <cfRule type="cellIs" dxfId="4735" priority="1471" operator="between">
      <formula>0.51</formula>
      <formula>0.75</formula>
    </cfRule>
    <cfRule type="cellIs" dxfId="4734" priority="1472" operator="greaterThan">
      <formula>1</formula>
    </cfRule>
    <cfRule type="cellIs" dxfId="4733" priority="1473" operator="between">
      <formula>0.95</formula>
      <formula>1</formula>
    </cfRule>
    <cfRule type="cellIs" dxfId="4732" priority="1474" stopIfTrue="1" operator="between">
      <formula>0</formula>
      <formula>0.5</formula>
    </cfRule>
  </conditionalFormatting>
  <conditionalFormatting sqref="T286">
    <cfRule type="cellIs" dxfId="4731" priority="1465" operator="between">
      <formula>0.3751</formula>
      <formula>0.475</formula>
    </cfRule>
    <cfRule type="cellIs" dxfId="4730" priority="1466" operator="between">
      <formula>0.2551</formula>
      <formula>0.375</formula>
    </cfRule>
    <cfRule type="cellIs" dxfId="4729" priority="1467" operator="greaterThan">
      <formula>0.505</formula>
    </cfRule>
    <cfRule type="cellIs" dxfId="4728" priority="1468" operator="between">
      <formula>0.48</formula>
      <formula>0.5</formula>
    </cfRule>
    <cfRule type="cellIs" dxfId="4727" priority="1469" stopIfTrue="1" operator="between">
      <formula>0</formula>
      <formula>0.255</formula>
    </cfRule>
  </conditionalFormatting>
  <conditionalFormatting sqref="AA286:AB286">
    <cfRule type="cellIs" dxfId="4726" priority="1460" operator="between">
      <formula>0.56251</formula>
      <formula>0.7125</formula>
    </cfRule>
    <cfRule type="cellIs" dxfId="4725" priority="1461" operator="between">
      <formula>0.3751</formula>
      <formula>0.5625</formula>
    </cfRule>
    <cfRule type="cellIs" dxfId="4724" priority="1462" operator="greaterThan">
      <formula>0.751</formula>
    </cfRule>
    <cfRule type="cellIs" dxfId="4723" priority="1463" operator="between">
      <formula>0.71251</formula>
      <formula>0.75</formula>
    </cfRule>
    <cfRule type="cellIs" dxfId="4722" priority="1464" stopIfTrue="1" operator="between">
      <formula>0</formula>
      <formula>0.375</formula>
    </cfRule>
  </conditionalFormatting>
  <conditionalFormatting sqref="U286">
    <cfRule type="cellIs" dxfId="4721" priority="1455" operator="between">
      <formula>0.376</formula>
      <formula>0.475</formula>
    </cfRule>
    <cfRule type="cellIs" dxfId="4720" priority="1456" operator="between">
      <formula>0.2551</formula>
      <formula>0.3751</formula>
    </cfRule>
    <cfRule type="cellIs" dxfId="4719" priority="1457" operator="greaterThan">
      <formula>0.505</formula>
    </cfRule>
    <cfRule type="cellIs" dxfId="4718" priority="1458" operator="between">
      <formula>0.48</formula>
      <formula>0.5</formula>
    </cfRule>
    <cfRule type="cellIs" dxfId="4717" priority="1459" stopIfTrue="1" operator="between">
      <formula>0</formula>
      <formula>0.255</formula>
    </cfRule>
  </conditionalFormatting>
  <conditionalFormatting sqref="AC286">
    <cfRule type="cellIs" dxfId="4716" priority="1447" operator="between">
      <formula>0.56251</formula>
      <formula>0.7125</formula>
    </cfRule>
    <cfRule type="cellIs" dxfId="4715" priority="1448" operator="between">
      <formula>0.3751</formula>
      <formula>0.5625</formula>
    </cfRule>
    <cfRule type="cellIs" dxfId="4714" priority="1449" operator="greaterThan">
      <formula>0.751</formula>
    </cfRule>
    <cfRule type="cellIs" dxfId="4713" priority="1450" operator="between">
      <formula>0.71251</formula>
      <formula>0.75</formula>
    </cfRule>
    <cfRule type="cellIs" dxfId="4712" priority="1451" stopIfTrue="1" operator="between">
      <formula>0</formula>
      <formula>0.375</formula>
    </cfRule>
  </conditionalFormatting>
  <conditionalFormatting sqref="V286">
    <cfRule type="cellIs" dxfId="4711" priority="1442" operator="between">
      <formula>0.376</formula>
      <formula>0.475</formula>
    </cfRule>
    <cfRule type="cellIs" dxfId="4710" priority="1443" operator="between">
      <formula>0.2551</formula>
      <formula>0.3751</formula>
    </cfRule>
    <cfRule type="cellIs" dxfId="4709" priority="1444" operator="greaterThan">
      <formula>0.505</formula>
    </cfRule>
    <cfRule type="cellIs" dxfId="4708" priority="1445" operator="between">
      <formula>0.48</formula>
      <formula>0.5</formula>
    </cfRule>
    <cfRule type="cellIs" dxfId="4707" priority="1446" stopIfTrue="1" operator="between">
      <formula>0</formula>
      <formula>0.255</formula>
    </cfRule>
  </conditionalFormatting>
  <conditionalFormatting sqref="S286">
    <cfRule type="cellIs" dxfId="4706" priority="1437" operator="between">
      <formula>0.76</formula>
      <formula>0.95</formula>
    </cfRule>
    <cfRule type="cellIs" dxfId="4705" priority="1438" operator="between">
      <formula>0.51</formula>
      <formula>0.75</formula>
    </cfRule>
    <cfRule type="cellIs" dxfId="4704" priority="1439" operator="greaterThan">
      <formula>1</formula>
    </cfRule>
    <cfRule type="cellIs" dxfId="4703" priority="1440" operator="between">
      <formula>0.95</formula>
      <formula>1</formula>
    </cfRule>
    <cfRule type="cellIs" dxfId="4702" priority="1441" stopIfTrue="1" operator="between">
      <formula>0</formula>
      <formula>0.5</formula>
    </cfRule>
  </conditionalFormatting>
  <conditionalFormatting sqref="Z286">
    <cfRule type="cellIs" dxfId="4701" priority="1432" operator="between">
      <formula>0.76</formula>
      <formula>0.95</formula>
    </cfRule>
    <cfRule type="cellIs" dxfId="4700" priority="1433" operator="between">
      <formula>0.51</formula>
      <formula>0.75</formula>
    </cfRule>
    <cfRule type="cellIs" dxfId="4699" priority="1434" operator="greaterThan">
      <formula>1</formula>
    </cfRule>
    <cfRule type="cellIs" dxfId="4698" priority="1435" operator="between">
      <formula>0.95</formula>
      <formula>1</formula>
    </cfRule>
    <cfRule type="cellIs" dxfId="4697" priority="1436" stopIfTrue="1" operator="between">
      <formula>0</formula>
      <formula>0.5</formula>
    </cfRule>
  </conditionalFormatting>
  <conditionalFormatting sqref="AG286">
    <cfRule type="cellIs" dxfId="4696" priority="1427" operator="between">
      <formula>0.76</formula>
      <formula>0.95</formula>
    </cfRule>
    <cfRule type="cellIs" dxfId="4695" priority="1428" operator="between">
      <formula>0.51</formula>
      <formula>0.75</formula>
    </cfRule>
    <cfRule type="cellIs" dxfId="4694" priority="1429" operator="greaterThan">
      <formula>1</formula>
    </cfRule>
    <cfRule type="cellIs" dxfId="4693" priority="1430" operator="between">
      <formula>0.95</formula>
      <formula>1</formula>
    </cfRule>
    <cfRule type="cellIs" dxfId="4692" priority="1431" stopIfTrue="1" operator="between">
      <formula>0</formula>
      <formula>0.5</formula>
    </cfRule>
  </conditionalFormatting>
  <conditionalFormatting sqref="L227">
    <cfRule type="cellIs" dxfId="4691" priority="1412" operator="between">
      <formula>0.76</formula>
      <formula>0.95</formula>
    </cfRule>
    <cfRule type="cellIs" dxfId="4690" priority="1413" operator="between">
      <formula>0.51</formula>
      <formula>0.75</formula>
    </cfRule>
    <cfRule type="cellIs" dxfId="4689" priority="1414" operator="greaterThan">
      <formula>1</formula>
    </cfRule>
    <cfRule type="cellIs" dxfId="4688" priority="1415" operator="between">
      <formula>0.96</formula>
      <formula>1</formula>
    </cfRule>
    <cfRule type="cellIs" dxfId="4687" priority="1416" stopIfTrue="1" operator="between">
      <formula>0</formula>
      <formula>0.5</formula>
    </cfRule>
  </conditionalFormatting>
  <conditionalFormatting sqref="O227">
    <cfRule type="cellIs" dxfId="4686" priority="1407" operator="between">
      <formula>0.1876</formula>
      <formula>0.2375</formula>
    </cfRule>
    <cfRule type="cellIs" dxfId="4685" priority="1408" operator="between">
      <formula>0.1251</formula>
      <formula>0.1875</formula>
    </cfRule>
    <cfRule type="cellIs" dxfId="4684" priority="1409" operator="greaterThan">
      <formula>0.25</formula>
    </cfRule>
    <cfRule type="cellIs" dxfId="4683" priority="1410" operator="between">
      <formula>0.2375</formula>
      <formula>0.25</formula>
    </cfRule>
    <cfRule type="cellIs" dxfId="4682" priority="1411" stopIfTrue="1" operator="between">
      <formula>0</formula>
      <formula>0.125</formula>
    </cfRule>
  </conditionalFormatting>
  <conditionalFormatting sqref="M227:N227">
    <cfRule type="cellIs" dxfId="4681" priority="1402" operator="between">
      <formula>0.1876</formula>
      <formula>0.2375</formula>
    </cfRule>
    <cfRule type="cellIs" dxfId="4680" priority="1403" operator="between">
      <formula>0.1251</formula>
      <formula>0.1875</formula>
    </cfRule>
    <cfRule type="cellIs" dxfId="4679" priority="1404" operator="greaterThan">
      <formula>0.25</formula>
    </cfRule>
    <cfRule type="cellIs" dxfId="4678" priority="1405" operator="between">
      <formula>0.2376</formula>
      <formula>0.25</formula>
    </cfRule>
    <cfRule type="cellIs" dxfId="4677" priority="1406" stopIfTrue="1" operator="between">
      <formula>0</formula>
      <formula>0.125</formula>
    </cfRule>
  </conditionalFormatting>
  <conditionalFormatting sqref="R227:S227 Y227:Z227 AF227:AI227">
    <cfRule type="cellIs" dxfId="4676" priority="1397" operator="between">
      <formula>0.76</formula>
      <formula>0.95</formula>
    </cfRule>
    <cfRule type="cellIs" dxfId="4675" priority="1398" operator="between">
      <formula>0.51</formula>
      <formula>0.75</formula>
    </cfRule>
    <cfRule type="cellIs" dxfId="4674" priority="1399" operator="greaterThan">
      <formula>1</formula>
    </cfRule>
    <cfRule type="cellIs" dxfId="4673" priority="1400" operator="between">
      <formula>0.95</formula>
      <formula>1</formula>
    </cfRule>
    <cfRule type="cellIs" dxfId="4672" priority="1401" stopIfTrue="1" operator="between">
      <formula>0</formula>
      <formula>0.5</formula>
    </cfRule>
  </conditionalFormatting>
  <conditionalFormatting sqref="T227">
    <cfRule type="cellIs" dxfId="4671" priority="1392" operator="between">
      <formula>0.3751</formula>
      <formula>0.475</formula>
    </cfRule>
    <cfRule type="cellIs" dxfId="4670" priority="1393" operator="between">
      <formula>0.2551</formula>
      <formula>0.375</formula>
    </cfRule>
    <cfRule type="cellIs" dxfId="4669" priority="1394" operator="greaterThan">
      <formula>0.505</formula>
    </cfRule>
    <cfRule type="cellIs" dxfId="4668" priority="1395" operator="between">
      <formula>0.48</formula>
      <formula>0.5</formula>
    </cfRule>
    <cfRule type="cellIs" dxfId="4667" priority="1396" stopIfTrue="1" operator="between">
      <formula>0</formula>
      <formula>0.255</formula>
    </cfRule>
  </conditionalFormatting>
  <conditionalFormatting sqref="AA227:AC227">
    <cfRule type="cellIs" dxfId="4666" priority="1387" operator="between">
      <formula>0.56251</formula>
      <formula>0.7125</formula>
    </cfRule>
    <cfRule type="cellIs" dxfId="4665" priority="1388" operator="between">
      <formula>0.3751</formula>
      <formula>0.5625</formula>
    </cfRule>
    <cfRule type="cellIs" dxfId="4664" priority="1389" operator="greaterThan">
      <formula>0.751</formula>
    </cfRule>
    <cfRule type="cellIs" dxfId="4663" priority="1390" operator="between">
      <formula>0.71251</formula>
      <formula>0.75</formula>
    </cfRule>
    <cfRule type="cellIs" dxfId="4662" priority="1391" stopIfTrue="1" operator="between">
      <formula>0</formula>
      <formula>0.375</formula>
    </cfRule>
  </conditionalFormatting>
  <conditionalFormatting sqref="U227:V227">
    <cfRule type="cellIs" dxfId="4661" priority="1382" operator="between">
      <formula>0.376</formula>
      <formula>0.475</formula>
    </cfRule>
    <cfRule type="cellIs" dxfId="4660" priority="1383" operator="between">
      <formula>0.2551</formula>
      <formula>0.3751</formula>
    </cfRule>
    <cfRule type="cellIs" dxfId="4659" priority="1384" operator="greaterThan">
      <formula>0.505</formula>
    </cfRule>
    <cfRule type="cellIs" dxfId="4658" priority="1385" operator="between">
      <formula>0.48</formula>
      <formula>0.5</formula>
    </cfRule>
    <cfRule type="cellIs" dxfId="4657" priority="1386" stopIfTrue="1" operator="between">
      <formula>0</formula>
      <formula>0.255</formula>
    </cfRule>
  </conditionalFormatting>
  <conditionalFormatting sqref="AG227">
    <cfRule type="cellIs" dxfId="4656" priority="1377" operator="between">
      <formula>0.76</formula>
      <formula>0.95</formula>
    </cfRule>
    <cfRule type="cellIs" dxfId="4655" priority="1378" operator="between">
      <formula>0.51</formula>
      <formula>0.75</formula>
    </cfRule>
    <cfRule type="cellIs" dxfId="4654" priority="1379" operator="greaterThan">
      <formula>1</formula>
    </cfRule>
    <cfRule type="cellIs" dxfId="4653" priority="1380" operator="between">
      <formula>0.95</formula>
      <formula>1</formula>
    </cfRule>
    <cfRule type="cellIs" dxfId="4652" priority="1381" stopIfTrue="1" operator="between">
      <formula>0</formula>
      <formula>0.5</formula>
    </cfRule>
  </conditionalFormatting>
  <conditionalFormatting sqref="T232">
    <cfRule type="cellIs" dxfId="4651" priority="1366" operator="between">
      <formula>0.3751</formula>
      <formula>0.475</formula>
    </cfRule>
    <cfRule type="cellIs" dxfId="4650" priority="1367" operator="between">
      <formula>0.2551</formula>
      <formula>0.375</formula>
    </cfRule>
    <cfRule type="cellIs" dxfId="4649" priority="1368" operator="greaterThan">
      <formula>0.505</formula>
    </cfRule>
    <cfRule type="cellIs" dxfId="4648" priority="1369" operator="between">
      <formula>0.48</formula>
      <formula>0.5</formula>
    </cfRule>
    <cfRule type="cellIs" dxfId="4647" priority="1370" stopIfTrue="1" operator="between">
      <formula>0</formula>
      <formula>0.255</formula>
    </cfRule>
  </conditionalFormatting>
  <conditionalFormatting sqref="U232:V232">
    <cfRule type="cellIs" dxfId="4646" priority="1361" operator="between">
      <formula>0.376</formula>
      <formula>0.475</formula>
    </cfRule>
    <cfRule type="cellIs" dxfId="4645" priority="1362" operator="between">
      <formula>0.2551</formula>
      <formula>0.3751</formula>
    </cfRule>
    <cfRule type="cellIs" dxfId="4644" priority="1363" operator="greaterThan">
      <formula>0.505</formula>
    </cfRule>
    <cfRule type="cellIs" dxfId="4643" priority="1364" operator="between">
      <formula>0.48</formula>
      <formula>0.5</formula>
    </cfRule>
    <cfRule type="cellIs" dxfId="4642" priority="1365" stopIfTrue="1" operator="between">
      <formula>0</formula>
      <formula>0.255</formula>
    </cfRule>
  </conditionalFormatting>
  <conditionalFormatting sqref="AA232:AC232">
    <cfRule type="cellIs" dxfId="4641" priority="1356" operator="between">
      <formula>0.56251</formula>
      <formula>0.7125</formula>
    </cfRule>
    <cfRule type="cellIs" dxfId="4640" priority="1357" operator="between">
      <formula>0.3751</formula>
      <formula>0.5625</formula>
    </cfRule>
    <cfRule type="cellIs" dxfId="4639" priority="1358" operator="greaterThan">
      <formula>0.751</formula>
    </cfRule>
    <cfRule type="cellIs" dxfId="4638" priority="1359" operator="between">
      <formula>0.71251</formula>
      <formula>0.75</formula>
    </cfRule>
    <cfRule type="cellIs" dxfId="4637" priority="1360" stopIfTrue="1" operator="between">
      <formula>0</formula>
      <formula>0.375</formula>
    </cfRule>
  </conditionalFormatting>
  <conditionalFormatting sqref="AH232:AI232">
    <cfRule type="cellIs" dxfId="4636" priority="1351" operator="between">
      <formula>0.76</formula>
      <formula>0.95</formula>
    </cfRule>
    <cfRule type="cellIs" dxfId="4635" priority="1352" operator="between">
      <formula>0.51</formula>
      <formula>0.75</formula>
    </cfRule>
    <cfRule type="cellIs" dxfId="4634" priority="1353" operator="greaterThan">
      <formula>1</formula>
    </cfRule>
    <cfRule type="cellIs" dxfId="4633" priority="1354" operator="between">
      <formula>0.95</formula>
      <formula>1</formula>
    </cfRule>
    <cfRule type="cellIs" dxfId="4632" priority="1355" stopIfTrue="1" operator="between">
      <formula>0</formula>
      <formula>0.5</formula>
    </cfRule>
  </conditionalFormatting>
  <conditionalFormatting sqref="V236">
    <cfRule type="cellIs" dxfId="4631" priority="1346" operator="between">
      <formula>0.376</formula>
      <formula>0.475</formula>
    </cfRule>
    <cfRule type="cellIs" dxfId="4630" priority="1347" operator="between">
      <formula>0.2551</formula>
      <formula>0.3751</formula>
    </cfRule>
    <cfRule type="cellIs" dxfId="4629" priority="1348" operator="greaterThan">
      <formula>0.505</formula>
    </cfRule>
    <cfRule type="cellIs" dxfId="4628" priority="1349" operator="between">
      <formula>0.48</formula>
      <formula>0.5</formula>
    </cfRule>
    <cfRule type="cellIs" dxfId="4627" priority="1350" stopIfTrue="1" operator="between">
      <formula>0</formula>
      <formula>0.255</formula>
    </cfRule>
  </conditionalFormatting>
  <conditionalFormatting sqref="V237">
    <cfRule type="cellIs" dxfId="4626" priority="1341" operator="between">
      <formula>0.376</formula>
      <formula>0.475</formula>
    </cfRule>
    <cfRule type="cellIs" dxfId="4625" priority="1342" operator="between">
      <formula>0.2551</formula>
      <formula>0.3751</formula>
    </cfRule>
    <cfRule type="cellIs" dxfId="4624" priority="1343" operator="greaterThan">
      <formula>0.505</formula>
    </cfRule>
    <cfRule type="cellIs" dxfId="4623" priority="1344" operator="between">
      <formula>0.48</formula>
      <formula>0.5</formula>
    </cfRule>
    <cfRule type="cellIs" dxfId="4622" priority="1345" stopIfTrue="1" operator="between">
      <formula>0</formula>
      <formula>0.255</formula>
    </cfRule>
  </conditionalFormatting>
  <conditionalFormatting sqref="AC236">
    <cfRule type="cellIs" dxfId="4621" priority="1336" operator="between">
      <formula>0.56251</formula>
      <formula>0.7125</formula>
    </cfRule>
    <cfRule type="cellIs" dxfId="4620" priority="1337" operator="between">
      <formula>0.3751</formula>
      <formula>0.5625</formula>
    </cfRule>
    <cfRule type="cellIs" dxfId="4619" priority="1338" operator="greaterThan">
      <formula>0.751</formula>
    </cfRule>
    <cfRule type="cellIs" dxfId="4618" priority="1339" operator="between">
      <formula>0.71251</formula>
      <formula>0.75</formula>
    </cfRule>
    <cfRule type="cellIs" dxfId="4617" priority="1340" stopIfTrue="1" operator="between">
      <formula>0</formula>
      <formula>0.375</formula>
    </cfRule>
  </conditionalFormatting>
  <conditionalFormatting sqref="AC237">
    <cfRule type="cellIs" dxfId="4616" priority="1331" operator="between">
      <formula>0.56251</formula>
      <formula>0.7125</formula>
    </cfRule>
    <cfRule type="cellIs" dxfId="4615" priority="1332" operator="between">
      <formula>0.3751</formula>
      <formula>0.5625</formula>
    </cfRule>
    <cfRule type="cellIs" dxfId="4614" priority="1333" operator="greaterThan">
      <formula>0.751</formula>
    </cfRule>
    <cfRule type="cellIs" dxfId="4613" priority="1334" operator="between">
      <formula>0.71251</formula>
      <formula>0.75</formula>
    </cfRule>
    <cfRule type="cellIs" dxfId="4612" priority="1335" stopIfTrue="1" operator="between">
      <formula>0</formula>
      <formula>0.375</formula>
    </cfRule>
  </conditionalFormatting>
  <conditionalFormatting sqref="T242">
    <cfRule type="cellIs" dxfId="4611" priority="1326" operator="between">
      <formula>0.3751</formula>
      <formula>0.475</formula>
    </cfRule>
    <cfRule type="cellIs" dxfId="4610" priority="1327" operator="between">
      <formula>0.2551</formula>
      <formula>0.375</formula>
    </cfRule>
    <cfRule type="cellIs" dxfId="4609" priority="1328" operator="greaterThan">
      <formula>0.505</formula>
    </cfRule>
    <cfRule type="cellIs" dxfId="4608" priority="1329" operator="between">
      <formula>0.48</formula>
      <formula>0.5</formula>
    </cfRule>
    <cfRule type="cellIs" dxfId="4607" priority="1330" stopIfTrue="1" operator="between">
      <formula>0</formula>
      <formula>0.255</formula>
    </cfRule>
  </conditionalFormatting>
  <conditionalFormatting sqref="U242">
    <cfRule type="cellIs" dxfId="4606" priority="1321" operator="between">
      <formula>0.376</formula>
      <formula>0.475</formula>
    </cfRule>
    <cfRule type="cellIs" dxfId="4605" priority="1322" operator="between">
      <formula>0.2551</formula>
      <formula>0.3751</formula>
    </cfRule>
    <cfRule type="cellIs" dxfId="4604" priority="1323" operator="greaterThan">
      <formula>0.505</formula>
    </cfRule>
    <cfRule type="cellIs" dxfId="4603" priority="1324" operator="between">
      <formula>0.48</formula>
      <formula>0.5</formula>
    </cfRule>
    <cfRule type="cellIs" dxfId="4602" priority="1325" stopIfTrue="1" operator="between">
      <formula>0</formula>
      <formula>0.255</formula>
    </cfRule>
  </conditionalFormatting>
  <conditionalFormatting sqref="T243">
    <cfRule type="cellIs" dxfId="4601" priority="1316" operator="between">
      <formula>0.3751</formula>
      <formula>0.475</formula>
    </cfRule>
    <cfRule type="cellIs" dxfId="4600" priority="1317" operator="between">
      <formula>0.2551</formula>
      <formula>0.375</formula>
    </cfRule>
    <cfRule type="cellIs" dxfId="4599" priority="1318" operator="greaterThan">
      <formula>0.505</formula>
    </cfRule>
    <cfRule type="cellIs" dxfId="4598" priority="1319" operator="between">
      <formula>0.48</formula>
      <formula>0.5</formula>
    </cfRule>
    <cfRule type="cellIs" dxfId="4597" priority="1320" stopIfTrue="1" operator="between">
      <formula>0</formula>
      <formula>0.255</formula>
    </cfRule>
  </conditionalFormatting>
  <conditionalFormatting sqref="U243">
    <cfRule type="cellIs" dxfId="4596" priority="1311" operator="between">
      <formula>0.376</formula>
      <formula>0.475</formula>
    </cfRule>
    <cfRule type="cellIs" dxfId="4595" priority="1312" operator="between">
      <formula>0.2551</formula>
      <formula>0.3751</formula>
    </cfRule>
    <cfRule type="cellIs" dxfId="4594" priority="1313" operator="greaterThan">
      <formula>0.505</formula>
    </cfRule>
    <cfRule type="cellIs" dxfId="4593" priority="1314" operator="between">
      <formula>0.48</formula>
      <formula>0.5</formula>
    </cfRule>
    <cfRule type="cellIs" dxfId="4592" priority="1315" stopIfTrue="1" operator="between">
      <formula>0</formula>
      <formula>0.255</formula>
    </cfRule>
  </conditionalFormatting>
  <conditionalFormatting sqref="Y242:Z242">
    <cfRule type="cellIs" dxfId="4591" priority="1306" operator="between">
      <formula>0.76</formula>
      <formula>0.95</formula>
    </cfRule>
    <cfRule type="cellIs" dxfId="4590" priority="1307" operator="between">
      <formula>0.51</formula>
      <formula>0.75</formula>
    </cfRule>
    <cfRule type="cellIs" dxfId="4589" priority="1308" operator="greaterThan">
      <formula>1</formula>
    </cfRule>
    <cfRule type="cellIs" dxfId="4588" priority="1309" operator="between">
      <formula>0.96</formula>
      <formula>1</formula>
    </cfRule>
    <cfRule type="cellIs" dxfId="4587" priority="1310" stopIfTrue="1" operator="between">
      <formula>0</formula>
      <formula>0.5</formula>
    </cfRule>
  </conditionalFormatting>
  <conditionalFormatting sqref="AA242:AC242">
    <cfRule type="cellIs" dxfId="4586" priority="1301" operator="between">
      <formula>0.56251</formula>
      <formula>0.7125</formula>
    </cfRule>
    <cfRule type="cellIs" dxfId="4585" priority="1302" operator="between">
      <formula>0.3751</formula>
      <formula>0.5625</formula>
    </cfRule>
    <cfRule type="cellIs" dxfId="4584" priority="1303" operator="greaterThan">
      <formula>0.751</formula>
    </cfRule>
    <cfRule type="cellIs" dxfId="4583" priority="1304" operator="between">
      <formula>0.71251</formula>
      <formula>0.75</formula>
    </cfRule>
    <cfRule type="cellIs" dxfId="4582" priority="1305" stopIfTrue="1" operator="between">
      <formula>0</formula>
      <formula>0.375</formula>
    </cfRule>
  </conditionalFormatting>
  <conditionalFormatting sqref="Z243">
    <cfRule type="cellIs" dxfId="4581" priority="1296" operator="between">
      <formula>0.76</formula>
      <formula>0.95</formula>
    </cfRule>
    <cfRule type="cellIs" dxfId="4580" priority="1297" operator="between">
      <formula>0.51</formula>
      <formula>0.75</formula>
    </cfRule>
    <cfRule type="cellIs" dxfId="4579" priority="1298" operator="greaterThan">
      <formula>1</formula>
    </cfRule>
    <cfRule type="cellIs" dxfId="4578" priority="1299" operator="between">
      <formula>0.95</formula>
      <formula>1</formula>
    </cfRule>
    <cfRule type="cellIs" dxfId="4577" priority="1300" stopIfTrue="1" operator="between">
      <formula>0</formula>
      <formula>0.5</formula>
    </cfRule>
  </conditionalFormatting>
  <conditionalFormatting sqref="AA243:AB243">
    <cfRule type="cellIs" dxfId="4576" priority="1291" operator="between">
      <formula>0.56251</formula>
      <formula>0.7125</formula>
    </cfRule>
    <cfRule type="cellIs" dxfId="4575" priority="1292" operator="between">
      <formula>0.3751</formula>
      <formula>0.5625</formula>
    </cfRule>
    <cfRule type="cellIs" dxfId="4574" priority="1293" operator="greaterThan">
      <formula>0.751</formula>
    </cfRule>
    <cfRule type="cellIs" dxfId="4573" priority="1294" operator="between">
      <formula>0.71251</formula>
      <formula>0.75</formula>
    </cfRule>
    <cfRule type="cellIs" dxfId="4572" priority="1295" stopIfTrue="1" operator="between">
      <formula>0</formula>
      <formula>0.375</formula>
    </cfRule>
  </conditionalFormatting>
  <conditionalFormatting sqref="S262">
    <cfRule type="cellIs" dxfId="4571" priority="1286" operator="between">
      <formula>0.76</formula>
      <formula>0.95</formula>
    </cfRule>
    <cfRule type="cellIs" dxfId="4570" priority="1287" operator="between">
      <formula>0.51</formula>
      <formula>0.75</formula>
    </cfRule>
    <cfRule type="cellIs" dxfId="4569" priority="1288" operator="greaterThan">
      <formula>1</formula>
    </cfRule>
    <cfRule type="cellIs" dxfId="4568" priority="1289" operator="between">
      <formula>0.95</formula>
      <formula>1</formula>
    </cfRule>
    <cfRule type="cellIs" dxfId="4567" priority="1290" stopIfTrue="1" operator="between">
      <formula>0</formula>
      <formula>0.5</formula>
    </cfRule>
  </conditionalFormatting>
  <conditionalFormatting sqref="V262">
    <cfRule type="cellIs" dxfId="4566" priority="1281" operator="between">
      <formula>0.376</formula>
      <formula>0.475</formula>
    </cfRule>
    <cfRule type="cellIs" dxfId="4565" priority="1282" operator="between">
      <formula>0.2551</formula>
      <formula>0.3751</formula>
    </cfRule>
    <cfRule type="cellIs" dxfId="4564" priority="1283" operator="greaterThan">
      <formula>0.505</formula>
    </cfRule>
    <cfRule type="cellIs" dxfId="4563" priority="1284" operator="between">
      <formula>0.48</formula>
      <formula>0.5</formula>
    </cfRule>
    <cfRule type="cellIs" dxfId="4562" priority="1285" stopIfTrue="1" operator="between">
      <formula>0</formula>
      <formula>0.255</formula>
    </cfRule>
  </conditionalFormatting>
  <conditionalFormatting sqref="Z263:Z265">
    <cfRule type="cellIs" dxfId="4561" priority="1276" operator="between">
      <formula>0.76</formula>
      <formula>0.95</formula>
    </cfRule>
    <cfRule type="cellIs" dxfId="4560" priority="1277" operator="between">
      <formula>0.51</formula>
      <formula>0.75</formula>
    </cfRule>
    <cfRule type="cellIs" dxfId="4559" priority="1278" operator="greaterThan">
      <formula>1</formula>
    </cfRule>
    <cfRule type="cellIs" dxfId="4558" priority="1279" operator="between">
      <formula>0.95</formula>
      <formula>1</formula>
    </cfRule>
    <cfRule type="cellIs" dxfId="4557" priority="1280" stopIfTrue="1" operator="between">
      <formula>0</formula>
      <formula>0.5</formula>
    </cfRule>
  </conditionalFormatting>
  <conditionalFormatting sqref="Z267">
    <cfRule type="cellIs" dxfId="4556" priority="1271" operator="between">
      <formula>0.76</formula>
      <formula>0.95</formula>
    </cfRule>
    <cfRule type="cellIs" dxfId="4555" priority="1272" operator="between">
      <formula>0.51</formula>
      <formula>0.75</formula>
    </cfRule>
    <cfRule type="cellIs" dxfId="4554" priority="1273" operator="greaterThan">
      <formula>1</formula>
    </cfRule>
    <cfRule type="cellIs" dxfId="4553" priority="1274" operator="between">
      <formula>0.95</formula>
      <formula>1</formula>
    </cfRule>
    <cfRule type="cellIs" dxfId="4552" priority="1275" stopIfTrue="1" operator="between">
      <formula>0</formula>
      <formula>0.5</formula>
    </cfRule>
  </conditionalFormatting>
  <conditionalFormatting sqref="AA267:AC267">
    <cfRule type="cellIs" dxfId="4551" priority="1266" operator="between">
      <formula>0.56251</formula>
      <formula>0.7125</formula>
    </cfRule>
    <cfRule type="cellIs" dxfId="4550" priority="1267" operator="between">
      <formula>0.3751</formula>
      <formula>0.5625</formula>
    </cfRule>
    <cfRule type="cellIs" dxfId="4549" priority="1268" operator="greaterThan">
      <formula>0.751</formula>
    </cfRule>
    <cfRule type="cellIs" dxfId="4548" priority="1269" operator="between">
      <formula>0.71251</formula>
      <formula>0.75</formula>
    </cfRule>
    <cfRule type="cellIs" dxfId="4547" priority="1270" stopIfTrue="1" operator="between">
      <formula>0</formula>
      <formula>0.375</formula>
    </cfRule>
  </conditionalFormatting>
  <conditionalFormatting sqref="V285">
    <cfRule type="cellIs" dxfId="4546" priority="1261" operator="between">
      <formula>0.376</formula>
      <formula>0.475</formula>
    </cfRule>
    <cfRule type="cellIs" dxfId="4545" priority="1262" operator="between">
      <formula>0.2551</formula>
      <formula>0.3751</formula>
    </cfRule>
    <cfRule type="cellIs" dxfId="4544" priority="1263" operator="greaterThan">
      <formula>0.505</formula>
    </cfRule>
    <cfRule type="cellIs" dxfId="4543" priority="1264" operator="between">
      <formula>0.48</formula>
      <formula>0.5</formula>
    </cfRule>
    <cfRule type="cellIs" dxfId="4542" priority="1265" stopIfTrue="1" operator="between">
      <formula>0</formula>
      <formula>0.255</formula>
    </cfRule>
  </conditionalFormatting>
  <conditionalFormatting sqref="AC285">
    <cfRule type="cellIs" dxfId="4541" priority="1256" operator="between">
      <formula>0.56251</formula>
      <formula>0.7125</formula>
    </cfRule>
    <cfRule type="cellIs" dxfId="4540" priority="1257" operator="between">
      <formula>0.3751</formula>
      <formula>0.5625</formula>
    </cfRule>
    <cfRule type="cellIs" dxfId="4539" priority="1258" operator="greaterThan">
      <formula>0.751</formula>
    </cfRule>
    <cfRule type="cellIs" dxfId="4538" priority="1259" operator="between">
      <formula>0.71251</formula>
      <formula>0.75</formula>
    </cfRule>
    <cfRule type="cellIs" dxfId="4537" priority="1260" stopIfTrue="1" operator="between">
      <formula>0</formula>
      <formula>0.375</formula>
    </cfRule>
  </conditionalFormatting>
  <conditionalFormatting sqref="V290">
    <cfRule type="cellIs" dxfId="4536" priority="1251" operator="between">
      <formula>0.376</formula>
      <formula>0.475</formula>
    </cfRule>
    <cfRule type="cellIs" dxfId="4535" priority="1252" operator="between">
      <formula>0.2551</formula>
      <formula>0.3751</formula>
    </cfRule>
    <cfRule type="cellIs" dxfId="4534" priority="1253" operator="greaterThan">
      <formula>0.505</formula>
    </cfRule>
    <cfRule type="cellIs" dxfId="4533" priority="1254" operator="between">
      <formula>0.48</formula>
      <formula>0.5</formula>
    </cfRule>
    <cfRule type="cellIs" dxfId="4532" priority="1255" stopIfTrue="1" operator="between">
      <formula>0</formula>
      <formula>0.255</formula>
    </cfRule>
  </conditionalFormatting>
  <conditionalFormatting sqref="AC290">
    <cfRule type="cellIs" dxfId="4531" priority="1246" operator="between">
      <formula>0.56251</formula>
      <formula>0.7125</formula>
    </cfRule>
    <cfRule type="cellIs" dxfId="4530" priority="1247" operator="between">
      <formula>0.3751</formula>
      <formula>0.5625</formula>
    </cfRule>
    <cfRule type="cellIs" dxfId="4529" priority="1248" operator="greaterThan">
      <formula>0.751</formula>
    </cfRule>
    <cfRule type="cellIs" dxfId="4528" priority="1249" operator="between">
      <formula>0.71251</formula>
      <formula>0.75</formula>
    </cfRule>
    <cfRule type="cellIs" dxfId="4527" priority="1250" stopIfTrue="1" operator="between">
      <formula>0</formula>
      <formula>0.375</formula>
    </cfRule>
  </conditionalFormatting>
  <conditionalFormatting sqref="Z295">
    <cfRule type="cellIs" dxfId="4526" priority="1241" operator="between">
      <formula>0.76</formula>
      <formula>0.95</formula>
    </cfRule>
    <cfRule type="cellIs" dxfId="4525" priority="1242" operator="between">
      <formula>0.51</formula>
      <formula>0.75</formula>
    </cfRule>
    <cfRule type="cellIs" dxfId="4524" priority="1243" operator="greaterThan">
      <formula>1</formula>
    </cfRule>
    <cfRule type="cellIs" dxfId="4523" priority="1244" operator="between">
      <formula>0.95</formula>
      <formula>1</formula>
    </cfRule>
    <cfRule type="cellIs" dxfId="4522" priority="1245" stopIfTrue="1" operator="between">
      <formula>0</formula>
      <formula>0.5</formula>
    </cfRule>
  </conditionalFormatting>
  <conditionalFormatting sqref="T309">
    <cfRule type="cellIs" dxfId="4521" priority="1236" operator="between">
      <formula>0.3751</formula>
      <formula>0.475</formula>
    </cfRule>
    <cfRule type="cellIs" dxfId="4520" priority="1237" operator="between">
      <formula>0.2551</formula>
      <formula>0.375</formula>
    </cfRule>
    <cfRule type="cellIs" dxfId="4519" priority="1238" operator="greaterThan">
      <formula>0.505</formula>
    </cfRule>
    <cfRule type="cellIs" dxfId="4518" priority="1239" operator="between">
      <formula>0.48</formula>
      <formula>0.5</formula>
    </cfRule>
    <cfRule type="cellIs" dxfId="4517" priority="1240" stopIfTrue="1" operator="between">
      <formula>0</formula>
      <formula>0.255</formula>
    </cfRule>
  </conditionalFormatting>
  <conditionalFormatting sqref="U309">
    <cfRule type="cellIs" dxfId="4516" priority="1231" operator="between">
      <formula>0.376</formula>
      <formula>0.475</formula>
    </cfRule>
    <cfRule type="cellIs" dxfId="4515" priority="1232" operator="between">
      <formula>0.2551</formula>
      <formula>0.3751</formula>
    </cfRule>
    <cfRule type="cellIs" dxfId="4514" priority="1233" operator="greaterThan">
      <formula>0.505</formula>
    </cfRule>
    <cfRule type="cellIs" dxfId="4513" priority="1234" operator="between">
      <formula>0.48</formula>
      <formula>0.5</formula>
    </cfRule>
    <cfRule type="cellIs" dxfId="4512" priority="1235" stopIfTrue="1" operator="between">
      <formula>0</formula>
      <formula>0.255</formula>
    </cfRule>
  </conditionalFormatting>
  <conditionalFormatting sqref="V309">
    <cfRule type="cellIs" dxfId="4511" priority="1226" operator="between">
      <formula>0.376</formula>
      <formula>0.475</formula>
    </cfRule>
    <cfRule type="cellIs" dxfId="4510" priority="1227" operator="between">
      <formula>0.2551</formula>
      <formula>0.3751</formula>
    </cfRule>
    <cfRule type="cellIs" dxfId="4509" priority="1228" operator="greaterThan">
      <formula>0.505</formula>
    </cfRule>
    <cfRule type="cellIs" dxfId="4508" priority="1229" operator="between">
      <formula>0.48</formula>
      <formula>0.5</formula>
    </cfRule>
    <cfRule type="cellIs" dxfId="4507" priority="1230" stopIfTrue="1" operator="between">
      <formula>0</formula>
      <formula>0.255</formula>
    </cfRule>
  </conditionalFormatting>
  <conditionalFormatting sqref="S311">
    <cfRule type="cellIs" dxfId="4506" priority="1221" operator="between">
      <formula>0.76</formula>
      <formula>0.95</formula>
    </cfRule>
    <cfRule type="cellIs" dxfId="4505" priority="1222" operator="between">
      <formula>0.51</formula>
      <formula>0.75</formula>
    </cfRule>
    <cfRule type="cellIs" dxfId="4504" priority="1223" operator="greaterThan">
      <formula>1</formula>
    </cfRule>
    <cfRule type="cellIs" dxfId="4503" priority="1224" operator="between">
      <formula>0.95</formula>
      <formula>1</formula>
    </cfRule>
    <cfRule type="cellIs" dxfId="4502" priority="1225" stopIfTrue="1" operator="between">
      <formula>0</formula>
      <formula>0.5</formula>
    </cfRule>
  </conditionalFormatting>
  <conditionalFormatting sqref="AG311">
    <cfRule type="cellIs" dxfId="4501" priority="1216" operator="between">
      <formula>0.76</formula>
      <formula>0.95</formula>
    </cfRule>
    <cfRule type="cellIs" dxfId="4500" priority="1217" operator="between">
      <formula>0.51</formula>
      <formula>0.75</formula>
    </cfRule>
    <cfRule type="cellIs" dxfId="4499" priority="1218" operator="greaterThan">
      <formula>1</formula>
    </cfRule>
    <cfRule type="cellIs" dxfId="4498" priority="1219" operator="between">
      <formula>0.95</formula>
      <formula>1</formula>
    </cfRule>
    <cfRule type="cellIs" dxfId="4497" priority="1220" stopIfTrue="1" operator="between">
      <formula>0</formula>
      <formula>0.5</formula>
    </cfRule>
  </conditionalFormatting>
  <conditionalFormatting sqref="V312">
    <cfRule type="cellIs" dxfId="4496" priority="1211" operator="between">
      <formula>0.376</formula>
      <formula>0.475</formula>
    </cfRule>
    <cfRule type="cellIs" dxfId="4495" priority="1212" operator="between">
      <formula>0.2551</formula>
      <formula>0.3751</formula>
    </cfRule>
    <cfRule type="cellIs" dxfId="4494" priority="1213" operator="greaterThan">
      <formula>0.505</formula>
    </cfRule>
    <cfRule type="cellIs" dxfId="4493" priority="1214" operator="between">
      <formula>0.48</formula>
      <formula>0.5</formula>
    </cfRule>
    <cfRule type="cellIs" dxfId="4492" priority="1215" stopIfTrue="1" operator="between">
      <formula>0</formula>
      <formula>0.255</formula>
    </cfRule>
  </conditionalFormatting>
  <conditionalFormatting sqref="AA312">
    <cfRule type="cellIs" dxfId="4491" priority="1206" operator="between">
      <formula>0.56251</formula>
      <formula>0.7125</formula>
    </cfRule>
    <cfRule type="cellIs" dxfId="4490" priority="1207" operator="between">
      <formula>0.3751</formula>
      <formula>0.5625</formula>
    </cfRule>
    <cfRule type="cellIs" dxfId="4489" priority="1208" operator="greaterThan">
      <formula>0.751</formula>
    </cfRule>
    <cfRule type="cellIs" dxfId="4488" priority="1209" operator="between">
      <formula>0.71251</formula>
      <formula>0.75</formula>
    </cfRule>
    <cfRule type="cellIs" dxfId="4487" priority="1210" stopIfTrue="1" operator="between">
      <formula>0</formula>
      <formula>0.375</formula>
    </cfRule>
  </conditionalFormatting>
  <conditionalFormatting sqref="AC312">
    <cfRule type="cellIs" dxfId="4486" priority="1201" operator="between">
      <formula>0.56251</formula>
      <formula>0.7125</formula>
    </cfRule>
    <cfRule type="cellIs" dxfId="4485" priority="1202" operator="between">
      <formula>0.3751</formula>
      <formula>0.5625</formula>
    </cfRule>
    <cfRule type="cellIs" dxfId="4484" priority="1203" operator="greaterThan">
      <formula>0.751</formula>
    </cfRule>
    <cfRule type="cellIs" dxfId="4483" priority="1204" operator="between">
      <formula>0.71251</formula>
      <formula>0.75</formula>
    </cfRule>
    <cfRule type="cellIs" dxfId="4482" priority="1205" stopIfTrue="1" operator="between">
      <formula>0</formula>
      <formula>0.375</formula>
    </cfRule>
  </conditionalFormatting>
  <conditionalFormatting sqref="AB312">
    <cfRule type="cellIs" dxfId="4481" priority="1196" operator="between">
      <formula>0.56251</formula>
      <formula>0.7125</formula>
    </cfRule>
    <cfRule type="cellIs" dxfId="4480" priority="1197" operator="between">
      <formula>0.3751</formula>
      <formula>0.5625</formula>
    </cfRule>
    <cfRule type="cellIs" dxfId="4479" priority="1198" operator="greaterThan">
      <formula>0.751</formula>
    </cfRule>
    <cfRule type="cellIs" dxfId="4478" priority="1199" operator="between">
      <formula>0.71251</formula>
      <formula>0.75</formula>
    </cfRule>
    <cfRule type="cellIs" dxfId="4477" priority="1200" stopIfTrue="1" operator="between">
      <formula>0</formula>
      <formula>0.375</formula>
    </cfRule>
  </conditionalFormatting>
  <conditionalFormatting sqref="AI312">
    <cfRule type="cellIs" dxfId="4476" priority="1191" operator="between">
      <formula>0.76</formula>
      <formula>0.95</formula>
    </cfRule>
    <cfRule type="cellIs" dxfId="4475" priority="1192" operator="between">
      <formula>0.51</formula>
      <formula>0.75</formula>
    </cfRule>
    <cfRule type="cellIs" dxfId="4474" priority="1193" operator="greaterThan">
      <formula>1</formula>
    </cfRule>
    <cfRule type="cellIs" dxfId="4473" priority="1194" operator="between">
      <formula>0.95</formula>
      <formula>1</formula>
    </cfRule>
    <cfRule type="cellIs" dxfId="4472" priority="1195" stopIfTrue="1" operator="between">
      <formula>0</formula>
      <formula>0.5</formula>
    </cfRule>
  </conditionalFormatting>
  <conditionalFormatting sqref="AH312">
    <cfRule type="cellIs" dxfId="4471" priority="1186" operator="between">
      <formula>0.76</formula>
      <formula>0.95</formula>
    </cfRule>
    <cfRule type="cellIs" dxfId="4470" priority="1187" operator="between">
      <formula>0.51</formula>
      <formula>0.75</formula>
    </cfRule>
    <cfRule type="cellIs" dxfId="4469" priority="1188" operator="greaterThan">
      <formula>1</formula>
    </cfRule>
    <cfRule type="cellIs" dxfId="4468" priority="1189" operator="between">
      <formula>0.95</formula>
      <formula>1</formula>
    </cfRule>
    <cfRule type="cellIs" dxfId="4467" priority="1190" stopIfTrue="1" operator="between">
      <formula>0</formula>
      <formula>0.5</formula>
    </cfRule>
  </conditionalFormatting>
  <conditionalFormatting sqref="AG358">
    <cfRule type="cellIs" dxfId="4466" priority="1181" operator="between">
      <formula>0.76</formula>
      <formula>0.95</formula>
    </cfRule>
    <cfRule type="cellIs" dxfId="4465" priority="1182" operator="between">
      <formula>0.51</formula>
      <formula>0.75</formula>
    </cfRule>
    <cfRule type="cellIs" dxfId="4464" priority="1183" operator="greaterThan">
      <formula>1</formula>
    </cfRule>
    <cfRule type="cellIs" dxfId="4463" priority="1184" operator="between">
      <formula>0.95</formula>
      <formula>1</formula>
    </cfRule>
    <cfRule type="cellIs" dxfId="4462" priority="1185" stopIfTrue="1" operator="between">
      <formula>0</formula>
      <formula>0.5</formula>
    </cfRule>
  </conditionalFormatting>
  <conditionalFormatting sqref="AG361">
    <cfRule type="cellIs" dxfId="4461" priority="1176" operator="between">
      <formula>0.76</formula>
      <formula>0.95</formula>
    </cfRule>
    <cfRule type="cellIs" dxfId="4460" priority="1177" operator="between">
      <formula>0.51</formula>
      <formula>0.75</formula>
    </cfRule>
    <cfRule type="cellIs" dxfId="4459" priority="1178" operator="greaterThan">
      <formula>1</formula>
    </cfRule>
    <cfRule type="cellIs" dxfId="4458" priority="1179" operator="between">
      <formula>0.95</formula>
      <formula>1</formula>
    </cfRule>
    <cfRule type="cellIs" dxfId="4457" priority="1180" stopIfTrue="1" operator="between">
      <formula>0</formula>
      <formula>0.5</formula>
    </cfRule>
  </conditionalFormatting>
  <conditionalFormatting sqref="T208">
    <cfRule type="cellIs" dxfId="4456" priority="1171" operator="between">
      <formula>0.3751</formula>
      <formula>0.475</formula>
    </cfRule>
    <cfRule type="cellIs" dxfId="4455" priority="1172" operator="between">
      <formula>0.2551</formula>
      <formula>0.375</formula>
    </cfRule>
    <cfRule type="cellIs" dxfId="4454" priority="1173" operator="greaterThan">
      <formula>0.505</formula>
    </cfRule>
    <cfRule type="cellIs" dxfId="4453" priority="1174" operator="between">
      <formula>0.48</formula>
      <formula>0.5</formula>
    </cfRule>
    <cfRule type="cellIs" dxfId="4452" priority="1175" stopIfTrue="1" operator="between">
      <formula>0</formula>
      <formula>0.255</formula>
    </cfRule>
  </conditionalFormatting>
  <conditionalFormatting sqref="U208:V208">
    <cfRule type="cellIs" dxfId="4451" priority="1166" operator="between">
      <formula>0.376</formula>
      <formula>0.475</formula>
    </cfRule>
    <cfRule type="cellIs" dxfId="4450" priority="1167" operator="between">
      <formula>0.2551</formula>
      <formula>0.3751</formula>
    </cfRule>
    <cfRule type="cellIs" dxfId="4449" priority="1168" operator="greaterThan">
      <formula>0.505</formula>
    </cfRule>
    <cfRule type="cellIs" dxfId="4448" priority="1169" operator="between">
      <formula>0.48</formula>
      <formula>0.5</formula>
    </cfRule>
    <cfRule type="cellIs" dxfId="4447" priority="1170" stopIfTrue="1" operator="between">
      <formula>0</formula>
      <formula>0.255</formula>
    </cfRule>
  </conditionalFormatting>
  <conditionalFormatting sqref="N367:O367">
    <cfRule type="cellIs" dxfId="4446" priority="1156" operator="between">
      <formula>0.1876</formula>
      <formula>0.2375</formula>
    </cfRule>
    <cfRule type="cellIs" dxfId="4445" priority="1157" operator="between">
      <formula>0.1251</formula>
      <formula>0.1875</formula>
    </cfRule>
    <cfRule type="cellIs" dxfId="4444" priority="1158" operator="greaterThan">
      <formula>0.25</formula>
    </cfRule>
    <cfRule type="cellIs" dxfId="4443" priority="1159" operator="between">
      <formula>0.2376</formula>
      <formula>0.25</formula>
    </cfRule>
    <cfRule type="cellIs" dxfId="4442" priority="1160" stopIfTrue="1" operator="between">
      <formula>0</formula>
      <formula>0.25</formula>
    </cfRule>
  </conditionalFormatting>
  <conditionalFormatting sqref="N368:O368">
    <cfRule type="cellIs" dxfId="4441" priority="1151" operator="between">
      <formula>0.1876</formula>
      <formula>0.2375</formula>
    </cfRule>
    <cfRule type="cellIs" dxfId="4440" priority="1152" operator="between">
      <formula>0.1251</formula>
      <formula>0.1875</formula>
    </cfRule>
    <cfRule type="cellIs" dxfId="4439" priority="1153" operator="greaterThan">
      <formula>0.25</formula>
    </cfRule>
    <cfRule type="cellIs" dxfId="4438" priority="1154" operator="between">
      <formula>0.2376</formula>
      <formula>0.25</formula>
    </cfRule>
    <cfRule type="cellIs" dxfId="4437" priority="1155" stopIfTrue="1" operator="between">
      <formula>0</formula>
      <formula>0.25</formula>
    </cfRule>
  </conditionalFormatting>
  <conditionalFormatting sqref="S367">
    <cfRule type="cellIs" dxfId="4436" priority="1146" operator="between">
      <formula>0.76</formula>
      <formula>0.95</formula>
    </cfRule>
    <cfRule type="cellIs" dxfId="4435" priority="1147" operator="between">
      <formula>0.51</formula>
      <formula>0.75</formula>
    </cfRule>
    <cfRule type="cellIs" dxfId="4434" priority="1148" operator="greaterThan">
      <formula>1</formula>
    </cfRule>
    <cfRule type="cellIs" dxfId="4433" priority="1149" operator="between">
      <formula>0.95</formula>
      <formula>1</formula>
    </cfRule>
    <cfRule type="cellIs" dxfId="4432" priority="1150" stopIfTrue="1" operator="between">
      <formula>0</formula>
      <formula>0.5</formula>
    </cfRule>
  </conditionalFormatting>
  <conditionalFormatting sqref="U367:V367">
    <cfRule type="cellIs" dxfId="4431" priority="1141" operator="between">
      <formula>0.37505</formula>
      <formula>0.475</formula>
    </cfRule>
    <cfRule type="cellIs" dxfId="4430" priority="1142" operator="between">
      <formula>0.2505</formula>
      <formula>0.375</formula>
    </cfRule>
    <cfRule type="cellIs" dxfId="4429" priority="1143" operator="greaterThan">
      <formula>0.505</formula>
    </cfRule>
    <cfRule type="cellIs" dxfId="4428" priority="1144" operator="between">
      <formula>0.47505</formula>
      <formula>0.5</formula>
    </cfRule>
    <cfRule type="cellIs" dxfId="4427" priority="1145" stopIfTrue="1" operator="between">
      <formula>0</formula>
      <formula>0.25</formula>
    </cfRule>
  </conditionalFormatting>
  <conditionalFormatting sqref="S368">
    <cfRule type="cellIs" dxfId="4426" priority="1136" operator="between">
      <formula>0.76</formula>
      <formula>0.95</formula>
    </cfRule>
    <cfRule type="cellIs" dxfId="4425" priority="1137" operator="between">
      <formula>0.51</formula>
      <formula>0.75</formula>
    </cfRule>
    <cfRule type="cellIs" dxfId="4424" priority="1138" operator="greaterThan">
      <formula>1</formula>
    </cfRule>
    <cfRule type="cellIs" dxfId="4423" priority="1139" operator="between">
      <formula>0.95</formula>
      <formula>1</formula>
    </cfRule>
    <cfRule type="cellIs" dxfId="4422" priority="1140" stopIfTrue="1" operator="between">
      <formula>0</formula>
      <formula>0.5</formula>
    </cfRule>
  </conditionalFormatting>
  <conditionalFormatting sqref="T368">
    <cfRule type="cellIs" dxfId="4421" priority="1131" operator="between">
      <formula>0.37505</formula>
      <formula>0.475</formula>
    </cfRule>
    <cfRule type="cellIs" dxfId="4420" priority="1132" operator="between">
      <formula>0.2505</formula>
      <formula>0.375</formula>
    </cfRule>
    <cfRule type="cellIs" dxfId="4419" priority="1133" operator="greaterThan">
      <formula>0.505</formula>
    </cfRule>
    <cfRule type="cellIs" dxfId="4418" priority="1134" operator="between">
      <formula>0.47505</formula>
      <formula>0.5</formula>
    </cfRule>
    <cfRule type="cellIs" dxfId="4417" priority="1135" stopIfTrue="1" operator="between">
      <formula>0</formula>
      <formula>0.25</formula>
    </cfRule>
  </conditionalFormatting>
  <conditionalFormatting sqref="U368:V368">
    <cfRule type="cellIs" dxfId="4416" priority="1121" operator="between">
      <formula>0.37505</formula>
      <formula>0.475</formula>
    </cfRule>
    <cfRule type="cellIs" dxfId="4415" priority="1122" operator="between">
      <formula>0.2505</formula>
      <formula>0.375</formula>
    </cfRule>
    <cfRule type="cellIs" dxfId="4414" priority="1123" operator="greaterThan">
      <formula>0.505</formula>
    </cfRule>
    <cfRule type="cellIs" dxfId="4413" priority="1124" operator="between">
      <formula>0.47505</formula>
      <formula>0.5</formula>
    </cfRule>
    <cfRule type="cellIs" dxfId="4412" priority="1125" stopIfTrue="1" operator="between">
      <formula>0</formula>
      <formula>0.25</formula>
    </cfRule>
  </conditionalFormatting>
  <conditionalFormatting sqref="S173">
    <cfRule type="cellIs" dxfId="4411" priority="1111" operator="between">
      <formula>0.76</formula>
      <formula>0.95</formula>
    </cfRule>
    <cfRule type="cellIs" dxfId="4410" priority="1112" operator="between">
      <formula>0.51</formula>
      <formula>0.75</formula>
    </cfRule>
    <cfRule type="cellIs" dxfId="4409" priority="1113" operator="greaterThan">
      <formula>1</formula>
    </cfRule>
    <cfRule type="cellIs" dxfId="4408" priority="1114" operator="between">
      <formula>0.96</formula>
      <formula>1</formula>
    </cfRule>
    <cfRule type="cellIs" dxfId="4407" priority="1115" stopIfTrue="1" operator="between">
      <formula>0</formula>
      <formula>0.5</formula>
    </cfRule>
  </conditionalFormatting>
  <conditionalFormatting sqref="V173">
    <cfRule type="cellIs" dxfId="4406" priority="1106" operator="between">
      <formula>0.376</formula>
      <formula>0.475</formula>
    </cfRule>
    <cfRule type="cellIs" dxfId="4405" priority="1107" operator="between">
      <formula>0.2551</formula>
      <formula>0.3751</formula>
    </cfRule>
    <cfRule type="cellIs" dxfId="4404" priority="1108" operator="greaterThan">
      <formula>0.505</formula>
    </cfRule>
    <cfRule type="cellIs" dxfId="4403" priority="1109" operator="between">
      <formula>0.48</formula>
      <formula>0.5</formula>
    </cfRule>
    <cfRule type="cellIs" dxfId="4402" priority="1110" stopIfTrue="1" operator="between">
      <formula>0</formula>
      <formula>0.255</formula>
    </cfRule>
  </conditionalFormatting>
  <conditionalFormatting sqref="Z184">
    <cfRule type="cellIs" dxfId="4401" priority="1101" operator="between">
      <formula>0.76</formula>
      <formula>0.95</formula>
    </cfRule>
    <cfRule type="cellIs" dxfId="4400" priority="1102" operator="between">
      <formula>0.51</formula>
      <formula>0.75</formula>
    </cfRule>
    <cfRule type="cellIs" dxfId="4399" priority="1103" operator="greaterThan">
      <formula>1</formula>
    </cfRule>
    <cfRule type="cellIs" dxfId="4398" priority="1104" operator="between">
      <formula>0.96</formula>
      <formula>1</formula>
    </cfRule>
    <cfRule type="cellIs" dxfId="4397" priority="1105" stopIfTrue="1" operator="between">
      <formula>0</formula>
      <formula>0.5</formula>
    </cfRule>
  </conditionalFormatting>
  <conditionalFormatting sqref="T132">
    <cfRule type="cellIs" dxfId="4396" priority="1096" operator="between">
      <formula>0.3751</formula>
      <formula>0.475</formula>
    </cfRule>
    <cfRule type="cellIs" dxfId="4395" priority="1097" operator="between">
      <formula>0.2551</formula>
      <formula>0.375</formula>
    </cfRule>
    <cfRule type="cellIs" dxfId="4394" priority="1098" operator="greaterThan">
      <formula>0.505</formula>
    </cfRule>
    <cfRule type="cellIs" dxfId="4393" priority="1099" operator="between">
      <formula>0.48</formula>
      <formula>0.5</formula>
    </cfRule>
    <cfRule type="cellIs" dxfId="4392" priority="1100" stopIfTrue="1" operator="between">
      <formula>0</formula>
      <formula>0.255</formula>
    </cfRule>
  </conditionalFormatting>
  <conditionalFormatting sqref="U132:V132">
    <cfRule type="cellIs" dxfId="4391" priority="1091" operator="between">
      <formula>0.376</formula>
      <formula>0.475</formula>
    </cfRule>
    <cfRule type="cellIs" dxfId="4390" priority="1092" operator="between">
      <formula>0.2551</formula>
      <formula>0.3751</formula>
    </cfRule>
    <cfRule type="cellIs" dxfId="4389" priority="1093" operator="greaterThan">
      <formula>0.505</formula>
    </cfRule>
    <cfRule type="cellIs" dxfId="4388" priority="1094" operator="between">
      <formula>0.48</formula>
      <formula>0.5</formula>
    </cfRule>
    <cfRule type="cellIs" dxfId="4387" priority="1095" stopIfTrue="1" operator="between">
      <formula>0</formula>
      <formula>0.255</formula>
    </cfRule>
  </conditionalFormatting>
  <conditionalFormatting sqref="T365">
    <cfRule type="cellIs" dxfId="4386" priority="1086" operator="between">
      <formula>0.3751</formula>
      <formula>0.475</formula>
    </cfRule>
    <cfRule type="cellIs" dxfId="4385" priority="1087" operator="between">
      <formula>0.2551</formula>
      <formula>0.375</formula>
    </cfRule>
    <cfRule type="cellIs" dxfId="4384" priority="1088" operator="greaterThan">
      <formula>0.505</formula>
    </cfRule>
    <cfRule type="cellIs" dxfId="4383" priority="1089" operator="between">
      <formula>0.48</formula>
      <formula>0.5</formula>
    </cfRule>
    <cfRule type="cellIs" dxfId="4382" priority="1090" stopIfTrue="1" operator="between">
      <formula>0</formula>
      <formula>0.255</formula>
    </cfRule>
  </conditionalFormatting>
  <conditionalFormatting sqref="U365">
    <cfRule type="cellIs" dxfId="4381" priority="1081" operator="between">
      <formula>0.376</formula>
      <formula>0.475</formula>
    </cfRule>
    <cfRule type="cellIs" dxfId="4380" priority="1082" operator="between">
      <formula>0.2551</formula>
      <formula>0.3751</formula>
    </cfRule>
    <cfRule type="cellIs" dxfId="4379" priority="1083" operator="greaterThan">
      <formula>0.505</formula>
    </cfRule>
    <cfRule type="cellIs" dxfId="4378" priority="1084" operator="between">
      <formula>0.48</formula>
      <formula>0.5</formula>
    </cfRule>
    <cfRule type="cellIs" dxfId="4377" priority="1085" stopIfTrue="1" operator="between">
      <formula>0</formula>
      <formula>0.255</formula>
    </cfRule>
  </conditionalFormatting>
  <conditionalFormatting sqref="V365">
    <cfRule type="cellIs" dxfId="4376" priority="1076" operator="between">
      <formula>0.376</formula>
      <formula>0.475</formula>
    </cfRule>
    <cfRule type="cellIs" dxfId="4375" priority="1077" operator="between">
      <formula>0.2551</formula>
      <formula>0.3751</formula>
    </cfRule>
    <cfRule type="cellIs" dxfId="4374" priority="1078" operator="greaterThan">
      <formula>0.505</formula>
    </cfRule>
    <cfRule type="cellIs" dxfId="4373" priority="1079" operator="between">
      <formula>0.48</formula>
      <formula>0.5</formula>
    </cfRule>
    <cfRule type="cellIs" dxfId="4372" priority="1080" stopIfTrue="1" operator="between">
      <formula>0</formula>
      <formula>0.255</formula>
    </cfRule>
  </conditionalFormatting>
  <conditionalFormatting sqref="L134">
    <cfRule type="cellIs" dxfId="4371" priority="1071" operator="between">
      <formula>0.76</formula>
      <formula>0.95</formula>
    </cfRule>
    <cfRule type="cellIs" dxfId="4370" priority="1072" operator="between">
      <formula>0.51</formula>
      <formula>0.75</formula>
    </cfRule>
    <cfRule type="cellIs" dxfId="4369" priority="1073" operator="greaterThan">
      <formula>1</formula>
    </cfRule>
    <cfRule type="cellIs" dxfId="4368" priority="1074" operator="between">
      <formula>0.96</formula>
      <formula>1</formula>
    </cfRule>
    <cfRule type="cellIs" dxfId="4367" priority="1075" stopIfTrue="1" operator="between">
      <formula>0</formula>
      <formula>0.5</formula>
    </cfRule>
  </conditionalFormatting>
  <conditionalFormatting sqref="K134">
    <cfRule type="cellIs" dxfId="4366" priority="1066" operator="between">
      <formula>0.76</formula>
      <formula>0.95</formula>
    </cfRule>
    <cfRule type="cellIs" dxfId="4365" priority="1067" operator="between">
      <formula>0.51</formula>
      <formula>0.75</formula>
    </cfRule>
    <cfRule type="cellIs" dxfId="4364" priority="1068" operator="greaterThan">
      <formula>1</formula>
    </cfRule>
    <cfRule type="cellIs" dxfId="4363" priority="1069" operator="between">
      <formula>0.96</formula>
      <formula>1</formula>
    </cfRule>
    <cfRule type="cellIs" dxfId="4362" priority="1070" stopIfTrue="1" operator="between">
      <formula>0</formula>
      <formula>0.5</formula>
    </cfRule>
  </conditionalFormatting>
  <conditionalFormatting sqref="O134">
    <cfRule type="cellIs" dxfId="4361" priority="1061" operator="between">
      <formula>0.1876</formula>
      <formula>0.2375</formula>
    </cfRule>
    <cfRule type="cellIs" dxfId="4360" priority="1062" operator="between">
      <formula>0.1251</formula>
      <formula>0.1875</formula>
    </cfRule>
    <cfRule type="cellIs" dxfId="4359" priority="1063" operator="greaterThan">
      <formula>0.25</formula>
    </cfRule>
    <cfRule type="cellIs" dxfId="4358" priority="1064" operator="between">
      <formula>0.2375</formula>
      <formula>0.25</formula>
    </cfRule>
    <cfRule type="cellIs" dxfId="4357" priority="1065" stopIfTrue="1" operator="between">
      <formula>0</formula>
      <formula>0.125</formula>
    </cfRule>
  </conditionalFormatting>
  <conditionalFormatting sqref="M134:N134">
    <cfRule type="cellIs" dxfId="4356" priority="1056" operator="between">
      <formula>0.1876</formula>
      <formula>0.2375</formula>
    </cfRule>
    <cfRule type="cellIs" dxfId="4355" priority="1057" operator="between">
      <formula>0.1251</formula>
      <formula>0.1875</formula>
    </cfRule>
    <cfRule type="cellIs" dxfId="4354" priority="1058" operator="greaterThan">
      <formula>0.25</formula>
    </cfRule>
    <cfRule type="cellIs" dxfId="4353" priority="1059" operator="between">
      <formula>0.2376</formula>
      <formula>0.25</formula>
    </cfRule>
    <cfRule type="cellIs" dxfId="4352" priority="1060" stopIfTrue="1" operator="between">
      <formula>0</formula>
      <formula>0.125</formula>
    </cfRule>
  </conditionalFormatting>
  <conditionalFormatting sqref="K305:L305">
    <cfRule type="cellIs" dxfId="4351" priority="1051" operator="between">
      <formula>0.76</formula>
      <formula>0.95</formula>
    </cfRule>
    <cfRule type="cellIs" dxfId="4350" priority="1052" operator="between">
      <formula>0.51</formula>
      <formula>0.75</formula>
    </cfRule>
    <cfRule type="cellIs" dxfId="4349" priority="1053" operator="greaterThan">
      <formula>1</formula>
    </cfRule>
    <cfRule type="cellIs" dxfId="4348" priority="1054" operator="between">
      <formula>0.96</formula>
      <formula>1</formula>
    </cfRule>
    <cfRule type="cellIs" dxfId="4347" priority="1055" stopIfTrue="1" operator="between">
      <formula>0</formula>
      <formula>0.5</formula>
    </cfRule>
  </conditionalFormatting>
  <conditionalFormatting sqref="O305">
    <cfRule type="cellIs" dxfId="4346" priority="1046" operator="between">
      <formula>0.1876</formula>
      <formula>0.2375</formula>
    </cfRule>
    <cfRule type="cellIs" dxfId="4345" priority="1047" operator="between">
      <formula>0.1251</formula>
      <formula>0.1875</formula>
    </cfRule>
    <cfRule type="cellIs" dxfId="4344" priority="1048" operator="greaterThan">
      <formula>0.25</formula>
    </cfRule>
    <cfRule type="cellIs" dxfId="4343" priority="1049" operator="between">
      <formula>0.2375</formula>
      <formula>0.25</formula>
    </cfRule>
    <cfRule type="cellIs" dxfId="4342" priority="1050" stopIfTrue="1" operator="between">
      <formula>0</formula>
      <formula>0.125</formula>
    </cfRule>
  </conditionalFormatting>
  <conditionalFormatting sqref="M305:N305">
    <cfRule type="cellIs" dxfId="4341" priority="1041" operator="between">
      <formula>0.1876</formula>
      <formula>0.2375</formula>
    </cfRule>
    <cfRule type="cellIs" dxfId="4340" priority="1042" operator="between">
      <formula>0.1251</formula>
      <formula>0.1875</formula>
    </cfRule>
    <cfRule type="cellIs" dxfId="4339" priority="1043" operator="greaterThan">
      <formula>0.25</formula>
    </cfRule>
    <cfRule type="cellIs" dxfId="4338" priority="1044" operator="between">
      <formula>0.2376</formula>
      <formula>0.25</formula>
    </cfRule>
    <cfRule type="cellIs" dxfId="4337" priority="1045" stopIfTrue="1" operator="between">
      <formula>0</formula>
      <formula>0.125</formula>
    </cfRule>
  </conditionalFormatting>
  <conditionalFormatting sqref="L366">
    <cfRule type="cellIs" dxfId="4336" priority="1036" operator="between">
      <formula>0.7505</formula>
      <formula>0.95</formula>
    </cfRule>
    <cfRule type="cellIs" dxfId="4335" priority="1037" operator="between">
      <formula>0.51</formula>
      <formula>0.75</formula>
    </cfRule>
    <cfRule type="cellIs" dxfId="4334" priority="1038" operator="greaterThan">
      <formula>1</formula>
    </cfRule>
    <cfRule type="cellIs" dxfId="4333" priority="1039" operator="between">
      <formula>0.96</formula>
      <formula>1</formula>
    </cfRule>
    <cfRule type="cellIs" dxfId="4332" priority="1040" stopIfTrue="1" operator="between">
      <formula>0</formula>
      <formula>0.5</formula>
    </cfRule>
  </conditionalFormatting>
  <conditionalFormatting sqref="T160">
    <cfRule type="cellIs" dxfId="4331" priority="1031" operator="between">
      <formula>0.3751</formula>
      <formula>0.475</formula>
    </cfRule>
    <cfRule type="cellIs" dxfId="4330" priority="1032" operator="between">
      <formula>0.2551</formula>
      <formula>0.375</formula>
    </cfRule>
    <cfRule type="cellIs" dxfId="4329" priority="1033" operator="greaterThan">
      <formula>0.505</formula>
    </cfRule>
    <cfRule type="cellIs" dxfId="4328" priority="1034" operator="between">
      <formula>0.48</formula>
      <formula>0.5</formula>
    </cfRule>
    <cfRule type="cellIs" dxfId="4327" priority="1035" stopIfTrue="1" operator="between">
      <formula>0</formula>
      <formula>0.255</formula>
    </cfRule>
  </conditionalFormatting>
  <conditionalFormatting sqref="U160">
    <cfRule type="cellIs" dxfId="4326" priority="1026" operator="between">
      <formula>0.376</formula>
      <formula>0.475</formula>
    </cfRule>
    <cfRule type="cellIs" dxfId="4325" priority="1027" operator="between">
      <formula>0.2551</formula>
      <formula>0.3751</formula>
    </cfRule>
    <cfRule type="cellIs" dxfId="4324" priority="1028" operator="greaterThan">
      <formula>0.505</formula>
    </cfRule>
    <cfRule type="cellIs" dxfId="4323" priority="1029" operator="between">
      <formula>0.48</formula>
      <formula>0.5</formula>
    </cfRule>
    <cfRule type="cellIs" dxfId="4322" priority="1030" stopIfTrue="1" operator="between">
      <formula>0</formula>
      <formula>0.255</formula>
    </cfRule>
  </conditionalFormatting>
  <conditionalFormatting sqref="V160">
    <cfRule type="cellIs" dxfId="4321" priority="1021" operator="between">
      <formula>0.376</formula>
      <formula>0.475</formula>
    </cfRule>
    <cfRule type="cellIs" dxfId="4320" priority="1022" operator="between">
      <formula>0.2551</formula>
      <formula>0.3751</formula>
    </cfRule>
    <cfRule type="cellIs" dxfId="4319" priority="1023" operator="greaterThan">
      <formula>0.505</formula>
    </cfRule>
    <cfRule type="cellIs" dxfId="4318" priority="1024" operator="between">
      <formula>0.48</formula>
      <formula>0.5</formula>
    </cfRule>
    <cfRule type="cellIs" dxfId="4317" priority="1025" stopIfTrue="1" operator="between">
      <formula>0</formula>
      <formula>0.255</formula>
    </cfRule>
  </conditionalFormatting>
  <conditionalFormatting sqref="AA160:AB160">
    <cfRule type="cellIs" dxfId="4316" priority="1016" operator="between">
      <formula>0.56251</formula>
      <formula>0.7125</formula>
    </cfRule>
    <cfRule type="cellIs" dxfId="4315" priority="1017" operator="between">
      <formula>0.3751</formula>
      <formula>0.5625</formula>
    </cfRule>
    <cfRule type="cellIs" dxfId="4314" priority="1018" operator="greaterThan">
      <formula>0.751</formula>
    </cfRule>
    <cfRule type="cellIs" dxfId="4313" priority="1019" operator="between">
      <formula>0.71251</formula>
      <formula>0.75</formula>
    </cfRule>
    <cfRule type="cellIs" dxfId="4312" priority="1020" stopIfTrue="1" operator="between">
      <formula>0</formula>
      <formula>0.375</formula>
    </cfRule>
  </conditionalFormatting>
  <conditionalFormatting sqref="AC160">
    <cfRule type="cellIs" dxfId="4311" priority="1011" operator="between">
      <formula>0.56251</formula>
      <formula>0.7125</formula>
    </cfRule>
    <cfRule type="cellIs" dxfId="4310" priority="1012" operator="between">
      <formula>0.3751</formula>
      <formula>0.5625</formula>
    </cfRule>
    <cfRule type="cellIs" dxfId="4309" priority="1013" operator="greaterThan">
      <formula>0.751</formula>
    </cfRule>
    <cfRule type="cellIs" dxfId="4308" priority="1014" operator="between">
      <formula>0.71251</formula>
      <formula>0.75</formula>
    </cfRule>
    <cfRule type="cellIs" dxfId="4307" priority="1015" stopIfTrue="1" operator="between">
      <formula>0</formula>
      <formula>0.375</formula>
    </cfRule>
  </conditionalFormatting>
  <conditionalFormatting sqref="T206">
    <cfRule type="cellIs" dxfId="4306" priority="1006" operator="between">
      <formula>0.3751</formula>
      <formula>0.475</formula>
    </cfRule>
    <cfRule type="cellIs" dxfId="4305" priority="1007" operator="between">
      <formula>0.2551</formula>
      <formula>0.375</formula>
    </cfRule>
    <cfRule type="cellIs" dxfId="4304" priority="1008" operator="greaterThan">
      <formula>0.505</formula>
    </cfRule>
    <cfRule type="cellIs" dxfId="4303" priority="1009" operator="between">
      <formula>0.48</formula>
      <formula>0.5</formula>
    </cfRule>
    <cfRule type="cellIs" dxfId="4302" priority="1010" stopIfTrue="1" operator="between">
      <formula>0</formula>
      <formula>0.255</formula>
    </cfRule>
  </conditionalFormatting>
  <conditionalFormatting sqref="U206:V206">
    <cfRule type="cellIs" dxfId="4301" priority="1001" operator="between">
      <formula>0.376</formula>
      <formula>0.475</formula>
    </cfRule>
    <cfRule type="cellIs" dxfId="4300" priority="1002" operator="between">
      <formula>0.2551</formula>
      <formula>0.3751</formula>
    </cfRule>
    <cfRule type="cellIs" dxfId="4299" priority="1003" operator="greaterThan">
      <formula>0.505</formula>
    </cfRule>
    <cfRule type="cellIs" dxfId="4298" priority="1004" operator="between">
      <formula>0.48</formula>
      <formula>0.5</formula>
    </cfRule>
    <cfRule type="cellIs" dxfId="4297" priority="1005" stopIfTrue="1" operator="between">
      <formula>0</formula>
      <formula>0.255</formula>
    </cfRule>
  </conditionalFormatting>
  <conditionalFormatting sqref="AA206">
    <cfRule type="cellIs" dxfId="4296" priority="996" operator="between">
      <formula>0.56251</formula>
      <formula>0.7125</formula>
    </cfRule>
    <cfRule type="cellIs" dxfId="4295" priority="997" operator="between">
      <formula>0.3751</formula>
      <formula>0.5625</formula>
    </cfRule>
    <cfRule type="cellIs" dxfId="4294" priority="998" operator="greaterThan">
      <formula>0.751</formula>
    </cfRule>
    <cfRule type="cellIs" dxfId="4293" priority="999" operator="between">
      <formula>0.71251</formula>
      <formula>0.75</formula>
    </cfRule>
    <cfRule type="cellIs" dxfId="4292" priority="1000" stopIfTrue="1" operator="between">
      <formula>0</formula>
      <formula>0.375</formula>
    </cfRule>
  </conditionalFormatting>
  <conditionalFormatting sqref="AC206">
    <cfRule type="cellIs" dxfId="4291" priority="991" operator="between">
      <formula>0.56251</formula>
      <formula>0.7125</formula>
    </cfRule>
    <cfRule type="cellIs" dxfId="4290" priority="992" operator="between">
      <formula>0.3751</formula>
      <formula>0.5625</formula>
    </cfRule>
    <cfRule type="cellIs" dxfId="4289" priority="993" operator="greaterThan">
      <formula>0.751</formula>
    </cfRule>
    <cfRule type="cellIs" dxfId="4288" priority="994" operator="between">
      <formula>0.71251</formula>
      <formula>0.75</formula>
    </cfRule>
    <cfRule type="cellIs" dxfId="4287" priority="995" stopIfTrue="1" operator="between">
      <formula>0</formula>
      <formula>0.375</formula>
    </cfRule>
  </conditionalFormatting>
  <conditionalFormatting sqref="AB206">
    <cfRule type="cellIs" dxfId="4286" priority="986" operator="between">
      <formula>0.56251</formula>
      <formula>0.7125</formula>
    </cfRule>
    <cfRule type="cellIs" dxfId="4285" priority="987" operator="between">
      <formula>0.3751</formula>
      <formula>0.5625</formula>
    </cfRule>
    <cfRule type="cellIs" dxfId="4284" priority="988" operator="greaterThan">
      <formula>0.751</formula>
    </cfRule>
    <cfRule type="cellIs" dxfId="4283" priority="989" operator="between">
      <formula>0.71251</formula>
      <formula>0.75</formula>
    </cfRule>
    <cfRule type="cellIs" dxfId="4282" priority="990" stopIfTrue="1" operator="between">
      <formula>0</formula>
      <formula>0.375</formula>
    </cfRule>
  </conditionalFormatting>
  <conditionalFormatting sqref="AI206">
    <cfRule type="cellIs" dxfId="4281" priority="981" operator="between">
      <formula>0.76</formula>
      <formula>0.95</formula>
    </cfRule>
    <cfRule type="cellIs" dxfId="4280" priority="982" operator="between">
      <formula>0.51</formula>
      <formula>0.75</formula>
    </cfRule>
    <cfRule type="cellIs" dxfId="4279" priority="983" operator="greaterThan">
      <formula>1</formula>
    </cfRule>
    <cfRule type="cellIs" dxfId="4278" priority="984" operator="between">
      <formula>0.95</formula>
      <formula>1</formula>
    </cfRule>
    <cfRule type="cellIs" dxfId="4277" priority="985" stopIfTrue="1" operator="between">
      <formula>0</formula>
      <formula>0.5</formula>
    </cfRule>
  </conditionalFormatting>
  <conditionalFormatting sqref="AH206">
    <cfRule type="cellIs" dxfId="4276" priority="976" operator="between">
      <formula>0.76</formula>
      <formula>0.95</formula>
    </cfRule>
    <cfRule type="cellIs" dxfId="4275" priority="977" operator="between">
      <formula>0.51</formula>
      <formula>0.75</formula>
    </cfRule>
    <cfRule type="cellIs" dxfId="4274" priority="978" operator="greaterThan">
      <formula>1</formula>
    </cfRule>
    <cfRule type="cellIs" dxfId="4273" priority="979" operator="between">
      <formula>0.95</formula>
      <formula>1</formula>
    </cfRule>
    <cfRule type="cellIs" dxfId="4272" priority="980" stopIfTrue="1" operator="between">
      <formula>0</formula>
      <formula>0.5</formula>
    </cfRule>
  </conditionalFormatting>
  <conditionalFormatting sqref="R239:S239">
    <cfRule type="cellIs" dxfId="4271" priority="946" operator="between">
      <formula>0.76</formula>
      <formula>0.95</formula>
    </cfRule>
    <cfRule type="cellIs" dxfId="4270" priority="947" operator="between">
      <formula>0.51</formula>
      <formula>0.75</formula>
    </cfRule>
    <cfRule type="cellIs" dxfId="4269" priority="948" operator="greaterThan">
      <formula>1</formula>
    </cfRule>
    <cfRule type="cellIs" dxfId="4268" priority="949" operator="between">
      <formula>0.96</formula>
      <formula>1</formula>
    </cfRule>
    <cfRule type="cellIs" dxfId="4267" priority="950" stopIfTrue="1" operator="between">
      <formula>0</formula>
      <formula>0.5</formula>
    </cfRule>
  </conditionalFormatting>
  <conditionalFormatting sqref="V239">
    <cfRule type="cellIs" dxfId="4266" priority="941" operator="between">
      <formula>0.1876</formula>
      <formula>0.2375</formula>
    </cfRule>
    <cfRule type="cellIs" dxfId="4265" priority="942" operator="between">
      <formula>0.1251</formula>
      <formula>0.1875</formula>
    </cfRule>
    <cfRule type="cellIs" dxfId="4264" priority="943" operator="greaterThan">
      <formula>0.25</formula>
    </cfRule>
    <cfRule type="cellIs" dxfId="4263" priority="944" operator="between">
      <formula>0.2375</formula>
      <formula>0.25</formula>
    </cfRule>
    <cfRule type="cellIs" dxfId="4262" priority="945" stopIfTrue="1" operator="between">
      <formula>0</formula>
      <formula>0.125</formula>
    </cfRule>
  </conditionalFormatting>
  <conditionalFormatting sqref="T239:U239">
    <cfRule type="cellIs" dxfId="4261" priority="936" operator="between">
      <formula>0.1876</formula>
      <formula>0.2375</formula>
    </cfRule>
    <cfRule type="cellIs" dxfId="4260" priority="937" operator="between">
      <formula>0.1251</formula>
      <formula>0.1875</formula>
    </cfRule>
    <cfRule type="cellIs" dxfId="4259" priority="938" operator="greaterThan">
      <formula>0.25</formula>
    </cfRule>
    <cfRule type="cellIs" dxfId="4258" priority="939" operator="between">
      <formula>0.2376</formula>
      <formula>0.25</formula>
    </cfRule>
    <cfRule type="cellIs" dxfId="4257" priority="940" stopIfTrue="1" operator="between">
      <formula>0</formula>
      <formula>0.125</formula>
    </cfRule>
  </conditionalFormatting>
  <conditionalFormatting sqref="AC239">
    <cfRule type="cellIs" dxfId="4256" priority="931" operator="between">
      <formula>0.1876</formula>
      <formula>0.2375</formula>
    </cfRule>
    <cfRule type="cellIs" dxfId="4255" priority="932" operator="between">
      <formula>0.1251</formula>
      <formula>0.1875</formula>
    </cfRule>
    <cfRule type="cellIs" dxfId="4254" priority="933" operator="greaterThan">
      <formula>0.25</formula>
    </cfRule>
    <cfRule type="cellIs" dxfId="4253" priority="934" operator="between">
      <formula>0.2375</formula>
      <formula>0.25</formula>
    </cfRule>
    <cfRule type="cellIs" dxfId="4252" priority="935" stopIfTrue="1" operator="between">
      <formula>0</formula>
      <formula>0.125</formula>
    </cfRule>
  </conditionalFormatting>
  <conditionalFormatting sqref="AA239:AB239">
    <cfRule type="cellIs" dxfId="4251" priority="926" operator="between">
      <formula>0.1876</formula>
      <formula>0.2375</formula>
    </cfRule>
    <cfRule type="cellIs" dxfId="4250" priority="927" operator="between">
      <formula>0.1251</formula>
      <formula>0.1875</formula>
    </cfRule>
    <cfRule type="cellIs" dxfId="4249" priority="928" operator="greaterThan">
      <formula>0.25</formula>
    </cfRule>
    <cfRule type="cellIs" dxfId="4248" priority="929" operator="between">
      <formula>0.2376</formula>
      <formula>0.25</formula>
    </cfRule>
    <cfRule type="cellIs" dxfId="4247" priority="930" stopIfTrue="1" operator="between">
      <formula>0</formula>
      <formula>0.125</formula>
    </cfRule>
  </conditionalFormatting>
  <conditionalFormatting sqref="AH239">
    <cfRule type="cellIs" dxfId="4246" priority="921" operator="between">
      <formula>0.1876</formula>
      <formula>0.2375</formula>
    </cfRule>
    <cfRule type="cellIs" dxfId="4245" priority="922" operator="between">
      <formula>0.1251</formula>
      <formula>0.1875</formula>
    </cfRule>
    <cfRule type="cellIs" dxfId="4244" priority="923" operator="greaterThan">
      <formula>0.25</formula>
    </cfRule>
    <cfRule type="cellIs" dxfId="4243" priority="924" operator="between">
      <formula>0.2376</formula>
      <formula>0.25</formula>
    </cfRule>
    <cfRule type="cellIs" dxfId="4242" priority="925" stopIfTrue="1" operator="between">
      <formula>0</formula>
      <formula>0.125</formula>
    </cfRule>
  </conditionalFormatting>
  <conditionalFormatting sqref="T168">
    <cfRule type="cellIs" dxfId="4241" priority="916" operator="between">
      <formula>0.3751</formula>
      <formula>0.475</formula>
    </cfRule>
    <cfRule type="cellIs" dxfId="4240" priority="917" operator="between">
      <formula>0.2551</formula>
      <formula>0.375</formula>
    </cfRule>
    <cfRule type="cellIs" dxfId="4239" priority="918" operator="greaterThan">
      <formula>0.505</formula>
    </cfRule>
    <cfRule type="cellIs" dxfId="4238" priority="919" operator="between">
      <formula>0.48</formula>
      <formula>0.5</formula>
    </cfRule>
    <cfRule type="cellIs" dxfId="4237" priority="920" stopIfTrue="1" operator="between">
      <formula>0</formula>
      <formula>0.255</formula>
    </cfRule>
  </conditionalFormatting>
  <conditionalFormatting sqref="U168:V168">
    <cfRule type="cellIs" dxfId="4236" priority="911" operator="between">
      <formula>0.376</formula>
      <formula>0.475</formula>
    </cfRule>
    <cfRule type="cellIs" dxfId="4235" priority="912" operator="between">
      <formula>0.2551</formula>
      <formula>0.3751</formula>
    </cfRule>
    <cfRule type="cellIs" dxfId="4234" priority="913" operator="greaterThan">
      <formula>0.505</formula>
    </cfRule>
    <cfRule type="cellIs" dxfId="4233" priority="914" operator="between">
      <formula>0.48</formula>
      <formula>0.5</formula>
    </cfRule>
    <cfRule type="cellIs" dxfId="4232" priority="915" stopIfTrue="1" operator="between">
      <formula>0</formula>
      <formula>0.255</formula>
    </cfRule>
  </conditionalFormatting>
  <conditionalFormatting sqref="T169">
    <cfRule type="cellIs" dxfId="4231" priority="906" operator="between">
      <formula>0.3751</formula>
      <formula>0.475</formula>
    </cfRule>
    <cfRule type="cellIs" dxfId="4230" priority="907" operator="between">
      <formula>0.2551</formula>
      <formula>0.375</formula>
    </cfRule>
    <cfRule type="cellIs" dxfId="4229" priority="908" operator="greaterThan">
      <formula>0.505</formula>
    </cfRule>
    <cfRule type="cellIs" dxfId="4228" priority="909" operator="between">
      <formula>0.48</formula>
      <formula>0.5</formula>
    </cfRule>
    <cfRule type="cellIs" dxfId="4227" priority="910" stopIfTrue="1" operator="between">
      <formula>0</formula>
      <formula>0.255</formula>
    </cfRule>
  </conditionalFormatting>
  <conditionalFormatting sqref="U169:V169">
    <cfRule type="cellIs" dxfId="4226" priority="901" operator="between">
      <formula>0.376</formula>
      <formula>0.475</formula>
    </cfRule>
    <cfRule type="cellIs" dxfId="4225" priority="902" operator="between">
      <formula>0.2551</formula>
      <formula>0.3751</formula>
    </cfRule>
    <cfRule type="cellIs" dxfId="4224" priority="903" operator="greaterThan">
      <formula>0.505</formula>
    </cfRule>
    <cfRule type="cellIs" dxfId="4223" priority="904" operator="between">
      <formula>0.48</formula>
      <formula>0.5</formula>
    </cfRule>
    <cfRule type="cellIs" dxfId="4222" priority="905" stopIfTrue="1" operator="between">
      <formula>0</formula>
      <formula>0.255</formula>
    </cfRule>
  </conditionalFormatting>
  <conditionalFormatting sqref="AA169:AC169">
    <cfRule type="cellIs" dxfId="4221" priority="896" operator="between">
      <formula>0.56251</formula>
      <formula>0.7125</formula>
    </cfRule>
    <cfRule type="cellIs" dxfId="4220" priority="897" operator="between">
      <formula>0.3751</formula>
      <formula>0.5625</formula>
    </cfRule>
    <cfRule type="cellIs" dxfId="4219" priority="898" operator="greaterThan">
      <formula>0.751</formula>
    </cfRule>
    <cfRule type="cellIs" dxfId="4218" priority="899" operator="between">
      <formula>0.71251</formula>
      <formula>0.75</formula>
    </cfRule>
    <cfRule type="cellIs" dxfId="4217" priority="900" stopIfTrue="1" operator="between">
      <formula>0</formula>
      <formula>0.375</formula>
    </cfRule>
  </conditionalFormatting>
  <conditionalFormatting sqref="AH169:AI169">
    <cfRule type="cellIs" dxfId="4216" priority="881" operator="between">
      <formula>0.76</formula>
      <formula>0.95</formula>
    </cfRule>
    <cfRule type="cellIs" dxfId="4215" priority="882" operator="between">
      <formula>0.51</formula>
      <formula>0.75</formula>
    </cfRule>
    <cfRule type="cellIs" dxfId="4214" priority="883" operator="greaterThan">
      <formula>1</formula>
    </cfRule>
    <cfRule type="cellIs" dxfId="4213" priority="884" operator="between">
      <formula>0.96</formula>
      <formula>1</formula>
    </cfRule>
    <cfRule type="cellIs" dxfId="4212" priority="885" stopIfTrue="1" operator="between">
      <formula>0</formula>
      <formula>0.5</formula>
    </cfRule>
  </conditionalFormatting>
  <conditionalFormatting sqref="AI169">
    <cfRule type="cellIs" dxfId="4211" priority="876" operator="between">
      <formula>0.76</formula>
      <formula>0.95</formula>
    </cfRule>
    <cfRule type="cellIs" dxfId="4210" priority="877" operator="between">
      <formula>0.51</formula>
      <formula>0.75</formula>
    </cfRule>
    <cfRule type="cellIs" dxfId="4209" priority="878" operator="greaterThan">
      <formula>1</formula>
    </cfRule>
    <cfRule type="cellIs" dxfId="4208" priority="879" operator="between">
      <formula>0.95</formula>
      <formula>1</formula>
    </cfRule>
    <cfRule type="cellIs" dxfId="4207" priority="880" stopIfTrue="1" operator="between">
      <formula>0</formula>
      <formula>0.5</formula>
    </cfRule>
  </conditionalFormatting>
  <conditionalFormatting sqref="T196">
    <cfRule type="cellIs" dxfId="4206" priority="871" operator="between">
      <formula>0.3751</formula>
      <formula>0.475</formula>
    </cfRule>
    <cfRule type="cellIs" dxfId="4205" priority="872" operator="between">
      <formula>0.2551</formula>
      <formula>0.375</formula>
    </cfRule>
    <cfRule type="cellIs" dxfId="4204" priority="873" operator="greaterThan">
      <formula>0.505</formula>
    </cfRule>
    <cfRule type="cellIs" dxfId="4203" priority="874" operator="between">
      <formula>0.48</formula>
      <formula>0.5</formula>
    </cfRule>
    <cfRule type="cellIs" dxfId="4202" priority="875" stopIfTrue="1" operator="between">
      <formula>0</formula>
      <formula>0.255</formula>
    </cfRule>
  </conditionalFormatting>
  <conditionalFormatting sqref="U196">
    <cfRule type="cellIs" dxfId="4201" priority="866" operator="between">
      <formula>0.376</formula>
      <formula>0.475</formula>
    </cfRule>
    <cfRule type="cellIs" dxfId="4200" priority="867" operator="between">
      <formula>0.2551</formula>
      <formula>0.3751</formula>
    </cfRule>
    <cfRule type="cellIs" dxfId="4199" priority="868" operator="greaterThan">
      <formula>0.505</formula>
    </cfRule>
    <cfRule type="cellIs" dxfId="4198" priority="869" operator="between">
      <formula>0.48</formula>
      <formula>0.5</formula>
    </cfRule>
    <cfRule type="cellIs" dxfId="4197" priority="870" stopIfTrue="1" operator="between">
      <formula>0</formula>
      <formula>0.255</formula>
    </cfRule>
  </conditionalFormatting>
  <conditionalFormatting sqref="V196">
    <cfRule type="cellIs" dxfId="4196" priority="861" operator="between">
      <formula>0.376</formula>
      <formula>0.475</formula>
    </cfRule>
    <cfRule type="cellIs" dxfId="4195" priority="862" operator="between">
      <formula>0.2551</formula>
      <formula>0.3751</formula>
    </cfRule>
    <cfRule type="cellIs" dxfId="4194" priority="863" operator="greaterThan">
      <formula>0.505</formula>
    </cfRule>
    <cfRule type="cellIs" dxfId="4193" priority="864" operator="between">
      <formula>0.48</formula>
      <formula>0.5</formula>
    </cfRule>
    <cfRule type="cellIs" dxfId="4192" priority="865" stopIfTrue="1" operator="between">
      <formula>0</formula>
      <formula>0.255</formula>
    </cfRule>
  </conditionalFormatting>
  <conditionalFormatting sqref="T196">
    <cfRule type="cellIs" dxfId="4191" priority="856" operator="between">
      <formula>0.3751</formula>
      <formula>0.475</formula>
    </cfRule>
    <cfRule type="cellIs" dxfId="4190" priority="857" operator="between">
      <formula>0.2551</formula>
      <formula>0.375</formula>
    </cfRule>
    <cfRule type="cellIs" dxfId="4189" priority="858" operator="greaterThan">
      <formula>0.505</formula>
    </cfRule>
    <cfRule type="cellIs" dxfId="4188" priority="859" operator="between">
      <formula>0.48</formula>
      <formula>0.5</formula>
    </cfRule>
    <cfRule type="cellIs" dxfId="4187" priority="860" stopIfTrue="1" operator="between">
      <formula>0</formula>
      <formula>0.255</formula>
    </cfRule>
  </conditionalFormatting>
  <conditionalFormatting sqref="U196">
    <cfRule type="cellIs" dxfId="4186" priority="851" operator="between">
      <formula>0.376</formula>
      <formula>0.475</formula>
    </cfRule>
    <cfRule type="cellIs" dxfId="4185" priority="852" operator="between">
      <formula>0.2551</formula>
      <formula>0.3751</formula>
    </cfRule>
    <cfRule type="cellIs" dxfId="4184" priority="853" operator="greaterThan">
      <formula>0.505</formula>
    </cfRule>
    <cfRule type="cellIs" dxfId="4183" priority="854" operator="between">
      <formula>0.48</formula>
      <formula>0.5</formula>
    </cfRule>
    <cfRule type="cellIs" dxfId="4182" priority="855" stopIfTrue="1" operator="between">
      <formula>0</formula>
      <formula>0.255</formula>
    </cfRule>
  </conditionalFormatting>
  <conditionalFormatting sqref="V196">
    <cfRule type="cellIs" dxfId="4181" priority="846" operator="between">
      <formula>0.376</formula>
      <formula>0.475</formula>
    </cfRule>
    <cfRule type="cellIs" dxfId="4180" priority="847" operator="between">
      <formula>0.2551</formula>
      <formula>0.3751</formula>
    </cfRule>
    <cfRule type="cellIs" dxfId="4179" priority="848" operator="greaterThan">
      <formula>0.505</formula>
    </cfRule>
    <cfRule type="cellIs" dxfId="4178" priority="849" operator="between">
      <formula>0.48</formula>
      <formula>0.5</formula>
    </cfRule>
    <cfRule type="cellIs" dxfId="4177" priority="850" stopIfTrue="1" operator="between">
      <formula>0</formula>
      <formula>0.255</formula>
    </cfRule>
  </conditionalFormatting>
  <conditionalFormatting sqref="AA196:AB196">
    <cfRule type="cellIs" dxfId="4176" priority="841" operator="between">
      <formula>0.56251</formula>
      <formula>0.7125</formula>
    </cfRule>
    <cfRule type="cellIs" dxfId="4175" priority="842" operator="between">
      <formula>0.3751</formula>
      <formula>0.5625</formula>
    </cfRule>
    <cfRule type="cellIs" dxfId="4174" priority="843" operator="greaterThan">
      <formula>0.751</formula>
    </cfRule>
    <cfRule type="cellIs" dxfId="4173" priority="844" operator="between">
      <formula>0.71251</formula>
      <formula>0.75</formula>
    </cfRule>
    <cfRule type="cellIs" dxfId="4172" priority="845" stopIfTrue="1" operator="between">
      <formula>0</formula>
      <formula>0.375</formula>
    </cfRule>
  </conditionalFormatting>
  <conditionalFormatting sqref="AA196:AB196">
    <cfRule type="cellIs" dxfId="4171" priority="831" operator="between">
      <formula>0.56251</formula>
      <formula>0.7125</formula>
    </cfRule>
    <cfRule type="cellIs" dxfId="4170" priority="832" operator="between">
      <formula>0.3751</formula>
      <formula>0.5625</formula>
    </cfRule>
    <cfRule type="cellIs" dxfId="4169" priority="833" operator="greaterThan">
      <formula>0.751</formula>
    </cfRule>
    <cfRule type="cellIs" dxfId="4168" priority="834" operator="between">
      <formula>0.71251</formula>
      <formula>0.75</formula>
    </cfRule>
    <cfRule type="cellIs" dxfId="4167" priority="835" stopIfTrue="1" operator="between">
      <formula>0</formula>
      <formula>0.375</formula>
    </cfRule>
  </conditionalFormatting>
  <conditionalFormatting sqref="AC196">
    <cfRule type="cellIs" dxfId="4166" priority="821" operator="between">
      <formula>0.56251</formula>
      <formula>0.7125</formula>
    </cfRule>
    <cfRule type="cellIs" dxfId="4165" priority="822" operator="between">
      <formula>0.3751</formula>
      <formula>0.5625</formula>
    </cfRule>
    <cfRule type="cellIs" dxfId="4164" priority="823" operator="greaterThan">
      <formula>0.751</formula>
    </cfRule>
    <cfRule type="cellIs" dxfId="4163" priority="824" operator="between">
      <formula>0.71251</formula>
      <formula>0.75</formula>
    </cfRule>
    <cfRule type="cellIs" dxfId="4162" priority="825" stopIfTrue="1" operator="between">
      <formula>0</formula>
      <formula>0.375</formula>
    </cfRule>
  </conditionalFormatting>
  <conditionalFormatting sqref="AH196:AI196">
    <cfRule type="cellIs" dxfId="4161" priority="816" operator="between">
      <formula>0.76</formula>
      <formula>0.95</formula>
    </cfRule>
    <cfRule type="cellIs" dxfId="4160" priority="817" operator="between">
      <formula>0.51</formula>
      <formula>0.75</formula>
    </cfRule>
    <cfRule type="cellIs" dxfId="4159" priority="818" operator="greaterThan">
      <formula>1</formula>
    </cfRule>
    <cfRule type="cellIs" dxfId="4158" priority="819" operator="between">
      <formula>0.95</formula>
      <formula>1</formula>
    </cfRule>
    <cfRule type="cellIs" dxfId="4157" priority="820" stopIfTrue="1" operator="between">
      <formula>0</formula>
      <formula>0.5</formula>
    </cfRule>
  </conditionalFormatting>
  <conditionalFormatting sqref="AH196:AI196">
    <cfRule type="cellIs" dxfId="4156" priority="811" operator="between">
      <formula>0.76</formula>
      <formula>0.95</formula>
    </cfRule>
    <cfRule type="cellIs" dxfId="4155" priority="812" operator="between">
      <formula>0.51</formula>
      <formula>0.75</formula>
    </cfRule>
    <cfRule type="cellIs" dxfId="4154" priority="813" operator="greaterThan">
      <formula>1</formula>
    </cfRule>
    <cfRule type="cellIs" dxfId="4153" priority="814" operator="between">
      <formula>0.95</formula>
      <formula>1</formula>
    </cfRule>
    <cfRule type="cellIs" dxfId="4152" priority="815" stopIfTrue="1" operator="between">
      <formula>0</formula>
      <formula>0.5</formula>
    </cfRule>
  </conditionalFormatting>
  <conditionalFormatting sqref="Z186">
    <cfRule type="cellIs" dxfId="4151" priority="806" operator="between">
      <formula>0.76</formula>
      <formula>0.95</formula>
    </cfRule>
    <cfRule type="cellIs" dxfId="4150" priority="807" operator="between">
      <formula>0.51</formula>
      <formula>0.75</formula>
    </cfRule>
    <cfRule type="cellIs" dxfId="4149" priority="808" operator="greaterThan">
      <formula>1</formula>
    </cfRule>
    <cfRule type="cellIs" dxfId="4148" priority="809" operator="between">
      <formula>0.95</formula>
      <formula>1</formula>
    </cfRule>
    <cfRule type="cellIs" dxfId="4147" priority="810" stopIfTrue="1" operator="between">
      <formula>0</formula>
      <formula>0.5</formula>
    </cfRule>
  </conditionalFormatting>
  <conditionalFormatting sqref="AC186">
    <cfRule type="cellIs" dxfId="4146" priority="801" operator="between">
      <formula>0.56251</formula>
      <formula>0.7125</formula>
    </cfRule>
    <cfRule type="cellIs" dxfId="4145" priority="802" operator="between">
      <formula>0.3751</formula>
      <formula>0.5625</formula>
    </cfRule>
    <cfRule type="cellIs" dxfId="4144" priority="803" operator="greaterThan">
      <formula>0.751</formula>
    </cfRule>
    <cfRule type="cellIs" dxfId="4143" priority="804" operator="between">
      <formula>0.71251</formula>
      <formula>0.75</formula>
    </cfRule>
    <cfRule type="cellIs" dxfId="4142" priority="805" stopIfTrue="1" operator="between">
      <formula>0</formula>
      <formula>0.375</formula>
    </cfRule>
  </conditionalFormatting>
  <conditionalFormatting sqref="AG205">
    <cfRule type="cellIs" dxfId="4141" priority="796" operator="between">
      <formula>0.76</formula>
      <formula>0.95</formula>
    </cfRule>
    <cfRule type="cellIs" dxfId="4140" priority="797" operator="between">
      <formula>0.51</formula>
      <formula>0.75</formula>
    </cfRule>
    <cfRule type="cellIs" dxfId="4139" priority="798" operator="greaterThan">
      <formula>1</formula>
    </cfRule>
    <cfRule type="cellIs" dxfId="4138" priority="799" operator="between">
      <formula>0.95</formula>
      <formula>1</formula>
    </cfRule>
    <cfRule type="cellIs" dxfId="4137" priority="800" stopIfTrue="1" operator="between">
      <formula>0</formula>
      <formula>0.5</formula>
    </cfRule>
  </conditionalFormatting>
  <conditionalFormatting sqref="R224:S224">
    <cfRule type="cellIs" dxfId="4136" priority="786" operator="between">
      <formula>0.76</formula>
      <formula>0.95</formula>
    </cfRule>
    <cfRule type="cellIs" dxfId="4135" priority="787" operator="between">
      <formula>0.51</formula>
      <formula>0.75</formula>
    </cfRule>
    <cfRule type="cellIs" dxfId="4134" priority="788" operator="greaterThan">
      <formula>1</formula>
    </cfRule>
    <cfRule type="cellIs" dxfId="4133" priority="789" operator="between">
      <formula>0.95</formula>
      <formula>1</formula>
    </cfRule>
    <cfRule type="cellIs" dxfId="4132" priority="790" stopIfTrue="1" operator="between">
      <formula>0</formula>
      <formula>0.5</formula>
    </cfRule>
  </conditionalFormatting>
  <conditionalFormatting sqref="T224">
    <cfRule type="cellIs" dxfId="4131" priority="781" operator="between">
      <formula>0.3751</formula>
      <formula>0.475</formula>
    </cfRule>
    <cfRule type="cellIs" dxfId="4130" priority="782" operator="between">
      <formula>0.2551</formula>
      <formula>0.375</formula>
    </cfRule>
    <cfRule type="cellIs" dxfId="4129" priority="783" operator="greaterThan">
      <formula>0.505</formula>
    </cfRule>
    <cfRule type="cellIs" dxfId="4128" priority="784" operator="between">
      <formula>0.48</formula>
      <formula>0.5</formula>
    </cfRule>
    <cfRule type="cellIs" dxfId="4127" priority="785" stopIfTrue="1" operator="between">
      <formula>0</formula>
      <formula>0.255</formula>
    </cfRule>
  </conditionalFormatting>
  <conditionalFormatting sqref="U224:V224">
    <cfRule type="cellIs" dxfId="4126" priority="776" operator="between">
      <formula>0.376</formula>
      <formula>0.475</formula>
    </cfRule>
    <cfRule type="cellIs" dxfId="4125" priority="777" operator="between">
      <formula>0.2551</formula>
      <formula>0.3751</formula>
    </cfRule>
    <cfRule type="cellIs" dxfId="4124" priority="778" operator="greaterThan">
      <formula>0.505</formula>
    </cfRule>
    <cfRule type="cellIs" dxfId="4123" priority="779" operator="between">
      <formula>0.48</formula>
      <formula>0.5</formula>
    </cfRule>
    <cfRule type="cellIs" dxfId="4122" priority="780" stopIfTrue="1" operator="between">
      <formula>0</formula>
      <formula>0.255</formula>
    </cfRule>
  </conditionalFormatting>
  <conditionalFormatting sqref="N89:N90">
    <cfRule type="cellIs" dxfId="4121" priority="765" operator="between">
      <formula>0.1876</formula>
      <formula>0.2375</formula>
    </cfRule>
    <cfRule type="cellIs" dxfId="4120" priority="766" operator="between">
      <formula>0.1251</formula>
      <formula>0.1875</formula>
    </cfRule>
    <cfRule type="cellIs" dxfId="4119" priority="767" operator="greaterThan">
      <formula>0.25</formula>
    </cfRule>
    <cfRule type="cellIs" dxfId="4118" priority="768" operator="between">
      <formula>0.2376</formula>
      <formula>0.25</formula>
    </cfRule>
    <cfRule type="cellIs" dxfId="4117" priority="769" stopIfTrue="1" operator="between">
      <formula>0</formula>
      <formula>0.125</formula>
    </cfRule>
  </conditionalFormatting>
  <conditionalFormatting sqref="O89:O90">
    <cfRule type="cellIs" dxfId="4116" priority="760" operator="between">
      <formula>0.1876</formula>
      <formula>0.2375</formula>
    </cfRule>
    <cfRule type="cellIs" dxfId="4115" priority="761" operator="between">
      <formula>0.1251</formula>
      <formula>0.1875</formula>
    </cfRule>
    <cfRule type="cellIs" dxfId="4114" priority="762" operator="greaterThan">
      <formula>0.25</formula>
    </cfRule>
    <cfRule type="cellIs" dxfId="4113" priority="763" operator="between">
      <formula>0.2376</formula>
      <formula>0.25</formula>
    </cfRule>
    <cfRule type="cellIs" dxfId="4112" priority="764" stopIfTrue="1" operator="between">
      <formula>0</formula>
      <formula>0.125</formula>
    </cfRule>
  </conditionalFormatting>
  <conditionalFormatting sqref="M89:M90">
    <cfRule type="cellIs" dxfId="4111" priority="755" operator="between">
      <formula>0.1876</formula>
      <formula>0.2375</formula>
    </cfRule>
    <cfRule type="cellIs" dxfId="4110" priority="756" operator="between">
      <formula>0.1251</formula>
      <formula>0.1875</formula>
    </cfRule>
    <cfRule type="cellIs" dxfId="4109" priority="757" operator="greaterThan">
      <formula>0.25</formula>
    </cfRule>
    <cfRule type="cellIs" dxfId="4108" priority="758" operator="between">
      <formula>0.2375</formula>
      <formula>0.25</formula>
    </cfRule>
    <cfRule type="cellIs" dxfId="4107" priority="759" stopIfTrue="1" operator="between">
      <formula>0</formula>
      <formula>0.125</formula>
    </cfRule>
  </conditionalFormatting>
  <conditionalFormatting sqref="K89:K90">
    <cfRule type="cellIs" dxfId="4106" priority="750" operator="between">
      <formula>0.76</formula>
      <formula>0.95</formula>
    </cfRule>
    <cfRule type="cellIs" dxfId="4105" priority="751" operator="between">
      <formula>0.51</formula>
      <formula>0.75</formula>
    </cfRule>
    <cfRule type="cellIs" dxfId="4104" priority="752" operator="greaterThan">
      <formula>1</formula>
    </cfRule>
    <cfRule type="cellIs" dxfId="4103" priority="753" operator="between">
      <formula>0.96</formula>
      <formula>1</formula>
    </cfRule>
    <cfRule type="cellIs" dxfId="4102" priority="754" stopIfTrue="1" operator="between">
      <formula>0</formula>
      <formula>0.5</formula>
    </cfRule>
  </conditionalFormatting>
  <conditionalFormatting sqref="L89:L90">
    <cfRule type="cellIs" dxfId="4101" priority="745" operator="between">
      <formula>0.76</formula>
      <formula>0.95</formula>
    </cfRule>
    <cfRule type="cellIs" dxfId="4100" priority="746" operator="between">
      <formula>0.51</formula>
      <formula>0.75</formula>
    </cfRule>
    <cfRule type="cellIs" dxfId="4099" priority="747" operator="greaterThan">
      <formula>1</formula>
    </cfRule>
    <cfRule type="cellIs" dxfId="4098" priority="748" operator="between">
      <formula>0.96</formula>
      <formula>1</formula>
    </cfRule>
    <cfRule type="cellIs" dxfId="4097" priority="749" stopIfTrue="1" operator="between">
      <formula>0</formula>
      <formula>0.5</formula>
    </cfRule>
  </conditionalFormatting>
  <conditionalFormatting sqref="AF89:AF90 R89:R90 Y89:Y90 AH89:AI90">
    <cfRule type="cellIs" dxfId="4096" priority="740" operator="between">
      <formula>0.76</formula>
      <formula>0.95</formula>
    </cfRule>
    <cfRule type="cellIs" dxfId="4095" priority="741" operator="between">
      <formula>0.51</formula>
      <formula>0.75</formula>
    </cfRule>
    <cfRule type="cellIs" dxfId="4094" priority="742" operator="greaterThan">
      <formula>1</formula>
    </cfRule>
    <cfRule type="cellIs" dxfId="4093" priority="743" operator="between">
      <formula>0.95</formula>
      <formula>1</formula>
    </cfRule>
    <cfRule type="cellIs" dxfId="4092" priority="744" stopIfTrue="1" operator="between">
      <formula>0</formula>
      <formula>0.5</formula>
    </cfRule>
  </conditionalFormatting>
  <conditionalFormatting sqref="T89:T90">
    <cfRule type="cellIs" dxfId="4091" priority="735" operator="between">
      <formula>0.3751</formula>
      <formula>0.475</formula>
    </cfRule>
    <cfRule type="cellIs" dxfId="4090" priority="736" operator="between">
      <formula>0.2551</formula>
      <formula>0.375</formula>
    </cfRule>
    <cfRule type="cellIs" dxfId="4089" priority="737" operator="greaterThan">
      <formula>0.505</formula>
    </cfRule>
    <cfRule type="cellIs" dxfId="4088" priority="738" operator="between">
      <formula>0.48</formula>
      <formula>0.5</formula>
    </cfRule>
    <cfRule type="cellIs" dxfId="4087" priority="739" stopIfTrue="1" operator="between">
      <formula>0</formula>
      <formula>0.255</formula>
    </cfRule>
  </conditionalFormatting>
  <conditionalFormatting sqref="AA89:AB90">
    <cfRule type="cellIs" dxfId="4086" priority="730" operator="between">
      <formula>0.56251</formula>
      <formula>0.7125</formula>
    </cfRule>
    <cfRule type="cellIs" dxfId="4085" priority="731" operator="between">
      <formula>0.3751</formula>
      <formula>0.5625</formula>
    </cfRule>
    <cfRule type="cellIs" dxfId="4084" priority="732" operator="greaterThan">
      <formula>0.751</formula>
    </cfRule>
    <cfRule type="cellIs" dxfId="4083" priority="733" operator="between">
      <formula>0.71251</formula>
      <formula>0.75</formula>
    </cfRule>
    <cfRule type="cellIs" dxfId="4082" priority="734" stopIfTrue="1" operator="between">
      <formula>0</formula>
      <formula>0.375</formula>
    </cfRule>
  </conditionalFormatting>
  <conditionalFormatting sqref="U89:U90">
    <cfRule type="cellIs" dxfId="4081" priority="725" operator="between">
      <formula>0.376</formula>
      <formula>0.475</formula>
    </cfRule>
    <cfRule type="cellIs" dxfId="4080" priority="726" operator="between">
      <formula>0.2551</formula>
      <formula>0.3751</formula>
    </cfRule>
    <cfRule type="cellIs" dxfId="4079" priority="727" operator="greaterThan">
      <formula>0.505</formula>
    </cfRule>
    <cfRule type="cellIs" dxfId="4078" priority="728" operator="between">
      <formula>0.48</formula>
      <formula>0.5</formula>
    </cfRule>
    <cfRule type="cellIs" dxfId="4077" priority="729" stopIfTrue="1" operator="between">
      <formula>0</formula>
      <formula>0.255</formula>
    </cfRule>
  </conditionalFormatting>
  <conditionalFormatting sqref="Z89:Z90">
    <cfRule type="cellIs" dxfId="4076" priority="708" operator="between">
      <formula>0.76</formula>
      <formula>0.95</formula>
    </cfRule>
    <cfRule type="cellIs" dxfId="4075" priority="709" operator="between">
      <formula>0.51</formula>
      <formula>0.75</formula>
    </cfRule>
    <cfRule type="cellIs" dxfId="4074" priority="710" operator="greaterThan">
      <formula>1</formula>
    </cfRule>
    <cfRule type="cellIs" dxfId="4073" priority="711" operator="between">
      <formula>0.95</formula>
      <formula>1</formula>
    </cfRule>
    <cfRule type="cellIs" dxfId="4072" priority="712" stopIfTrue="1" operator="between">
      <formula>0</formula>
      <formula>0.5</formula>
    </cfRule>
  </conditionalFormatting>
  <conditionalFormatting sqref="AC89:AC90">
    <cfRule type="cellIs" dxfId="4071" priority="703" operator="between">
      <formula>0.56251</formula>
      <formula>0.7125</formula>
    </cfRule>
    <cfRule type="cellIs" dxfId="4070" priority="704" operator="between">
      <formula>0.3751</formula>
      <formula>0.5625</formula>
    </cfRule>
    <cfRule type="cellIs" dxfId="4069" priority="705" operator="greaterThan">
      <formula>0.751</formula>
    </cfRule>
    <cfRule type="cellIs" dxfId="4068" priority="706" operator="between">
      <formula>0.71251</formula>
      <formula>0.75</formula>
    </cfRule>
    <cfRule type="cellIs" dxfId="4067" priority="707" stopIfTrue="1" operator="between">
      <formula>0</formula>
      <formula>0.375</formula>
    </cfRule>
  </conditionalFormatting>
  <conditionalFormatting sqref="S89:S90">
    <cfRule type="cellIs" dxfId="4066" priority="698" operator="between">
      <formula>0.76</formula>
      <formula>0.95</formula>
    </cfRule>
    <cfRule type="cellIs" dxfId="4065" priority="699" operator="between">
      <formula>0.51</formula>
      <formula>0.75</formula>
    </cfRule>
    <cfRule type="cellIs" dxfId="4064" priority="700" operator="greaterThan">
      <formula>1</formula>
    </cfRule>
    <cfRule type="cellIs" dxfId="4063" priority="701" operator="between">
      <formula>0.95</formula>
      <formula>1</formula>
    </cfRule>
    <cfRule type="cellIs" dxfId="4062" priority="702" stopIfTrue="1" operator="between">
      <formula>0</formula>
      <formula>0.5</formula>
    </cfRule>
  </conditionalFormatting>
  <conditionalFormatting sqref="V89:V90">
    <cfRule type="cellIs" dxfId="4061" priority="693" operator="between">
      <formula>0.376</formula>
      <formula>0.475</formula>
    </cfRule>
    <cfRule type="cellIs" dxfId="4060" priority="694" operator="between">
      <formula>0.2551</formula>
      <formula>0.3751</formula>
    </cfRule>
    <cfRule type="cellIs" dxfId="4059" priority="695" operator="greaterThan">
      <formula>0.505</formula>
    </cfRule>
    <cfRule type="cellIs" dxfId="4058" priority="696" operator="between">
      <formula>0.48</formula>
      <formula>0.5</formula>
    </cfRule>
    <cfRule type="cellIs" dxfId="4057" priority="697" stopIfTrue="1" operator="between">
      <formula>0</formula>
      <formula>0.255</formula>
    </cfRule>
  </conditionalFormatting>
  <conditionalFormatting sqref="AG89:AG90">
    <cfRule type="cellIs" dxfId="4056" priority="688" operator="between">
      <formula>0.76</formula>
      <formula>0.95</formula>
    </cfRule>
    <cfRule type="cellIs" dxfId="4055" priority="689" operator="between">
      <formula>0.51</formula>
      <formula>0.75</formula>
    </cfRule>
    <cfRule type="cellIs" dxfId="4054" priority="690" operator="greaterThan">
      <formula>1</formula>
    </cfRule>
    <cfRule type="cellIs" dxfId="4053" priority="691" operator="between">
      <formula>0.95</formula>
      <formula>1</formula>
    </cfRule>
    <cfRule type="cellIs" dxfId="4052" priority="692" stopIfTrue="1" operator="between">
      <formula>0</formula>
      <formula>0.5</formula>
    </cfRule>
  </conditionalFormatting>
  <conditionalFormatting sqref="Z364">
    <cfRule type="cellIs" dxfId="4051" priority="683" operator="between">
      <formula>0.76</formula>
      <formula>0.95</formula>
    </cfRule>
    <cfRule type="cellIs" dxfId="4050" priority="684" operator="between">
      <formula>0.51</formula>
      <formula>0.75</formula>
    </cfRule>
    <cfRule type="cellIs" dxfId="4049" priority="685" operator="greaterThan">
      <formula>1</formula>
    </cfRule>
    <cfRule type="cellIs" dxfId="4048" priority="686" operator="between">
      <formula>0.96</formula>
      <formula>1</formula>
    </cfRule>
    <cfRule type="cellIs" dxfId="4047" priority="687" stopIfTrue="1" operator="between">
      <formula>0</formula>
      <formula>0.5</formula>
    </cfRule>
  </conditionalFormatting>
  <conditionalFormatting sqref="Z364">
    <cfRule type="cellIs" dxfId="4046" priority="678" operator="between">
      <formula>0.76</formula>
      <formula>0.95</formula>
    </cfRule>
    <cfRule type="cellIs" dxfId="4045" priority="679" operator="between">
      <formula>0.51</formula>
      <formula>0.75</formula>
    </cfRule>
    <cfRule type="cellIs" dxfId="4044" priority="680" operator="greaterThan">
      <formula>1</formula>
    </cfRule>
    <cfRule type="cellIs" dxfId="4043" priority="681" operator="between">
      <formula>0.95</formula>
      <formula>1</formula>
    </cfRule>
    <cfRule type="cellIs" dxfId="4042" priority="682" stopIfTrue="1" operator="between">
      <formula>0</formula>
      <formula>0.5</formula>
    </cfRule>
  </conditionalFormatting>
  <conditionalFormatting sqref="K153:L153">
    <cfRule type="cellIs" dxfId="4041" priority="673" operator="between">
      <formula>0.76</formula>
      <formula>0.95</formula>
    </cfRule>
    <cfRule type="cellIs" dxfId="4040" priority="674" operator="between">
      <formula>0.51</formula>
      <formula>0.75</formula>
    </cfRule>
    <cfRule type="cellIs" dxfId="4039" priority="675" operator="greaterThan">
      <formula>1</formula>
    </cfRule>
    <cfRule type="cellIs" dxfId="4038" priority="676" operator="between">
      <formula>0.96</formula>
      <formula>1</formula>
    </cfRule>
    <cfRule type="cellIs" dxfId="4037" priority="677" stopIfTrue="1" operator="between">
      <formula>0</formula>
      <formula>0.5</formula>
    </cfRule>
  </conditionalFormatting>
  <conditionalFormatting sqref="O153">
    <cfRule type="cellIs" dxfId="4036" priority="668" operator="between">
      <formula>0.1876</formula>
      <formula>0.2375</formula>
    </cfRule>
    <cfRule type="cellIs" dxfId="4035" priority="669" operator="between">
      <formula>0.1251</formula>
      <formula>0.1875</formula>
    </cfRule>
    <cfRule type="cellIs" dxfId="4034" priority="670" operator="greaterThan">
      <formula>0.25</formula>
    </cfRule>
    <cfRule type="cellIs" dxfId="4033" priority="671" operator="between">
      <formula>0.2375</formula>
      <formula>0.25</formula>
    </cfRule>
    <cfRule type="cellIs" dxfId="4032" priority="672" stopIfTrue="1" operator="between">
      <formula>0</formula>
      <formula>0.125</formula>
    </cfRule>
  </conditionalFormatting>
  <conditionalFormatting sqref="M153:N153">
    <cfRule type="cellIs" dxfId="4031" priority="663" operator="between">
      <formula>0.1876</formula>
      <formula>0.2375</formula>
    </cfRule>
    <cfRule type="cellIs" dxfId="4030" priority="664" operator="between">
      <formula>0.1251</formula>
      <formula>0.1875</formula>
    </cfRule>
    <cfRule type="cellIs" dxfId="4029" priority="665" operator="greaterThan">
      <formula>0.25</formula>
    </cfRule>
    <cfRule type="cellIs" dxfId="4028" priority="666" operator="between">
      <formula>0.2376</formula>
      <formula>0.25</formula>
    </cfRule>
    <cfRule type="cellIs" dxfId="4027" priority="667" stopIfTrue="1" operator="between">
      <formula>0</formula>
      <formula>0.125</formula>
    </cfRule>
  </conditionalFormatting>
  <conditionalFormatting sqref="R153 Y153 AF153:AI153">
    <cfRule type="cellIs" dxfId="4026" priority="658" operator="between">
      <formula>0.76</formula>
      <formula>0.95</formula>
    </cfRule>
    <cfRule type="cellIs" dxfId="4025" priority="659" operator="between">
      <formula>0.51</formula>
      <formula>0.75</formula>
    </cfRule>
    <cfRule type="cellIs" dxfId="4024" priority="660" operator="greaterThan">
      <formula>1</formula>
    </cfRule>
    <cfRule type="cellIs" dxfId="4023" priority="661" operator="between">
      <formula>0.95</formula>
      <formula>1</formula>
    </cfRule>
    <cfRule type="cellIs" dxfId="4022" priority="662" stopIfTrue="1" operator="between">
      <formula>0</formula>
      <formula>0.5</formula>
    </cfRule>
  </conditionalFormatting>
  <conditionalFormatting sqref="T153">
    <cfRule type="cellIs" dxfId="4021" priority="653" operator="between">
      <formula>0.3751</formula>
      <formula>0.475</formula>
    </cfRule>
    <cfRule type="cellIs" dxfId="4020" priority="654" operator="between">
      <formula>0.2551</formula>
      <formula>0.375</formula>
    </cfRule>
    <cfRule type="cellIs" dxfId="4019" priority="655" operator="greaterThan">
      <formula>0.505</formula>
    </cfRule>
    <cfRule type="cellIs" dxfId="4018" priority="656" operator="between">
      <formula>0.48</formula>
      <formula>0.5</formula>
    </cfRule>
    <cfRule type="cellIs" dxfId="4017" priority="657" stopIfTrue="1" operator="between">
      <formula>0</formula>
      <formula>0.255</formula>
    </cfRule>
  </conditionalFormatting>
  <conditionalFormatting sqref="AA153:AB153">
    <cfRule type="cellIs" dxfId="4016" priority="648" operator="between">
      <formula>0.56251</formula>
      <formula>0.7125</formula>
    </cfRule>
    <cfRule type="cellIs" dxfId="4015" priority="649" operator="between">
      <formula>0.3751</formula>
      <formula>0.5625</formula>
    </cfRule>
    <cfRule type="cellIs" dxfId="4014" priority="650" operator="greaterThan">
      <formula>0.751</formula>
    </cfRule>
    <cfRule type="cellIs" dxfId="4013" priority="651" operator="between">
      <formula>0.71251</formula>
      <formula>0.75</formula>
    </cfRule>
    <cfRule type="cellIs" dxfId="4012" priority="652" stopIfTrue="1" operator="between">
      <formula>0</formula>
      <formula>0.375</formula>
    </cfRule>
  </conditionalFormatting>
  <conditionalFormatting sqref="U153">
    <cfRule type="cellIs" dxfId="4011" priority="643" operator="between">
      <formula>0.376</formula>
      <formula>0.475</formula>
    </cfRule>
    <cfRule type="cellIs" dxfId="4010" priority="644" operator="between">
      <formula>0.2551</formula>
      <formula>0.3751</formula>
    </cfRule>
    <cfRule type="cellIs" dxfId="4009" priority="645" operator="greaterThan">
      <formula>0.505</formula>
    </cfRule>
    <cfRule type="cellIs" dxfId="4008" priority="646" operator="between">
      <formula>0.48</formula>
      <formula>0.5</formula>
    </cfRule>
    <cfRule type="cellIs" dxfId="4007" priority="647" stopIfTrue="1" operator="between">
      <formula>0</formula>
      <formula>0.255</formula>
    </cfRule>
  </conditionalFormatting>
  <conditionalFormatting sqref="S153">
    <cfRule type="cellIs" dxfId="4006" priority="623" operator="between">
      <formula>0.76</formula>
      <formula>0.95</formula>
    </cfRule>
    <cfRule type="cellIs" dxfId="4005" priority="624" operator="between">
      <formula>0.51</formula>
      <formula>0.75</formula>
    </cfRule>
    <cfRule type="cellIs" dxfId="4004" priority="625" operator="greaterThan">
      <formula>1</formula>
    </cfRule>
    <cfRule type="cellIs" dxfId="4003" priority="626" operator="between">
      <formula>0.95</formula>
      <formula>1</formula>
    </cfRule>
    <cfRule type="cellIs" dxfId="4002" priority="627" stopIfTrue="1" operator="between">
      <formula>0</formula>
      <formula>0.5</formula>
    </cfRule>
  </conditionalFormatting>
  <conditionalFormatting sqref="V153">
    <cfRule type="cellIs" dxfId="4001" priority="618" operator="between">
      <formula>0.376</formula>
      <formula>0.475</formula>
    </cfRule>
    <cfRule type="cellIs" dxfId="4000" priority="619" operator="between">
      <formula>0.2551</formula>
      <formula>0.3751</formula>
    </cfRule>
    <cfRule type="cellIs" dxfId="3999" priority="620" operator="greaterThan">
      <formula>0.505</formula>
    </cfRule>
    <cfRule type="cellIs" dxfId="3998" priority="621" operator="between">
      <formula>0.48</formula>
      <formula>0.5</formula>
    </cfRule>
    <cfRule type="cellIs" dxfId="3997" priority="622" stopIfTrue="1" operator="between">
      <formula>0</formula>
      <formula>0.255</formula>
    </cfRule>
  </conditionalFormatting>
  <conditionalFormatting sqref="Z153">
    <cfRule type="cellIs" dxfId="3996" priority="613" operator="between">
      <formula>0.76</formula>
      <formula>0.95</formula>
    </cfRule>
    <cfRule type="cellIs" dxfId="3995" priority="614" operator="between">
      <formula>0.51</formula>
      <formula>0.75</formula>
    </cfRule>
    <cfRule type="cellIs" dxfId="3994" priority="615" operator="greaterThan">
      <formula>1</formula>
    </cfRule>
    <cfRule type="cellIs" dxfId="3993" priority="616" operator="between">
      <formula>0.95</formula>
      <formula>1</formula>
    </cfRule>
    <cfRule type="cellIs" dxfId="3992" priority="617" stopIfTrue="1" operator="between">
      <formula>0</formula>
      <formula>0.5</formula>
    </cfRule>
  </conditionalFormatting>
  <conditionalFormatting sqref="AC153">
    <cfRule type="cellIs" dxfId="3991" priority="608" operator="between">
      <formula>0.56251</formula>
      <formula>0.7125</formula>
    </cfRule>
    <cfRule type="cellIs" dxfId="3990" priority="609" operator="between">
      <formula>0.3751</formula>
      <formula>0.5625</formula>
    </cfRule>
    <cfRule type="cellIs" dxfId="3989" priority="610" operator="greaterThan">
      <formula>0.751</formula>
    </cfRule>
    <cfRule type="cellIs" dxfId="3988" priority="611" operator="between">
      <formula>0.71251</formula>
      <formula>0.75</formula>
    </cfRule>
    <cfRule type="cellIs" dxfId="3987" priority="612" stopIfTrue="1" operator="between">
      <formula>0</formula>
      <formula>0.375</formula>
    </cfRule>
  </conditionalFormatting>
  <conditionalFormatting sqref="K154:L156">
    <cfRule type="cellIs" dxfId="3986" priority="603" operator="between">
      <formula>0.76</formula>
      <formula>0.95</formula>
    </cfRule>
    <cfRule type="cellIs" dxfId="3985" priority="604" operator="between">
      <formula>0.51</formula>
      <formula>0.75</formula>
    </cfRule>
    <cfRule type="cellIs" dxfId="3984" priority="605" operator="greaterThan">
      <formula>1</formula>
    </cfRule>
    <cfRule type="cellIs" dxfId="3983" priority="606" operator="between">
      <formula>0.96</formula>
      <formula>1</formula>
    </cfRule>
    <cfRule type="cellIs" dxfId="3982" priority="607" stopIfTrue="1" operator="between">
      <formula>0</formula>
      <formula>0.5</formula>
    </cfRule>
  </conditionalFormatting>
  <conditionalFormatting sqref="O154:O156">
    <cfRule type="cellIs" dxfId="3981" priority="598" operator="between">
      <formula>0.1876</formula>
      <formula>0.2375</formula>
    </cfRule>
    <cfRule type="cellIs" dxfId="3980" priority="599" operator="between">
      <formula>0.1251</formula>
      <formula>0.1875</formula>
    </cfRule>
    <cfRule type="cellIs" dxfId="3979" priority="600" operator="greaterThan">
      <formula>0.25</formula>
    </cfRule>
    <cfRule type="cellIs" dxfId="3978" priority="601" operator="between">
      <formula>0.2375</formula>
      <formula>0.25</formula>
    </cfRule>
    <cfRule type="cellIs" dxfId="3977" priority="602" stopIfTrue="1" operator="between">
      <formula>0</formula>
      <formula>0.125</formula>
    </cfRule>
  </conditionalFormatting>
  <conditionalFormatting sqref="M154:N156">
    <cfRule type="cellIs" dxfId="3976" priority="593" operator="between">
      <formula>0.1876</formula>
      <formula>0.2375</formula>
    </cfRule>
    <cfRule type="cellIs" dxfId="3975" priority="594" operator="between">
      <formula>0.1251</formula>
      <formula>0.1875</formula>
    </cfRule>
    <cfRule type="cellIs" dxfId="3974" priority="595" operator="greaterThan">
      <formula>0.25</formula>
    </cfRule>
    <cfRule type="cellIs" dxfId="3973" priority="596" operator="between">
      <formula>0.2376</formula>
      <formula>0.25</formula>
    </cfRule>
    <cfRule type="cellIs" dxfId="3972" priority="597" stopIfTrue="1" operator="between">
      <formula>0</formula>
      <formula>0.125</formula>
    </cfRule>
  </conditionalFormatting>
  <conditionalFormatting sqref="R154:R156 Y154:Y156 AF154:AI156">
    <cfRule type="cellIs" dxfId="3971" priority="588" operator="between">
      <formula>0.76</formula>
      <formula>0.95</formula>
    </cfRule>
    <cfRule type="cellIs" dxfId="3970" priority="589" operator="between">
      <formula>0.51</formula>
      <formula>0.75</formula>
    </cfRule>
    <cfRule type="cellIs" dxfId="3969" priority="590" operator="greaterThan">
      <formula>1</formula>
    </cfRule>
    <cfRule type="cellIs" dxfId="3968" priority="591" operator="between">
      <formula>0.95</formula>
      <formula>1</formula>
    </cfRule>
    <cfRule type="cellIs" dxfId="3967" priority="592" stopIfTrue="1" operator="between">
      <formula>0</formula>
      <formula>0.5</formula>
    </cfRule>
  </conditionalFormatting>
  <conditionalFormatting sqref="T154:T156">
    <cfRule type="cellIs" dxfId="3966" priority="583" operator="between">
      <formula>0.3751</formula>
      <formula>0.475</formula>
    </cfRule>
    <cfRule type="cellIs" dxfId="3965" priority="584" operator="between">
      <formula>0.2551</formula>
      <formula>0.375</formula>
    </cfRule>
    <cfRule type="cellIs" dxfId="3964" priority="585" operator="greaterThan">
      <formula>0.505</formula>
    </cfRule>
    <cfRule type="cellIs" dxfId="3963" priority="586" operator="between">
      <formula>0.48</formula>
      <formula>0.5</formula>
    </cfRule>
    <cfRule type="cellIs" dxfId="3962" priority="587" stopIfTrue="1" operator="between">
      <formula>0</formula>
      <formula>0.255</formula>
    </cfRule>
  </conditionalFormatting>
  <conditionalFormatting sqref="AA154:AB156">
    <cfRule type="cellIs" dxfId="3961" priority="578" operator="between">
      <formula>0.56251</formula>
      <formula>0.7125</formula>
    </cfRule>
    <cfRule type="cellIs" dxfId="3960" priority="579" operator="between">
      <formula>0.3751</formula>
      <formula>0.5625</formula>
    </cfRule>
    <cfRule type="cellIs" dxfId="3959" priority="580" operator="greaterThan">
      <formula>0.751</formula>
    </cfRule>
    <cfRule type="cellIs" dxfId="3958" priority="581" operator="between">
      <formula>0.71251</formula>
      <formula>0.75</formula>
    </cfRule>
    <cfRule type="cellIs" dxfId="3957" priority="582" stopIfTrue="1" operator="between">
      <formula>0</formula>
      <formula>0.375</formula>
    </cfRule>
  </conditionalFormatting>
  <conditionalFormatting sqref="U154:U156">
    <cfRule type="cellIs" dxfId="3956" priority="573" operator="between">
      <formula>0.376</formula>
      <formula>0.475</formula>
    </cfRule>
    <cfRule type="cellIs" dxfId="3955" priority="574" operator="between">
      <formula>0.2551</formula>
      <formula>0.3751</formula>
    </cfRule>
    <cfRule type="cellIs" dxfId="3954" priority="575" operator="greaterThan">
      <formula>0.505</formula>
    </cfRule>
    <cfRule type="cellIs" dxfId="3953" priority="576" operator="between">
      <formula>0.48</formula>
      <formula>0.5</formula>
    </cfRule>
    <cfRule type="cellIs" dxfId="3952" priority="577" stopIfTrue="1" operator="between">
      <formula>0</formula>
      <formula>0.255</formula>
    </cfRule>
  </conditionalFormatting>
  <conditionalFormatting sqref="S154:S156">
    <cfRule type="cellIs" dxfId="3951" priority="553" operator="between">
      <formula>0.76</formula>
      <formula>0.95</formula>
    </cfRule>
    <cfRule type="cellIs" dxfId="3950" priority="554" operator="between">
      <formula>0.51</formula>
      <formula>0.75</formula>
    </cfRule>
    <cfRule type="cellIs" dxfId="3949" priority="555" operator="greaterThan">
      <formula>1</formula>
    </cfRule>
    <cfRule type="cellIs" dxfId="3948" priority="556" operator="between">
      <formula>0.95</formula>
      <formula>1</formula>
    </cfRule>
    <cfRule type="cellIs" dxfId="3947" priority="557" stopIfTrue="1" operator="between">
      <formula>0</formula>
      <formula>0.5</formula>
    </cfRule>
  </conditionalFormatting>
  <conditionalFormatting sqref="V154:V156">
    <cfRule type="cellIs" dxfId="3946" priority="548" operator="between">
      <formula>0.376</formula>
      <formula>0.475</formula>
    </cfRule>
    <cfRule type="cellIs" dxfId="3945" priority="549" operator="between">
      <formula>0.2551</formula>
      <formula>0.3751</formula>
    </cfRule>
    <cfRule type="cellIs" dxfId="3944" priority="550" operator="greaterThan">
      <formula>0.505</formula>
    </cfRule>
    <cfRule type="cellIs" dxfId="3943" priority="551" operator="between">
      <formula>0.48</formula>
      <formula>0.5</formula>
    </cfRule>
    <cfRule type="cellIs" dxfId="3942" priority="552" stopIfTrue="1" operator="between">
      <formula>0</formula>
      <formula>0.255</formula>
    </cfRule>
  </conditionalFormatting>
  <conditionalFormatting sqref="Z154:Z156">
    <cfRule type="cellIs" dxfId="3941" priority="543" operator="between">
      <formula>0.76</formula>
      <formula>0.95</formula>
    </cfRule>
    <cfRule type="cellIs" dxfId="3940" priority="544" operator="between">
      <formula>0.51</formula>
      <formula>0.75</formula>
    </cfRule>
    <cfRule type="cellIs" dxfId="3939" priority="545" operator="greaterThan">
      <formula>1</formula>
    </cfRule>
    <cfRule type="cellIs" dxfId="3938" priority="546" operator="between">
      <formula>0.95</formula>
      <formula>1</formula>
    </cfRule>
    <cfRule type="cellIs" dxfId="3937" priority="547" stopIfTrue="1" operator="between">
      <formula>0</formula>
      <formula>0.5</formula>
    </cfRule>
  </conditionalFormatting>
  <conditionalFormatting sqref="AC154:AC156">
    <cfRule type="cellIs" dxfId="3936" priority="538" operator="between">
      <formula>0.56251</formula>
      <formula>0.7125</formula>
    </cfRule>
    <cfRule type="cellIs" dxfId="3935" priority="539" operator="between">
      <formula>0.3751</formula>
      <formula>0.5625</formula>
    </cfRule>
    <cfRule type="cellIs" dxfId="3934" priority="540" operator="greaterThan">
      <formula>0.751</formula>
    </cfRule>
    <cfRule type="cellIs" dxfId="3933" priority="541" operator="between">
      <formula>0.71251</formula>
      <formula>0.75</formula>
    </cfRule>
    <cfRule type="cellIs" dxfId="3932" priority="542" stopIfTrue="1" operator="between">
      <formula>0</formula>
      <formula>0.375</formula>
    </cfRule>
  </conditionalFormatting>
  <conditionalFormatting sqref="AG303">
    <cfRule type="cellIs" dxfId="3931" priority="411" operator="between">
      <formula>0.76</formula>
      <formula>0.95</formula>
    </cfRule>
    <cfRule type="cellIs" dxfId="3930" priority="412" operator="between">
      <formula>0.51</formula>
      <formula>0.75</formula>
    </cfRule>
    <cfRule type="cellIs" dxfId="3929" priority="413" operator="greaterThan">
      <formula>1</formula>
    </cfRule>
    <cfRule type="cellIs" dxfId="3928" priority="414" operator="between">
      <formula>0.95</formula>
      <formula>1</formula>
    </cfRule>
    <cfRule type="cellIs" dxfId="3927" priority="415" stopIfTrue="1" operator="between">
      <formula>0</formula>
      <formula>0.5</formula>
    </cfRule>
  </conditionalFormatting>
  <conditionalFormatting sqref="K123:L123">
    <cfRule type="cellIs" dxfId="3926" priority="406" operator="between">
      <formula>0.76</formula>
      <formula>0.95</formula>
    </cfRule>
    <cfRule type="cellIs" dxfId="3925" priority="407" operator="between">
      <formula>0.51</formula>
      <formula>0.75</formula>
    </cfRule>
    <cfRule type="cellIs" dxfId="3924" priority="408" operator="greaterThan">
      <formula>1</formula>
    </cfRule>
    <cfRule type="cellIs" dxfId="3923" priority="409" operator="between">
      <formula>0.96</formula>
      <formula>1</formula>
    </cfRule>
    <cfRule type="cellIs" dxfId="3922" priority="410" stopIfTrue="1" operator="between">
      <formula>0</formula>
      <formula>0.5</formula>
    </cfRule>
  </conditionalFormatting>
  <conditionalFormatting sqref="M123">
    <cfRule type="cellIs" dxfId="3921" priority="401" operator="between">
      <formula>0.1876</formula>
      <formula>0.2375</formula>
    </cfRule>
    <cfRule type="cellIs" dxfId="3920" priority="402" operator="between">
      <formula>0.1251</formula>
      <formula>0.1875</formula>
    </cfRule>
    <cfRule type="cellIs" dxfId="3919" priority="403" operator="greaterThan">
      <formula>0.25</formula>
    </cfRule>
    <cfRule type="cellIs" dxfId="3918" priority="404" operator="between">
      <formula>0.2375</formula>
      <formula>0.25</formula>
    </cfRule>
    <cfRule type="cellIs" dxfId="3917" priority="405" stopIfTrue="1" operator="between">
      <formula>0</formula>
      <formula>0.125</formula>
    </cfRule>
  </conditionalFormatting>
  <conditionalFormatting sqref="N123:O123">
    <cfRule type="cellIs" dxfId="3916" priority="396" operator="between">
      <formula>0.1876</formula>
      <formula>0.2375</formula>
    </cfRule>
    <cfRule type="cellIs" dxfId="3915" priority="397" operator="between">
      <formula>0.1251</formula>
      <formula>0.1875</formula>
    </cfRule>
    <cfRule type="cellIs" dxfId="3914" priority="398" operator="greaterThan">
      <formula>0.25</formula>
    </cfRule>
    <cfRule type="cellIs" dxfId="3913" priority="399" operator="between">
      <formula>0.2376</formula>
      <formula>0.25</formula>
    </cfRule>
    <cfRule type="cellIs" dxfId="3912" priority="400" stopIfTrue="1" operator="between">
      <formula>0</formula>
      <formula>0.125</formula>
    </cfRule>
  </conditionalFormatting>
  <conditionalFormatting sqref="R123 AH123:AI123">
    <cfRule type="cellIs" dxfId="3911" priority="391" operator="between">
      <formula>0.76</formula>
      <formula>0.95</formula>
    </cfRule>
    <cfRule type="cellIs" dxfId="3910" priority="392" operator="between">
      <formula>0.51</formula>
      <formula>0.75</formula>
    </cfRule>
    <cfRule type="cellIs" dxfId="3909" priority="393" operator="greaterThan">
      <formula>1</formula>
    </cfRule>
    <cfRule type="cellIs" dxfId="3908" priority="394" operator="between">
      <formula>0.95</formula>
      <formula>1</formula>
    </cfRule>
    <cfRule type="cellIs" dxfId="3907" priority="395" stopIfTrue="1" operator="between">
      <formula>0</formula>
      <formula>0.5</formula>
    </cfRule>
  </conditionalFormatting>
  <conditionalFormatting sqref="T123">
    <cfRule type="cellIs" dxfId="3906" priority="386" operator="between">
      <formula>0.3751</formula>
      <formula>0.475</formula>
    </cfRule>
    <cfRule type="cellIs" dxfId="3905" priority="387" operator="between">
      <formula>0.2551</formula>
      <formula>0.375</formula>
    </cfRule>
    <cfRule type="cellIs" dxfId="3904" priority="388" operator="greaterThan">
      <formula>0.505</formula>
    </cfRule>
    <cfRule type="cellIs" dxfId="3903" priority="389" operator="between">
      <formula>0.48</formula>
      <formula>0.5</formula>
    </cfRule>
    <cfRule type="cellIs" dxfId="3902" priority="390" stopIfTrue="1" operator="between">
      <formula>0</formula>
      <formula>0.255</formula>
    </cfRule>
  </conditionalFormatting>
  <conditionalFormatting sqref="AA123:AB123">
    <cfRule type="cellIs" dxfId="3901" priority="381" operator="between">
      <formula>0.56251</formula>
      <formula>0.7125</formula>
    </cfRule>
    <cfRule type="cellIs" dxfId="3900" priority="382" operator="between">
      <formula>0.3751</formula>
      <formula>0.5625</formula>
    </cfRule>
    <cfRule type="cellIs" dxfId="3899" priority="383" operator="greaterThan">
      <formula>0.751</formula>
    </cfRule>
    <cfRule type="cellIs" dxfId="3898" priority="384" operator="between">
      <formula>0.71251</formula>
      <formula>0.75</formula>
    </cfRule>
    <cfRule type="cellIs" dxfId="3897" priority="385" stopIfTrue="1" operator="between">
      <formula>0</formula>
      <formula>0.375</formula>
    </cfRule>
  </conditionalFormatting>
  <conditionalFormatting sqref="U123">
    <cfRule type="cellIs" dxfId="3896" priority="376" operator="between">
      <formula>0.376</formula>
      <formula>0.475</formula>
    </cfRule>
    <cfRule type="cellIs" dxfId="3895" priority="377" operator="between">
      <formula>0.2551</formula>
      <formula>0.3751</formula>
    </cfRule>
    <cfRule type="cellIs" dxfId="3894" priority="378" operator="greaterThan">
      <formula>0.505</formula>
    </cfRule>
    <cfRule type="cellIs" dxfId="3893" priority="379" operator="between">
      <formula>0.48</formula>
      <formula>0.5</formula>
    </cfRule>
    <cfRule type="cellIs" dxfId="3892" priority="380" stopIfTrue="1" operator="between">
      <formula>0</formula>
      <formula>0.255</formula>
    </cfRule>
  </conditionalFormatting>
  <conditionalFormatting sqref="S123">
    <cfRule type="cellIs" dxfId="3891" priority="351" operator="between">
      <formula>0.76</formula>
      <formula>0.95</formula>
    </cfRule>
    <cfRule type="cellIs" dxfId="3890" priority="352" operator="between">
      <formula>0.51</formula>
      <formula>0.75</formula>
    </cfRule>
    <cfRule type="cellIs" dxfId="3889" priority="353" operator="greaterThan">
      <formula>1</formula>
    </cfRule>
    <cfRule type="cellIs" dxfId="3888" priority="354" operator="between">
      <formula>0.95</formula>
      <formula>1</formula>
    </cfRule>
    <cfRule type="cellIs" dxfId="3887" priority="355" stopIfTrue="1" operator="between">
      <formula>0</formula>
      <formula>0.5</formula>
    </cfRule>
  </conditionalFormatting>
  <conditionalFormatting sqref="V123">
    <cfRule type="cellIs" dxfId="3886" priority="356" operator="between">
      <formula>0.376</formula>
      <formula>0.475</formula>
    </cfRule>
    <cfRule type="cellIs" dxfId="3885" priority="357" operator="between">
      <formula>0.2551</formula>
      <formula>0.3751</formula>
    </cfRule>
    <cfRule type="cellIs" dxfId="3884" priority="358" operator="greaterThan">
      <formula>0.505</formula>
    </cfRule>
    <cfRule type="cellIs" dxfId="3883" priority="359" operator="between">
      <formula>0.48</formula>
      <formula>0.5</formula>
    </cfRule>
    <cfRule type="cellIs" dxfId="3882" priority="360" stopIfTrue="1" operator="between">
      <formula>0</formula>
      <formula>0.255</formula>
    </cfRule>
  </conditionalFormatting>
  <conditionalFormatting sqref="AC123">
    <cfRule type="cellIs" dxfId="3881" priority="346" operator="between">
      <formula>0.56251</formula>
      <formula>0.7125</formula>
    </cfRule>
    <cfRule type="cellIs" dxfId="3880" priority="347" operator="between">
      <formula>0.3751</formula>
      <formula>0.5625</formula>
    </cfRule>
    <cfRule type="cellIs" dxfId="3879" priority="348" operator="greaterThan">
      <formula>0.751</formula>
    </cfRule>
    <cfRule type="cellIs" dxfId="3878" priority="349" operator="between">
      <formula>0.71251</formula>
      <formula>0.75</formula>
    </cfRule>
    <cfRule type="cellIs" dxfId="3877" priority="350" stopIfTrue="1" operator="between">
      <formula>0</formula>
      <formula>0.375</formula>
    </cfRule>
  </conditionalFormatting>
  <conditionalFormatting sqref="K124:L124">
    <cfRule type="cellIs" dxfId="3876" priority="331" operator="between">
      <formula>0.76</formula>
      <formula>0.95</formula>
    </cfRule>
    <cfRule type="cellIs" dxfId="3875" priority="332" operator="between">
      <formula>0.51</formula>
      <formula>0.75</formula>
    </cfRule>
    <cfRule type="cellIs" dxfId="3874" priority="333" operator="greaterThan">
      <formula>1</formula>
    </cfRule>
    <cfRule type="cellIs" dxfId="3873" priority="334" operator="between">
      <formula>0.96</formula>
      <formula>1</formula>
    </cfRule>
    <cfRule type="cellIs" dxfId="3872" priority="335" stopIfTrue="1" operator="between">
      <formula>0</formula>
      <formula>0.5</formula>
    </cfRule>
  </conditionalFormatting>
  <conditionalFormatting sqref="M124">
    <cfRule type="cellIs" dxfId="3871" priority="326" operator="between">
      <formula>0.1876</formula>
      <formula>0.2375</formula>
    </cfRule>
    <cfRule type="cellIs" dxfId="3870" priority="327" operator="between">
      <formula>0.1251</formula>
      <formula>0.1875</formula>
    </cfRule>
    <cfRule type="cellIs" dxfId="3869" priority="328" operator="greaterThan">
      <formula>0.25</formula>
    </cfRule>
    <cfRule type="cellIs" dxfId="3868" priority="329" operator="between">
      <formula>0.2375</formula>
      <formula>0.25</formula>
    </cfRule>
    <cfRule type="cellIs" dxfId="3867" priority="330" stopIfTrue="1" operator="between">
      <formula>0</formula>
      <formula>0.125</formula>
    </cfRule>
  </conditionalFormatting>
  <conditionalFormatting sqref="N124:O124">
    <cfRule type="cellIs" dxfId="3866" priority="321" operator="between">
      <formula>0.1876</formula>
      <formula>0.2375</formula>
    </cfRule>
    <cfRule type="cellIs" dxfId="3865" priority="322" operator="between">
      <formula>0.1251</formula>
      <formula>0.1875</formula>
    </cfRule>
    <cfRule type="cellIs" dxfId="3864" priority="323" operator="greaterThan">
      <formula>0.25</formula>
    </cfRule>
    <cfRule type="cellIs" dxfId="3863" priority="324" operator="between">
      <formula>0.2376</formula>
      <formula>0.25</formula>
    </cfRule>
    <cfRule type="cellIs" dxfId="3862" priority="325" stopIfTrue="1" operator="between">
      <formula>0</formula>
      <formula>0.125</formula>
    </cfRule>
  </conditionalFormatting>
  <conditionalFormatting sqref="R124 AH124:AI124">
    <cfRule type="cellIs" dxfId="3861" priority="316" operator="between">
      <formula>0.76</formula>
      <formula>0.95</formula>
    </cfRule>
    <cfRule type="cellIs" dxfId="3860" priority="317" operator="between">
      <formula>0.51</formula>
      <formula>0.75</formula>
    </cfRule>
    <cfRule type="cellIs" dxfId="3859" priority="318" operator="greaterThan">
      <formula>1</formula>
    </cfRule>
    <cfRule type="cellIs" dxfId="3858" priority="319" operator="between">
      <formula>0.95</formula>
      <formula>1</formula>
    </cfRule>
    <cfRule type="cellIs" dxfId="3857" priority="320" stopIfTrue="1" operator="between">
      <formula>0</formula>
      <formula>0.5</formula>
    </cfRule>
  </conditionalFormatting>
  <conditionalFormatting sqref="T124">
    <cfRule type="cellIs" dxfId="3856" priority="311" operator="between">
      <formula>0.3751</formula>
      <formula>0.475</formula>
    </cfRule>
    <cfRule type="cellIs" dxfId="3855" priority="312" operator="between">
      <formula>0.2551</formula>
      <formula>0.375</formula>
    </cfRule>
    <cfRule type="cellIs" dxfId="3854" priority="313" operator="greaterThan">
      <formula>0.505</formula>
    </cfRule>
    <cfRule type="cellIs" dxfId="3853" priority="314" operator="between">
      <formula>0.48</formula>
      <formula>0.5</formula>
    </cfRule>
    <cfRule type="cellIs" dxfId="3852" priority="315" stopIfTrue="1" operator="between">
      <formula>0</formula>
      <formula>0.255</formula>
    </cfRule>
  </conditionalFormatting>
  <conditionalFormatting sqref="AA124:AB124">
    <cfRule type="cellIs" dxfId="3851" priority="306" operator="between">
      <formula>0.56251</formula>
      <formula>0.7125</formula>
    </cfRule>
    <cfRule type="cellIs" dxfId="3850" priority="307" operator="between">
      <formula>0.3751</formula>
      <formula>0.5625</formula>
    </cfRule>
    <cfRule type="cellIs" dxfId="3849" priority="308" operator="greaterThan">
      <formula>0.751</formula>
    </cfRule>
    <cfRule type="cellIs" dxfId="3848" priority="309" operator="between">
      <formula>0.71251</formula>
      <formula>0.75</formula>
    </cfRule>
    <cfRule type="cellIs" dxfId="3847" priority="310" stopIfTrue="1" operator="between">
      <formula>0</formula>
      <formula>0.375</formula>
    </cfRule>
  </conditionalFormatting>
  <conditionalFormatting sqref="U124">
    <cfRule type="cellIs" dxfId="3846" priority="301" operator="between">
      <formula>0.376</formula>
      <formula>0.475</formula>
    </cfRule>
    <cfRule type="cellIs" dxfId="3845" priority="302" operator="between">
      <formula>0.2551</formula>
      <formula>0.3751</formula>
    </cfRule>
    <cfRule type="cellIs" dxfId="3844" priority="303" operator="greaterThan">
      <formula>0.505</formula>
    </cfRule>
    <cfRule type="cellIs" dxfId="3843" priority="304" operator="between">
      <formula>0.48</formula>
      <formula>0.5</formula>
    </cfRule>
    <cfRule type="cellIs" dxfId="3842" priority="305" stopIfTrue="1" operator="between">
      <formula>0</formula>
      <formula>0.255</formula>
    </cfRule>
  </conditionalFormatting>
  <conditionalFormatting sqref="S124">
    <cfRule type="cellIs" dxfId="3841" priority="276" operator="between">
      <formula>0.76</formula>
      <formula>0.95</formula>
    </cfRule>
    <cfRule type="cellIs" dxfId="3840" priority="277" operator="between">
      <formula>0.51</formula>
      <formula>0.75</formula>
    </cfRule>
    <cfRule type="cellIs" dxfId="3839" priority="278" operator="greaterThan">
      <formula>1</formula>
    </cfRule>
    <cfRule type="cellIs" dxfId="3838" priority="279" operator="between">
      <formula>0.95</formula>
      <formula>1</formula>
    </cfRule>
    <cfRule type="cellIs" dxfId="3837" priority="280" stopIfTrue="1" operator="between">
      <formula>0</formula>
      <formula>0.5</formula>
    </cfRule>
  </conditionalFormatting>
  <conditionalFormatting sqref="V124">
    <cfRule type="cellIs" dxfId="3836" priority="281" operator="between">
      <formula>0.376</formula>
      <formula>0.475</formula>
    </cfRule>
    <cfRule type="cellIs" dxfId="3835" priority="282" operator="between">
      <formula>0.2551</formula>
      <formula>0.3751</formula>
    </cfRule>
    <cfRule type="cellIs" dxfId="3834" priority="283" operator="greaterThan">
      <formula>0.505</formula>
    </cfRule>
    <cfRule type="cellIs" dxfId="3833" priority="284" operator="between">
      <formula>0.48</formula>
      <formula>0.5</formula>
    </cfRule>
    <cfRule type="cellIs" dxfId="3832" priority="285" stopIfTrue="1" operator="between">
      <formula>0</formula>
      <formula>0.255</formula>
    </cfRule>
  </conditionalFormatting>
  <conditionalFormatting sqref="AC124">
    <cfRule type="cellIs" dxfId="3831" priority="271" operator="between">
      <formula>0.56251</formula>
      <formula>0.7125</formula>
    </cfRule>
    <cfRule type="cellIs" dxfId="3830" priority="272" operator="between">
      <formula>0.3751</formula>
      <formula>0.5625</formula>
    </cfRule>
    <cfRule type="cellIs" dxfId="3829" priority="273" operator="greaterThan">
      <formula>0.751</formula>
    </cfRule>
    <cfRule type="cellIs" dxfId="3828" priority="274" operator="between">
      <formula>0.71251</formula>
      <formula>0.75</formula>
    </cfRule>
    <cfRule type="cellIs" dxfId="3827" priority="275" stopIfTrue="1" operator="between">
      <formula>0</formula>
      <formula>0.375</formula>
    </cfRule>
  </conditionalFormatting>
  <conditionalFormatting sqref="K125:L125">
    <cfRule type="cellIs" dxfId="3826" priority="256" operator="between">
      <formula>0.76</formula>
      <formula>0.95</formula>
    </cfRule>
    <cfRule type="cellIs" dxfId="3825" priority="257" operator="between">
      <formula>0.51</formula>
      <formula>0.75</formula>
    </cfRule>
    <cfRule type="cellIs" dxfId="3824" priority="258" operator="greaterThan">
      <formula>1</formula>
    </cfRule>
    <cfRule type="cellIs" dxfId="3823" priority="259" operator="between">
      <formula>0.96</formula>
      <formula>1</formula>
    </cfRule>
    <cfRule type="cellIs" dxfId="3822" priority="260" stopIfTrue="1" operator="between">
      <formula>0</formula>
      <formula>0.5</formula>
    </cfRule>
  </conditionalFormatting>
  <conditionalFormatting sqref="M125">
    <cfRule type="cellIs" dxfId="3821" priority="251" operator="between">
      <formula>0.1876</formula>
      <formula>0.2375</formula>
    </cfRule>
    <cfRule type="cellIs" dxfId="3820" priority="252" operator="between">
      <formula>0.1251</formula>
      <formula>0.1875</formula>
    </cfRule>
    <cfRule type="cellIs" dxfId="3819" priority="253" operator="greaterThan">
      <formula>0.25</formula>
    </cfRule>
    <cfRule type="cellIs" dxfId="3818" priority="254" operator="between">
      <formula>0.2375</formula>
      <formula>0.25</formula>
    </cfRule>
    <cfRule type="cellIs" dxfId="3817" priority="255" stopIfTrue="1" operator="between">
      <formula>0</formula>
      <formula>0.125</formula>
    </cfRule>
  </conditionalFormatting>
  <conditionalFormatting sqref="N125:O125">
    <cfRule type="cellIs" dxfId="3816" priority="246" operator="between">
      <formula>0.1876</formula>
      <formula>0.2375</formula>
    </cfRule>
    <cfRule type="cellIs" dxfId="3815" priority="247" operator="between">
      <formula>0.1251</formula>
      <formula>0.1875</formula>
    </cfRule>
    <cfRule type="cellIs" dxfId="3814" priority="248" operator="greaterThan">
      <formula>0.25</formula>
    </cfRule>
    <cfRule type="cellIs" dxfId="3813" priority="249" operator="between">
      <formula>0.2376</formula>
      <formula>0.25</formula>
    </cfRule>
    <cfRule type="cellIs" dxfId="3812" priority="250" stopIfTrue="1" operator="between">
      <formula>0</formula>
      <formula>0.125</formula>
    </cfRule>
  </conditionalFormatting>
  <conditionalFormatting sqref="R125 AH125:AI125">
    <cfRule type="cellIs" dxfId="3811" priority="241" operator="between">
      <formula>0.76</formula>
      <formula>0.95</formula>
    </cfRule>
    <cfRule type="cellIs" dxfId="3810" priority="242" operator="between">
      <formula>0.51</formula>
      <formula>0.75</formula>
    </cfRule>
    <cfRule type="cellIs" dxfId="3809" priority="243" operator="greaterThan">
      <formula>1</formula>
    </cfRule>
    <cfRule type="cellIs" dxfId="3808" priority="244" operator="between">
      <formula>0.95</formula>
      <formula>1</formula>
    </cfRule>
    <cfRule type="cellIs" dxfId="3807" priority="245" stopIfTrue="1" operator="between">
      <formula>0</formula>
      <formula>0.5</formula>
    </cfRule>
  </conditionalFormatting>
  <conditionalFormatting sqref="T125">
    <cfRule type="cellIs" dxfId="3806" priority="236" operator="between">
      <formula>0.3751</formula>
      <formula>0.475</formula>
    </cfRule>
    <cfRule type="cellIs" dxfId="3805" priority="237" operator="between">
      <formula>0.2551</formula>
      <formula>0.375</formula>
    </cfRule>
    <cfRule type="cellIs" dxfId="3804" priority="238" operator="greaterThan">
      <formula>0.505</formula>
    </cfRule>
    <cfRule type="cellIs" dxfId="3803" priority="239" operator="between">
      <formula>0.48</formula>
      <formula>0.5</formula>
    </cfRule>
    <cfRule type="cellIs" dxfId="3802" priority="240" stopIfTrue="1" operator="between">
      <formula>0</formula>
      <formula>0.255</formula>
    </cfRule>
  </conditionalFormatting>
  <conditionalFormatting sqref="AA125:AB125">
    <cfRule type="cellIs" dxfId="3801" priority="231" operator="between">
      <formula>0.56251</formula>
      <formula>0.7125</formula>
    </cfRule>
    <cfRule type="cellIs" dxfId="3800" priority="232" operator="between">
      <formula>0.3751</formula>
      <formula>0.5625</formula>
    </cfRule>
    <cfRule type="cellIs" dxfId="3799" priority="233" operator="greaterThan">
      <formula>0.751</formula>
    </cfRule>
    <cfRule type="cellIs" dxfId="3798" priority="234" operator="between">
      <formula>0.71251</formula>
      <formula>0.75</formula>
    </cfRule>
    <cfRule type="cellIs" dxfId="3797" priority="235" stopIfTrue="1" operator="between">
      <formula>0</formula>
      <formula>0.375</formula>
    </cfRule>
  </conditionalFormatting>
  <conditionalFormatting sqref="U125">
    <cfRule type="cellIs" dxfId="3796" priority="226" operator="between">
      <formula>0.376</formula>
      <formula>0.475</formula>
    </cfRule>
    <cfRule type="cellIs" dxfId="3795" priority="227" operator="between">
      <formula>0.2551</formula>
      <formula>0.3751</formula>
    </cfRule>
    <cfRule type="cellIs" dxfId="3794" priority="228" operator="greaterThan">
      <formula>0.505</formula>
    </cfRule>
    <cfRule type="cellIs" dxfId="3793" priority="229" operator="between">
      <formula>0.48</formula>
      <formula>0.5</formula>
    </cfRule>
    <cfRule type="cellIs" dxfId="3792" priority="230" stopIfTrue="1" operator="between">
      <formula>0</formula>
      <formula>0.255</formula>
    </cfRule>
  </conditionalFormatting>
  <conditionalFormatting sqref="S125">
    <cfRule type="cellIs" dxfId="3791" priority="201" operator="between">
      <formula>0.76</formula>
      <formula>0.95</formula>
    </cfRule>
    <cfRule type="cellIs" dxfId="3790" priority="202" operator="between">
      <formula>0.51</formula>
      <formula>0.75</formula>
    </cfRule>
    <cfRule type="cellIs" dxfId="3789" priority="203" operator="greaterThan">
      <formula>1</formula>
    </cfRule>
    <cfRule type="cellIs" dxfId="3788" priority="204" operator="between">
      <formula>0.95</formula>
      <formula>1</formula>
    </cfRule>
    <cfRule type="cellIs" dxfId="3787" priority="205" stopIfTrue="1" operator="between">
      <formula>0</formula>
      <formula>0.5</formula>
    </cfRule>
  </conditionalFormatting>
  <conditionalFormatting sqref="V125">
    <cfRule type="cellIs" dxfId="3786" priority="206" operator="between">
      <formula>0.376</formula>
      <formula>0.475</formula>
    </cfRule>
    <cfRule type="cellIs" dxfId="3785" priority="207" operator="between">
      <formula>0.2551</formula>
      <formula>0.3751</formula>
    </cfRule>
    <cfRule type="cellIs" dxfId="3784" priority="208" operator="greaterThan">
      <formula>0.505</formula>
    </cfRule>
    <cfRule type="cellIs" dxfId="3783" priority="209" operator="between">
      <formula>0.48</formula>
      <formula>0.5</formula>
    </cfRule>
    <cfRule type="cellIs" dxfId="3782" priority="210" stopIfTrue="1" operator="between">
      <formula>0</formula>
      <formula>0.255</formula>
    </cfRule>
  </conditionalFormatting>
  <conditionalFormatting sqref="AC125">
    <cfRule type="cellIs" dxfId="3781" priority="196" operator="between">
      <formula>0.56251</formula>
      <formula>0.7125</formula>
    </cfRule>
    <cfRule type="cellIs" dxfId="3780" priority="197" operator="between">
      <formula>0.3751</formula>
      <formula>0.5625</formula>
    </cfRule>
    <cfRule type="cellIs" dxfId="3779" priority="198" operator="greaterThan">
      <formula>0.751</formula>
    </cfRule>
    <cfRule type="cellIs" dxfId="3778" priority="199" operator="between">
      <formula>0.71251</formula>
      <formula>0.75</formula>
    </cfRule>
    <cfRule type="cellIs" dxfId="3777" priority="200" stopIfTrue="1" operator="between">
      <formula>0</formula>
      <formula>0.375</formula>
    </cfRule>
  </conditionalFormatting>
  <conditionalFormatting sqref="Y124">
    <cfRule type="cellIs" dxfId="3776" priority="181" operator="between">
      <formula>0.76</formula>
      <formula>0.95</formula>
    </cfRule>
    <cfRule type="cellIs" dxfId="3775" priority="182" operator="between">
      <formula>0.51</formula>
      <formula>0.75</formula>
    </cfRule>
    <cfRule type="cellIs" dxfId="3774" priority="183" operator="greaterThan">
      <formula>1</formula>
    </cfRule>
    <cfRule type="cellIs" dxfId="3773" priority="184" operator="between">
      <formula>0.95</formula>
      <formula>1</formula>
    </cfRule>
    <cfRule type="cellIs" dxfId="3772" priority="185" stopIfTrue="1" operator="between">
      <formula>0</formula>
      <formula>0.5</formula>
    </cfRule>
  </conditionalFormatting>
  <conditionalFormatting sqref="Z126">
    <cfRule type="cellIs" dxfId="3771" priority="176" operator="between">
      <formula>0.76</formula>
      <formula>0.95</formula>
    </cfRule>
    <cfRule type="cellIs" dxfId="3770" priority="177" operator="between">
      <formula>0.51</formula>
      <formula>0.75</formula>
    </cfRule>
    <cfRule type="cellIs" dxfId="3769" priority="178" operator="greaterThan">
      <formula>1</formula>
    </cfRule>
    <cfRule type="cellIs" dxfId="3768" priority="179" operator="between">
      <formula>0.95</formula>
      <formula>1</formula>
    </cfRule>
    <cfRule type="cellIs" dxfId="3767" priority="180" stopIfTrue="1" operator="between">
      <formula>0</formula>
      <formula>0.5</formula>
    </cfRule>
  </conditionalFormatting>
  <conditionalFormatting sqref="Y125:Y126">
    <cfRule type="cellIs" dxfId="3766" priority="171" operator="between">
      <formula>0.76</formula>
      <formula>0.95</formula>
    </cfRule>
    <cfRule type="cellIs" dxfId="3765" priority="172" operator="between">
      <formula>0.51</formula>
      <formula>0.75</formula>
    </cfRule>
    <cfRule type="cellIs" dxfId="3764" priority="173" operator="greaterThan">
      <formula>1</formula>
    </cfRule>
    <cfRule type="cellIs" dxfId="3763" priority="174" operator="between">
      <formula>0.95</formula>
      <formula>1</formula>
    </cfRule>
    <cfRule type="cellIs" dxfId="3762" priority="175" stopIfTrue="1" operator="between">
      <formula>0</formula>
      <formula>0.5</formula>
    </cfRule>
  </conditionalFormatting>
  <conditionalFormatting sqref="AF124">
    <cfRule type="cellIs" dxfId="3761" priority="166" operator="between">
      <formula>0.76</formula>
      <formula>0.95</formula>
    </cfRule>
    <cfRule type="cellIs" dxfId="3760" priority="167" operator="between">
      <formula>0.51</formula>
      <formula>0.75</formula>
    </cfRule>
    <cfRule type="cellIs" dxfId="3759" priority="168" operator="greaterThan">
      <formula>1</formula>
    </cfRule>
    <cfRule type="cellIs" dxfId="3758" priority="169" operator="between">
      <formula>0.95</formula>
      <formula>1</formula>
    </cfRule>
    <cfRule type="cellIs" dxfId="3757" priority="170" stopIfTrue="1" operator="between">
      <formula>0</formula>
      <formula>0.5</formula>
    </cfRule>
  </conditionalFormatting>
  <conditionalFormatting sqref="Z124">
    <cfRule type="cellIs" dxfId="3756" priority="161" operator="between">
      <formula>0.76</formula>
      <formula>0.95</formula>
    </cfRule>
    <cfRule type="cellIs" dxfId="3755" priority="162" operator="between">
      <formula>0.51</formula>
      <formula>0.75</formula>
    </cfRule>
    <cfRule type="cellIs" dxfId="3754" priority="163" operator="greaterThan">
      <formula>1</formula>
    </cfRule>
    <cfRule type="cellIs" dxfId="3753" priority="164" operator="between">
      <formula>0.95</formula>
      <formula>1</formula>
    </cfRule>
    <cfRule type="cellIs" dxfId="3752" priority="165" stopIfTrue="1" operator="between">
      <formula>0</formula>
      <formula>0.5</formula>
    </cfRule>
  </conditionalFormatting>
  <conditionalFormatting sqref="Z125">
    <cfRule type="cellIs" dxfId="3751" priority="156" operator="between">
      <formula>0.76</formula>
      <formula>0.95</formula>
    </cfRule>
    <cfRule type="cellIs" dxfId="3750" priority="157" operator="between">
      <formula>0.51</formula>
      <formula>0.75</formula>
    </cfRule>
    <cfRule type="cellIs" dxfId="3749" priority="158" operator="greaterThan">
      <formula>1</formula>
    </cfRule>
    <cfRule type="cellIs" dxfId="3748" priority="159" operator="between">
      <formula>0.95</formula>
      <formula>1</formula>
    </cfRule>
    <cfRule type="cellIs" dxfId="3747" priority="160" stopIfTrue="1" operator="between">
      <formula>0</formula>
      <formula>0.5</formula>
    </cfRule>
  </conditionalFormatting>
  <conditionalFormatting sqref="Z123">
    <cfRule type="cellIs" dxfId="3746" priority="151" operator="between">
      <formula>0.76</formula>
      <formula>0.95</formula>
    </cfRule>
    <cfRule type="cellIs" dxfId="3745" priority="152" operator="between">
      <formula>0.51</formula>
      <formula>0.75</formula>
    </cfRule>
    <cfRule type="cellIs" dxfId="3744" priority="153" operator="greaterThan">
      <formula>1</formula>
    </cfRule>
    <cfRule type="cellIs" dxfId="3743" priority="154" operator="between">
      <formula>0.95</formula>
      <formula>1</formula>
    </cfRule>
    <cfRule type="cellIs" dxfId="3742" priority="155" stopIfTrue="1" operator="between">
      <formula>0</formula>
      <formula>0.5</formula>
    </cfRule>
  </conditionalFormatting>
  <conditionalFormatting sqref="Y123">
    <cfRule type="cellIs" dxfId="3741" priority="146" operator="between">
      <formula>0.76</formula>
      <formula>0.95</formula>
    </cfRule>
    <cfRule type="cellIs" dxfId="3740" priority="147" operator="between">
      <formula>0.51</formula>
      <formula>0.75</formula>
    </cfRule>
    <cfRule type="cellIs" dxfId="3739" priority="148" operator="greaterThan">
      <formula>1</formula>
    </cfRule>
    <cfRule type="cellIs" dxfId="3738" priority="149" operator="between">
      <formula>0.95</formula>
      <formula>1</formula>
    </cfRule>
    <cfRule type="cellIs" dxfId="3737" priority="150" stopIfTrue="1" operator="between">
      <formula>0</formula>
      <formula>0.5</formula>
    </cfRule>
  </conditionalFormatting>
  <conditionalFormatting sqref="AF123">
    <cfRule type="cellIs" dxfId="3736" priority="141" operator="between">
      <formula>0.76</formula>
      <formula>0.95</formula>
    </cfRule>
    <cfRule type="cellIs" dxfId="3735" priority="142" operator="between">
      <formula>0.51</formula>
      <formula>0.75</formula>
    </cfRule>
    <cfRule type="cellIs" dxfId="3734" priority="143" operator="greaterThan">
      <formula>1</formula>
    </cfRule>
    <cfRule type="cellIs" dxfId="3733" priority="144" operator="between">
      <formula>0.95</formula>
      <formula>1</formula>
    </cfRule>
    <cfRule type="cellIs" dxfId="3732" priority="145" stopIfTrue="1" operator="between">
      <formula>0</formula>
      <formula>0.5</formula>
    </cfRule>
  </conditionalFormatting>
  <conditionalFormatting sqref="AG123">
    <cfRule type="cellIs" dxfId="3731" priority="136" operator="between">
      <formula>0.76</formula>
      <formula>0.95</formula>
    </cfRule>
    <cfRule type="cellIs" dxfId="3730" priority="137" operator="between">
      <formula>0.51</formula>
      <formula>0.75</formula>
    </cfRule>
    <cfRule type="cellIs" dxfId="3729" priority="138" operator="greaterThan">
      <formula>1</formula>
    </cfRule>
    <cfRule type="cellIs" dxfId="3728" priority="139" operator="between">
      <formula>0.95</formula>
      <formula>1</formula>
    </cfRule>
    <cfRule type="cellIs" dxfId="3727" priority="140" stopIfTrue="1" operator="between">
      <formula>0</formula>
      <formula>0.5</formula>
    </cfRule>
  </conditionalFormatting>
  <conditionalFormatting sqref="AG124">
    <cfRule type="cellIs" dxfId="3726" priority="131" operator="between">
      <formula>0.76</formula>
      <formula>0.95</formula>
    </cfRule>
    <cfRule type="cellIs" dxfId="3725" priority="132" operator="between">
      <formula>0.51</formula>
      <formula>0.75</formula>
    </cfRule>
    <cfRule type="cellIs" dxfId="3724" priority="133" operator="greaterThan">
      <formula>1</formula>
    </cfRule>
    <cfRule type="cellIs" dxfId="3723" priority="134" operator="between">
      <formula>0.95</formula>
      <formula>1</formula>
    </cfRule>
    <cfRule type="cellIs" dxfId="3722" priority="135" stopIfTrue="1" operator="between">
      <formula>0</formula>
      <formula>0.5</formula>
    </cfRule>
  </conditionalFormatting>
  <conditionalFormatting sqref="AF125">
    <cfRule type="cellIs" dxfId="3721" priority="126" operator="between">
      <formula>0.76</formula>
      <formula>0.95</formula>
    </cfRule>
    <cfRule type="cellIs" dxfId="3720" priority="127" operator="between">
      <formula>0.51</formula>
      <formula>0.75</formula>
    </cfRule>
    <cfRule type="cellIs" dxfId="3719" priority="128" operator="greaterThan">
      <formula>1</formula>
    </cfRule>
    <cfRule type="cellIs" dxfId="3718" priority="129" operator="between">
      <formula>0.95</formula>
      <formula>1</formula>
    </cfRule>
    <cfRule type="cellIs" dxfId="3717" priority="130" stopIfTrue="1" operator="between">
      <formula>0</formula>
      <formula>0.5</formula>
    </cfRule>
  </conditionalFormatting>
  <conditionalFormatting sqref="AG125">
    <cfRule type="cellIs" dxfId="3716" priority="121" operator="between">
      <formula>0.76</formula>
      <formula>0.95</formula>
    </cfRule>
    <cfRule type="cellIs" dxfId="3715" priority="122" operator="between">
      <formula>0.51</formula>
      <formula>0.75</formula>
    </cfRule>
    <cfRule type="cellIs" dxfId="3714" priority="123" operator="greaterThan">
      <formula>1</formula>
    </cfRule>
    <cfRule type="cellIs" dxfId="3713" priority="124" operator="between">
      <formula>0.95</formula>
      <formula>1</formula>
    </cfRule>
    <cfRule type="cellIs" dxfId="3712" priority="125" stopIfTrue="1" operator="between">
      <formula>0</formula>
      <formula>0.5</formula>
    </cfRule>
  </conditionalFormatting>
  <conditionalFormatting sqref="AA199:AB199">
    <cfRule type="cellIs" dxfId="3711" priority="116" operator="between">
      <formula>0.56251</formula>
      <formula>0.7125</formula>
    </cfRule>
    <cfRule type="cellIs" dxfId="3710" priority="117" operator="between">
      <formula>0.3751</formula>
      <formula>0.5625</formula>
    </cfRule>
    <cfRule type="cellIs" dxfId="3709" priority="118" operator="greaterThan">
      <formula>0.751</formula>
    </cfRule>
    <cfRule type="cellIs" dxfId="3708" priority="119" operator="between">
      <formula>0.71251</formula>
      <formula>0.75</formula>
    </cfRule>
    <cfRule type="cellIs" dxfId="3707" priority="120" stopIfTrue="1" operator="between">
      <formula>0</formula>
      <formula>0.375</formula>
    </cfRule>
  </conditionalFormatting>
  <conditionalFormatting sqref="AC199">
    <cfRule type="cellIs" dxfId="3706" priority="111" operator="between">
      <formula>0.56251</formula>
      <formula>0.7125</formula>
    </cfRule>
    <cfRule type="cellIs" dxfId="3705" priority="112" operator="between">
      <formula>0.3751</formula>
      <formula>0.5625</formula>
    </cfRule>
    <cfRule type="cellIs" dxfId="3704" priority="113" operator="greaterThan">
      <formula>0.751</formula>
    </cfRule>
    <cfRule type="cellIs" dxfId="3703" priority="114" operator="between">
      <formula>0.71251</formula>
      <formula>0.75</formula>
    </cfRule>
    <cfRule type="cellIs" dxfId="3702" priority="115" stopIfTrue="1" operator="between">
      <formula>0</formula>
      <formula>0.375</formula>
    </cfRule>
  </conditionalFormatting>
  <conditionalFormatting sqref="AA300:AB300">
    <cfRule type="cellIs" dxfId="3701" priority="106" operator="between">
      <formula>0.56251</formula>
      <formula>0.7125</formula>
    </cfRule>
    <cfRule type="cellIs" dxfId="3700" priority="107" operator="between">
      <formula>0.3751</formula>
      <formula>0.5625</formula>
    </cfRule>
    <cfRule type="cellIs" dxfId="3699" priority="108" operator="greaterThan">
      <formula>0.751</formula>
    </cfRule>
    <cfRule type="cellIs" dxfId="3698" priority="109" operator="between">
      <formula>0.71251</formula>
      <formula>0.75</formula>
    </cfRule>
    <cfRule type="cellIs" dxfId="3697" priority="110" stopIfTrue="1" operator="between">
      <formula>0</formula>
      <formula>0.375</formula>
    </cfRule>
  </conditionalFormatting>
  <conditionalFormatting sqref="AC300">
    <cfRule type="cellIs" dxfId="3696" priority="101" operator="between">
      <formula>0.56251</formula>
      <formula>0.7125</formula>
    </cfRule>
    <cfRule type="cellIs" dxfId="3695" priority="102" operator="between">
      <formula>0.3751</formula>
      <formula>0.5625</formula>
    </cfRule>
    <cfRule type="cellIs" dxfId="3694" priority="103" operator="greaterThan">
      <formula>0.751</formula>
    </cfRule>
    <cfRule type="cellIs" dxfId="3693" priority="104" operator="between">
      <formula>0.71251</formula>
      <formula>0.75</formula>
    </cfRule>
    <cfRule type="cellIs" dxfId="3692" priority="105" stopIfTrue="1" operator="between">
      <formula>0</formula>
      <formula>0.375</formula>
    </cfRule>
  </conditionalFormatting>
  <conditionalFormatting sqref="Z173">
    <cfRule type="cellIs" dxfId="3691" priority="96" operator="between">
      <formula>0.76</formula>
      <formula>0.95</formula>
    </cfRule>
    <cfRule type="cellIs" dxfId="3690" priority="97" operator="between">
      <formula>0.51</formula>
      <formula>0.75</formula>
    </cfRule>
    <cfRule type="cellIs" dxfId="3689" priority="98" operator="greaterThan">
      <formula>1</formula>
    </cfRule>
    <cfRule type="cellIs" dxfId="3688" priority="99" operator="between">
      <formula>0.96</formula>
      <formula>1</formula>
    </cfRule>
    <cfRule type="cellIs" dxfId="3687" priority="100" stopIfTrue="1" operator="between">
      <formula>0</formula>
      <formula>0.5</formula>
    </cfRule>
  </conditionalFormatting>
  <conditionalFormatting sqref="AA132:AB132">
    <cfRule type="cellIs" dxfId="3686" priority="91" operator="between">
      <formula>0.56251</formula>
      <formula>0.7125</formula>
    </cfRule>
    <cfRule type="cellIs" dxfId="3685" priority="92" operator="between">
      <formula>0.3751</formula>
      <formula>0.5625</formula>
    </cfRule>
    <cfRule type="cellIs" dxfId="3684" priority="93" operator="greaterThan">
      <formula>0.751</formula>
    </cfRule>
    <cfRule type="cellIs" dxfId="3683" priority="94" operator="between">
      <formula>0.71251</formula>
      <formula>0.75</formula>
    </cfRule>
    <cfRule type="cellIs" dxfId="3682" priority="95" stopIfTrue="1" operator="between">
      <formula>0</formula>
      <formula>0.375</formula>
    </cfRule>
  </conditionalFormatting>
  <conditionalFormatting sqref="AC132">
    <cfRule type="cellIs" dxfId="3681" priority="86" operator="between">
      <formula>0.56251</formula>
      <formula>0.7125</formula>
    </cfRule>
    <cfRule type="cellIs" dxfId="3680" priority="87" operator="between">
      <formula>0.3751</formula>
      <formula>0.5625</formula>
    </cfRule>
    <cfRule type="cellIs" dxfId="3679" priority="88" operator="greaterThan">
      <formula>0.751</formula>
    </cfRule>
    <cfRule type="cellIs" dxfId="3678" priority="89" operator="between">
      <formula>0.71251</formula>
      <formula>0.75</formula>
    </cfRule>
    <cfRule type="cellIs" dxfId="3677" priority="90" stopIfTrue="1" operator="between">
      <formula>0</formula>
      <formula>0.375</formula>
    </cfRule>
  </conditionalFormatting>
  <conditionalFormatting sqref="AA208:AB208">
    <cfRule type="cellIs" dxfId="3676" priority="81" operator="between">
      <formula>0.56251</formula>
      <formula>0.7125</formula>
    </cfRule>
    <cfRule type="cellIs" dxfId="3675" priority="82" operator="between">
      <formula>0.3751</formula>
      <formula>0.5625</formula>
    </cfRule>
    <cfRule type="cellIs" dxfId="3674" priority="83" operator="greaterThan">
      <formula>0.751</formula>
    </cfRule>
    <cfRule type="cellIs" dxfId="3673" priority="84" operator="between">
      <formula>0.71251</formula>
      <formula>0.75</formula>
    </cfRule>
    <cfRule type="cellIs" dxfId="3672" priority="85" stopIfTrue="1" operator="between">
      <formula>0</formula>
      <formula>0.375</formula>
    </cfRule>
  </conditionalFormatting>
  <conditionalFormatting sqref="AC208">
    <cfRule type="cellIs" dxfId="3671" priority="76" operator="between">
      <formula>0.56251</formula>
      <formula>0.7125</formula>
    </cfRule>
    <cfRule type="cellIs" dxfId="3670" priority="77" operator="between">
      <formula>0.3751</formula>
      <formula>0.5625</formula>
    </cfRule>
    <cfRule type="cellIs" dxfId="3669" priority="78" operator="greaterThan">
      <formula>0.751</formula>
    </cfRule>
    <cfRule type="cellIs" dxfId="3668" priority="79" operator="between">
      <formula>0.71251</formula>
      <formula>0.75</formula>
    </cfRule>
    <cfRule type="cellIs" dxfId="3667" priority="80" stopIfTrue="1" operator="between">
      <formula>0</formula>
      <formula>0.375</formula>
    </cfRule>
  </conditionalFormatting>
  <conditionalFormatting sqref="AA309:AB309">
    <cfRule type="cellIs" dxfId="3666" priority="71" operator="between">
      <formula>0.56251</formula>
      <formula>0.7125</formula>
    </cfRule>
    <cfRule type="cellIs" dxfId="3665" priority="72" operator="between">
      <formula>0.3751</formula>
      <formula>0.5625</formula>
    </cfRule>
    <cfRule type="cellIs" dxfId="3664" priority="73" operator="greaterThan">
      <formula>0.751</formula>
    </cfRule>
    <cfRule type="cellIs" dxfId="3663" priority="74" operator="between">
      <formula>0.71251</formula>
      <formula>0.75</formula>
    </cfRule>
    <cfRule type="cellIs" dxfId="3662" priority="75" stopIfTrue="1" operator="between">
      <formula>0</formula>
      <formula>0.375</formula>
    </cfRule>
  </conditionalFormatting>
  <conditionalFormatting sqref="AC309">
    <cfRule type="cellIs" dxfId="3661" priority="66" operator="between">
      <formula>0.56251</formula>
      <formula>0.7125</formula>
    </cfRule>
    <cfRule type="cellIs" dxfId="3660" priority="67" operator="between">
      <formula>0.3751</formula>
      <formula>0.5625</formula>
    </cfRule>
    <cfRule type="cellIs" dxfId="3659" priority="68" operator="greaterThan">
      <formula>0.751</formula>
    </cfRule>
    <cfRule type="cellIs" dxfId="3658" priority="69" operator="between">
      <formula>0.71251</formula>
      <formula>0.75</formula>
    </cfRule>
    <cfRule type="cellIs" dxfId="3657" priority="70" stopIfTrue="1" operator="between">
      <formula>0</formula>
      <formula>0.375</formula>
    </cfRule>
  </conditionalFormatting>
  <conditionalFormatting sqref="AA365:AB365">
    <cfRule type="cellIs" dxfId="3656" priority="61" operator="between">
      <formula>0.56251</formula>
      <formula>0.7125</formula>
    </cfRule>
    <cfRule type="cellIs" dxfId="3655" priority="62" operator="between">
      <formula>0.3751</formula>
      <formula>0.5625</formula>
    </cfRule>
    <cfRule type="cellIs" dxfId="3654" priority="63" operator="greaterThan">
      <formula>0.751</formula>
    </cfRule>
    <cfRule type="cellIs" dxfId="3653" priority="64" operator="between">
      <formula>0.71251</formula>
      <formula>0.75</formula>
    </cfRule>
    <cfRule type="cellIs" dxfId="3652" priority="65" stopIfTrue="1" operator="between">
      <formula>0</formula>
      <formula>0.375</formula>
    </cfRule>
  </conditionalFormatting>
  <conditionalFormatting sqref="AC365">
    <cfRule type="cellIs" dxfId="3651" priority="56" operator="between">
      <formula>0.56251</formula>
      <formula>0.7125</formula>
    </cfRule>
    <cfRule type="cellIs" dxfId="3650" priority="57" operator="between">
      <formula>0.3751</formula>
      <formula>0.5625</formula>
    </cfRule>
    <cfRule type="cellIs" dxfId="3649" priority="58" operator="greaterThan">
      <formula>0.751</formula>
    </cfRule>
    <cfRule type="cellIs" dxfId="3648" priority="59" operator="between">
      <formula>0.71251</formula>
      <formula>0.75</formula>
    </cfRule>
    <cfRule type="cellIs" dxfId="3647" priority="60" stopIfTrue="1" operator="between">
      <formula>0</formula>
      <formula>0.375</formula>
    </cfRule>
  </conditionalFormatting>
  <conditionalFormatting sqref="AA366:AB366">
    <cfRule type="cellIs" dxfId="3646" priority="51" operator="between">
      <formula>0.56251</formula>
      <formula>0.7125</formula>
    </cfRule>
    <cfRule type="cellIs" dxfId="3645" priority="52" operator="between">
      <formula>0.3751</formula>
      <formula>0.5625</formula>
    </cfRule>
    <cfRule type="cellIs" dxfId="3644" priority="53" operator="greaterThan">
      <formula>0.751</formula>
    </cfRule>
    <cfRule type="cellIs" dxfId="3643" priority="54" operator="between">
      <formula>0.71251</formula>
      <formula>0.75</formula>
    </cfRule>
    <cfRule type="cellIs" dxfId="3642" priority="55" stopIfTrue="1" operator="between">
      <formula>0</formula>
      <formula>0.375</formula>
    </cfRule>
  </conditionalFormatting>
  <conditionalFormatting sqref="AC366">
    <cfRule type="cellIs" dxfId="3641" priority="46" operator="between">
      <formula>0.56251</formula>
      <formula>0.7125</formula>
    </cfRule>
    <cfRule type="cellIs" dxfId="3640" priority="47" operator="between">
      <formula>0.3751</formula>
      <formula>0.5625</formula>
    </cfRule>
    <cfRule type="cellIs" dxfId="3639" priority="48" operator="greaterThan">
      <formula>0.751</formula>
    </cfRule>
    <cfRule type="cellIs" dxfId="3638" priority="49" operator="between">
      <formula>0.71251</formula>
      <formula>0.75</formula>
    </cfRule>
    <cfRule type="cellIs" dxfId="3637" priority="50" stopIfTrue="1" operator="between">
      <formula>0</formula>
      <formula>0.375</formula>
    </cfRule>
  </conditionalFormatting>
  <conditionalFormatting sqref="AA367:AB367">
    <cfRule type="cellIs" dxfId="3636" priority="41" operator="between">
      <formula>0.56251</formula>
      <formula>0.7125</formula>
    </cfRule>
    <cfRule type="cellIs" dxfId="3635" priority="42" operator="between">
      <formula>0.3751</formula>
      <formula>0.5625</formula>
    </cfRule>
    <cfRule type="cellIs" dxfId="3634" priority="43" operator="greaterThan">
      <formula>0.751</formula>
    </cfRule>
    <cfRule type="cellIs" dxfId="3633" priority="44" operator="between">
      <formula>0.71251</formula>
      <formula>0.75</formula>
    </cfRule>
    <cfRule type="cellIs" dxfId="3632" priority="45" stopIfTrue="1" operator="between">
      <formula>0</formula>
      <formula>0.375</formula>
    </cfRule>
  </conditionalFormatting>
  <conditionalFormatting sqref="AC367">
    <cfRule type="cellIs" dxfId="3631" priority="36" operator="between">
      <formula>0.56251</formula>
      <formula>0.7125</formula>
    </cfRule>
    <cfRule type="cellIs" dxfId="3630" priority="37" operator="between">
      <formula>0.3751</formula>
      <formula>0.5625</formula>
    </cfRule>
    <cfRule type="cellIs" dxfId="3629" priority="38" operator="greaterThan">
      <formula>0.751</formula>
    </cfRule>
    <cfRule type="cellIs" dxfId="3628" priority="39" operator="between">
      <formula>0.71251</formula>
      <formula>0.75</formula>
    </cfRule>
    <cfRule type="cellIs" dxfId="3627" priority="40" stopIfTrue="1" operator="between">
      <formula>0</formula>
      <formula>0.375</formula>
    </cfRule>
  </conditionalFormatting>
  <conditionalFormatting sqref="AA368:AB368">
    <cfRule type="cellIs" dxfId="3626" priority="31" operator="between">
      <formula>0.56251</formula>
      <formula>0.7125</formula>
    </cfRule>
    <cfRule type="cellIs" dxfId="3625" priority="32" operator="between">
      <formula>0.3751</formula>
      <formula>0.5625</formula>
    </cfRule>
    <cfRule type="cellIs" dxfId="3624" priority="33" operator="greaterThan">
      <formula>0.751</formula>
    </cfRule>
    <cfRule type="cellIs" dxfId="3623" priority="34" operator="between">
      <formula>0.71251</formula>
      <formula>0.75</formula>
    </cfRule>
    <cfRule type="cellIs" dxfId="3622" priority="35" stopIfTrue="1" operator="between">
      <formula>0</formula>
      <formula>0.375</formula>
    </cfRule>
  </conditionalFormatting>
  <conditionalFormatting sqref="AC368">
    <cfRule type="cellIs" dxfId="3621" priority="26" operator="between">
      <formula>0.56251</formula>
      <formula>0.7125</formula>
    </cfRule>
    <cfRule type="cellIs" dxfId="3620" priority="27" operator="between">
      <formula>0.3751</formula>
      <formula>0.5625</formula>
    </cfRule>
    <cfRule type="cellIs" dxfId="3619" priority="28" operator="greaterThan">
      <formula>0.751</formula>
    </cfRule>
    <cfRule type="cellIs" dxfId="3618" priority="29" operator="between">
      <formula>0.71251</formula>
      <formula>0.75</formula>
    </cfRule>
    <cfRule type="cellIs" dxfId="3617" priority="30" stopIfTrue="1" operator="between">
      <formula>0</formula>
      <formula>0.375</formula>
    </cfRule>
  </conditionalFormatting>
  <conditionalFormatting sqref="AA35">
    <cfRule type="cellIs" dxfId="3616" priority="21" operator="between">
      <formula>0.3751</formula>
      <formula>0.475</formula>
    </cfRule>
    <cfRule type="cellIs" dxfId="3615" priority="22" operator="between">
      <formula>0.2551</formula>
      <formula>0.375</formula>
    </cfRule>
    <cfRule type="cellIs" dxfId="3614" priority="23" operator="greaterThan">
      <formula>0.505</formula>
    </cfRule>
    <cfRule type="cellIs" dxfId="3613" priority="24" operator="between">
      <formula>0.48</formula>
      <formula>0.5</formula>
    </cfRule>
    <cfRule type="cellIs" dxfId="3612" priority="25" stopIfTrue="1" operator="between">
      <formula>0</formula>
      <formula>0.255</formula>
    </cfRule>
  </conditionalFormatting>
  <conditionalFormatting sqref="AB35">
    <cfRule type="cellIs" dxfId="3611" priority="16" operator="between">
      <formula>0.376</formula>
      <formula>0.475</formula>
    </cfRule>
    <cfRule type="cellIs" dxfId="3610" priority="17" operator="between">
      <formula>0.2551</formula>
      <formula>0.3751</formula>
    </cfRule>
    <cfRule type="cellIs" dxfId="3609" priority="18" operator="greaterThan">
      <formula>0.505</formula>
    </cfRule>
    <cfRule type="cellIs" dxfId="3608" priority="19" operator="between">
      <formula>0.48</formula>
      <formula>0.5</formula>
    </cfRule>
    <cfRule type="cellIs" dxfId="3607" priority="20" stopIfTrue="1" operator="between">
      <formula>0</formula>
      <formula>0.255</formula>
    </cfRule>
  </conditionalFormatting>
  <conditionalFormatting sqref="AA143">
    <cfRule type="cellIs" dxfId="3606" priority="11" operator="between">
      <formula>0.56251</formula>
      <formula>0.7125</formula>
    </cfRule>
    <cfRule type="cellIs" dxfId="3605" priority="12" operator="between">
      <formula>0.3751</formula>
      <formula>0.5625</formula>
    </cfRule>
    <cfRule type="cellIs" dxfId="3604" priority="13" operator="greaterThan">
      <formula>0.751</formula>
    </cfRule>
    <cfRule type="cellIs" dxfId="3603" priority="14" operator="between">
      <formula>0.71251</formula>
      <formula>0.75</formula>
    </cfRule>
    <cfRule type="cellIs" dxfId="3602" priority="15" stopIfTrue="1" operator="between">
      <formula>0</formula>
      <formula>0.375</formula>
    </cfRule>
  </conditionalFormatting>
  <conditionalFormatting sqref="AC143">
    <cfRule type="cellIs" dxfId="3601" priority="6" operator="between">
      <formula>0.56251</formula>
      <formula>0.7125</formula>
    </cfRule>
    <cfRule type="cellIs" dxfId="3600" priority="7" operator="between">
      <formula>0.3751</formula>
      <formula>0.5625</formula>
    </cfRule>
    <cfRule type="cellIs" dxfId="3599" priority="8" operator="greaterThan">
      <formula>0.751</formula>
    </cfRule>
    <cfRule type="cellIs" dxfId="3598" priority="9" operator="between">
      <formula>0.71251</formula>
      <formula>0.75</formula>
    </cfRule>
    <cfRule type="cellIs" dxfId="3597" priority="10" stopIfTrue="1" operator="between">
      <formula>0</formula>
      <formula>0.375</formula>
    </cfRule>
  </conditionalFormatting>
  <conditionalFormatting sqref="AB143">
    <cfRule type="cellIs" dxfId="3596" priority="1" operator="between">
      <formula>0.56251</formula>
      <formula>0.7125</formula>
    </cfRule>
    <cfRule type="cellIs" dxfId="3595" priority="2" operator="between">
      <formula>0.3751</formula>
      <formula>0.5625</formula>
    </cfRule>
    <cfRule type="cellIs" dxfId="3594" priority="3" operator="greaterThan">
      <formula>0.751</formula>
    </cfRule>
    <cfRule type="cellIs" dxfId="3593" priority="4" operator="between">
      <formula>0.71251</formula>
      <formula>0.75</formula>
    </cfRule>
    <cfRule type="cellIs" dxfId="3592" priority="5" stopIfTrue="1" operator="between">
      <formula>0</formula>
      <formula>0.375</formula>
    </cfRule>
  </conditionalFormatting>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651" id="{CB4887D6-A6EF-43BF-AAB5-CA2D4CE99947}">
            <xm:f>AND(IF(J35&gt;'F:\Users\norela.briceno\Documents\Plan de acción\Plan Accion 2018\[Plan Accion Integrado ADRES Vigencia 2018 con Cuadro de Mando V6..xlsx]Plan de Accion 2018'!#REF!,J35&lt;&gt;¨N/A¨))</xm:f>
            <x14:dxf>
              <fill>
                <patternFill>
                  <bgColor theme="1" tint="0.499984740745262"/>
                </patternFill>
              </fill>
            </x14:dxf>
          </x14:cfRule>
          <x14:cfRule type="expression" priority="19652" stopIfTrue="1" id="{A3174C5E-FE52-434E-8C63-478D70C7AC10}">
            <xm:f>AND(IF(J35='F:\Users\norela.briceno\Documents\Plan de acción\Plan Accion 2018\[Plan Accion Integrado ADRES Vigencia 2018 con Cuadro de Mando V6..xlsx]Plan de Accion 2018'!#REF!,J35&lt;&gt;"N/A"))</xm:f>
            <x14:dxf>
              <fill>
                <patternFill>
                  <bgColor rgb="FF00B050"/>
                </patternFill>
              </fill>
            </x14:dxf>
          </x14:cfRule>
          <x14:cfRule type="expression" priority="19653" stopIfTrue="1" id="{4E2C1DE6-E61E-4368-A799-08FEFDD385A2}">
            <xm:f>AND(IF(J35&lt;'F:\Users\norela.briceno\Documents\Plan de acción\Plan Accion 2018\[Plan Accion Integrado ADRES Vigencia 2018 con Cuadro de Mando V6..xlsx]Plan de Accion 2018'!#REF!,J35&lt;&gt;"N/A"))</xm:f>
            <x14:dxf>
              <fill>
                <patternFill>
                  <bgColor indexed="10"/>
                </patternFill>
              </fill>
            </x14:dxf>
          </x14:cfRule>
          <xm:sqref>J218:J220 Q218:Q220 AE218:AE219 X219:X220 J239:J240 Q239:Q240 AE239:AE240 J161 Q161 AE161 X161 J35 J59 Q35 Q59 X35 X59 AE35 AE59 J247 Q247 X247 AE247 J165:J170 Q165:Q168 X165:X168 AE165:AE168 J222 Q222 X222 AE170 X170 Q170</xm:sqref>
        </x14:conditionalFormatting>
        <x14:conditionalFormatting xmlns:xm="http://schemas.microsoft.com/office/excel/2006/main">
          <x14:cfRule type="expression" priority="18928" id="{238B3783-6103-4ED3-9181-4762EA6122FC}">
            <xm:f>AND(IF(J43&gt;'F:\Users\norela.briceno\Documents\Plan de acción\Plan Accion 2018\[Plan Accion Integrado ADRES Vigencia 2018 con Cuadro de Mando V6..xlsx]Plan de Accion 2018'!#REF!,J43&lt;&gt;¨N/A¨))</xm:f>
            <x14:dxf>
              <fill>
                <patternFill>
                  <bgColor theme="1" tint="0.499984740745262"/>
                </patternFill>
              </fill>
            </x14:dxf>
          </x14:cfRule>
          <x14:cfRule type="expression" priority="18929" stopIfTrue="1" id="{765A827D-A878-4B88-B8D3-300B6356F1B7}">
            <xm:f>AND(IF(J43='F:\Users\norela.briceno\Documents\Plan de acción\Plan Accion 2018\[Plan Accion Integrado ADRES Vigencia 2018 con Cuadro de Mando V6..xlsx]Plan de Accion 2018'!#REF!,J43&lt;&gt;"N/A"))</xm:f>
            <x14:dxf>
              <fill>
                <patternFill>
                  <bgColor rgb="FF00B050"/>
                </patternFill>
              </fill>
            </x14:dxf>
          </x14:cfRule>
          <x14:cfRule type="expression" priority="18930" stopIfTrue="1" id="{E60F6696-C8E7-4FD4-A968-3B4595025553}">
            <xm:f>AND(IF(J43&lt;'F:\Users\norela.briceno\Documents\Plan de acción\Plan Accion 2018\[Plan Accion Integrado ADRES Vigencia 2018 con Cuadro de Mando V6..xlsx]Plan de Accion 2018'!#REF!,J43&lt;&gt;"N/A"))</xm:f>
            <x14:dxf>
              <fill>
                <patternFill>
                  <bgColor indexed="10"/>
                </patternFill>
              </fill>
            </x14:dxf>
          </x14:cfRule>
          <xm:sqref>X161 X165:X168 AE222 J225:J226 Q225:Q226 X225:X226 AE225:AE226 J43:J44 Q43:Q44 X43:X44 AE43:AE44 X170 J117:J120 J56 Q56 X56 AE56 J139:J142 Q139:Q142 X139:X142 AE139:AE142 J91</xm:sqref>
        </x14:conditionalFormatting>
        <x14:conditionalFormatting xmlns:xm="http://schemas.microsoft.com/office/excel/2006/main">
          <x14:cfRule type="expression" priority="18925" id="{8C5B9726-0070-466E-9293-4FB0D4BFAECA}">
            <xm:f>AND(IF(AE161&gt;'F:\Users\norela.briceno\Documents\Plan de acción\Plan Accion 2018\[Plan Accion Integrado ADRES Vigencia 2018 con Cuadro de Mando V6..xlsx]Plan de Accion 2018'!#REF!,AE161&lt;&gt;¨N/A¨))</xm:f>
            <x14:dxf>
              <fill>
                <patternFill>
                  <bgColor theme="1" tint="0.499984740745262"/>
                </patternFill>
              </fill>
            </x14:dxf>
          </x14:cfRule>
          <x14:cfRule type="expression" priority="18926" stopIfTrue="1" id="{8B1C504B-F313-4E8E-964B-05A47B8417D5}">
            <xm:f>AND(IF(AE161='F:\Users\norela.briceno\Documents\Plan de acción\Plan Accion 2018\[Plan Accion Integrado ADRES Vigencia 2018 con Cuadro de Mando V6..xlsx]Plan de Accion 2018'!#REF!,AE161&lt;&gt;"N/A"))</xm:f>
            <x14:dxf>
              <fill>
                <patternFill>
                  <bgColor rgb="FF00B050"/>
                </patternFill>
              </fill>
            </x14:dxf>
          </x14:cfRule>
          <x14:cfRule type="expression" priority="18927" stopIfTrue="1" id="{3B5BD079-0278-402E-A7F8-D19A31DC38E3}">
            <xm:f>AND(IF(AE161&lt;'F:\Users\norela.briceno\Documents\Plan de acción\Plan Accion 2018\[Plan Accion Integrado ADRES Vigencia 2018 con Cuadro de Mando V6..xlsx]Plan de Accion 2018'!#REF!,AE161&lt;&gt;"N/A"))</xm:f>
            <x14:dxf>
              <fill>
                <patternFill>
                  <bgColor indexed="10"/>
                </patternFill>
              </fill>
            </x14:dxf>
          </x14:cfRule>
          <xm:sqref>AE165:AE168 AE161 AE170</xm:sqref>
        </x14:conditionalFormatting>
        <x14:conditionalFormatting xmlns:xm="http://schemas.microsoft.com/office/excel/2006/main">
          <x14:cfRule type="expression" priority="18934" id="{8DE4B417-6BFE-4282-AA67-86C278E5EE0D}">
            <xm:f>AND(IF(J161&gt;'F:\Users\norela.briceno\Documents\Plan de acción\Plan Accion 2018\[Plan Accion Integrado ADRES Vigencia 2018 con Cuadro de Mando V6..xlsx]Plan de Accion 2018'!#REF!,J161&lt;&gt;¨N/A¨))</xm:f>
            <x14:dxf>
              <fill>
                <patternFill>
                  <bgColor theme="1" tint="0.499984740745262"/>
                </patternFill>
              </fill>
            </x14:dxf>
          </x14:cfRule>
          <x14:cfRule type="expression" priority="18935" stopIfTrue="1" id="{89CC5DDF-3891-4955-8E6A-A940D65A42C3}">
            <xm:f>AND(IF(J161='F:\Users\norela.briceno\Documents\Plan de acción\Plan Accion 2018\[Plan Accion Integrado ADRES Vigencia 2018 con Cuadro de Mando V6..xlsx]Plan de Accion 2018'!#REF!,J161&lt;&gt;"N/A"))</xm:f>
            <x14:dxf>
              <fill>
                <patternFill>
                  <bgColor rgb="FF00B050"/>
                </patternFill>
              </fill>
            </x14:dxf>
          </x14:cfRule>
          <x14:cfRule type="expression" priority="18936" stopIfTrue="1" id="{E4CD26FB-B628-4FD4-BDEB-705D2991134E}">
            <xm:f>AND(IF(J161&lt;'F:\Users\norela.briceno\Documents\Plan de acción\Plan Accion 2018\[Plan Accion Integrado ADRES Vigencia 2018 con Cuadro de Mando V6..xlsx]Plan de Accion 2018'!#REF!,J161&lt;&gt;"N/A"))</xm:f>
            <x14:dxf>
              <fill>
                <patternFill>
                  <bgColor indexed="10"/>
                </patternFill>
              </fill>
            </x14:dxf>
          </x14:cfRule>
          <xm:sqref>J161 J165:J170</xm:sqref>
        </x14:conditionalFormatting>
        <x14:conditionalFormatting xmlns:xm="http://schemas.microsoft.com/office/excel/2006/main">
          <x14:cfRule type="expression" priority="18931" id="{3CB57BE2-E2B5-4D48-AC5E-FC33E65149E8}">
            <xm:f>AND(IF(Q161&gt;'F:\Users\norela.briceno\Documents\Plan de acción\Plan Accion 2018\[Plan Accion Integrado ADRES Vigencia 2018 con Cuadro de Mando V6..xlsx]Plan de Accion 2018'!#REF!,Q161&lt;&gt;¨N/A¨))</xm:f>
            <x14:dxf>
              <fill>
                <patternFill>
                  <bgColor theme="1" tint="0.499984740745262"/>
                </patternFill>
              </fill>
            </x14:dxf>
          </x14:cfRule>
          <x14:cfRule type="expression" priority="18932" stopIfTrue="1" id="{5D809DD5-28E9-43E1-860D-517172810AD1}">
            <xm:f>AND(IF(Q161='F:\Users\norela.briceno\Documents\Plan de acción\Plan Accion 2018\[Plan Accion Integrado ADRES Vigencia 2018 con Cuadro de Mando V6..xlsx]Plan de Accion 2018'!#REF!,Q161&lt;&gt;"N/A"))</xm:f>
            <x14:dxf>
              <fill>
                <patternFill>
                  <bgColor rgb="FF00B050"/>
                </patternFill>
              </fill>
            </x14:dxf>
          </x14:cfRule>
          <x14:cfRule type="expression" priority="18933" stopIfTrue="1" id="{0496DF38-4D8E-4675-ABBE-6EFB34E98ACB}">
            <xm:f>AND(IF(Q161&lt;'F:\Users\norela.briceno\Documents\Plan de acción\Plan Accion 2018\[Plan Accion Integrado ADRES Vigencia 2018 con Cuadro de Mando V6..xlsx]Plan de Accion 2018'!#REF!,Q161&lt;&gt;"N/A"))</xm:f>
            <x14:dxf>
              <fill>
                <patternFill>
                  <bgColor indexed="10"/>
                </patternFill>
              </fill>
            </x14:dxf>
          </x14:cfRule>
          <xm:sqref>Q165:Q168 Q161 Q170</xm:sqref>
        </x14:conditionalFormatting>
        <x14:conditionalFormatting xmlns:xm="http://schemas.microsoft.com/office/excel/2006/main">
          <x14:cfRule type="expression" priority="18874" id="{E471CD12-695A-4F08-9F8B-3703C9CCBC36}">
            <xm:f>AND(IF(J133&gt;'F:\Users\norela.briceno\Documents\Plan de acción\Plan Accion 2018\[Plan Accion Integrado ADRES Vigencia 2018 con Cuadro de Mando V6..xlsx]Plan de Accion 2018'!#REF!,J133&lt;&gt;¨N/A¨))</xm:f>
            <x14:dxf>
              <fill>
                <patternFill>
                  <bgColor theme="1" tint="0.499984740745262"/>
                </patternFill>
              </fill>
            </x14:dxf>
          </x14:cfRule>
          <x14:cfRule type="expression" priority="18875" stopIfTrue="1" id="{1B1985F8-D030-4EFE-AB33-6C3BE4FEC3DA}">
            <xm:f>AND(IF(J133='F:\Users\norela.briceno\Documents\Plan de acción\Plan Accion 2018\[Plan Accion Integrado ADRES Vigencia 2018 con Cuadro de Mando V6..xlsx]Plan de Accion 2018'!#REF!,J133&lt;&gt;"N/A"))</xm:f>
            <x14:dxf>
              <fill>
                <patternFill>
                  <bgColor rgb="FF00B050"/>
                </patternFill>
              </fill>
            </x14:dxf>
          </x14:cfRule>
          <x14:cfRule type="expression" priority="18876" stopIfTrue="1" id="{5F4C45A7-C314-4DA2-AC3C-8BDC44921CC4}">
            <xm:f>AND(IF(J133&lt;'F:\Users\norela.briceno\Documents\Plan de acción\Plan Accion 2018\[Plan Accion Integrado ADRES Vigencia 2018 con Cuadro de Mando V6..xlsx]Plan de Accion 2018'!#REF!,J133&lt;&gt;"N/A"))</xm:f>
            <x14:dxf>
              <fill>
                <patternFill>
                  <bgColor indexed="10"/>
                </patternFill>
              </fill>
            </x14:dxf>
          </x14:cfRule>
          <xm:sqref>J133</xm:sqref>
        </x14:conditionalFormatting>
        <x14:conditionalFormatting xmlns:xm="http://schemas.microsoft.com/office/excel/2006/main">
          <x14:cfRule type="expression" priority="18871" id="{8B98781D-034E-4F7D-B550-F42C8779B77D}">
            <xm:f>AND(IF(Q133&gt;'F:\Users\norela.briceno\Documents\Plan de acción\Plan Accion 2018\[Plan Accion Integrado ADRES Vigencia 2018 con Cuadro de Mando V6..xlsx]Plan de Accion 2018'!#REF!,Q133&lt;&gt;¨N/A¨))</xm:f>
            <x14:dxf>
              <fill>
                <patternFill>
                  <bgColor theme="1" tint="0.499984740745262"/>
                </patternFill>
              </fill>
            </x14:dxf>
          </x14:cfRule>
          <x14:cfRule type="expression" priority="18872" stopIfTrue="1" id="{C457E890-9F29-4262-AE21-5B89F8513DF5}">
            <xm:f>AND(IF(Q133='F:\Users\norela.briceno\Documents\Plan de acción\Plan Accion 2018\[Plan Accion Integrado ADRES Vigencia 2018 con Cuadro de Mando V6..xlsx]Plan de Accion 2018'!#REF!,Q133&lt;&gt;"N/A"))</xm:f>
            <x14:dxf>
              <fill>
                <patternFill>
                  <bgColor rgb="FF00B050"/>
                </patternFill>
              </fill>
            </x14:dxf>
          </x14:cfRule>
          <x14:cfRule type="expression" priority="18873" stopIfTrue="1" id="{DFC1EC4A-7557-40E1-8DE9-173AE3B3960B}">
            <xm:f>AND(IF(Q133&lt;'F:\Users\norela.briceno\Documents\Plan de acción\Plan Accion 2018\[Plan Accion Integrado ADRES Vigencia 2018 con Cuadro de Mando V6..xlsx]Plan de Accion 2018'!#REF!,Q133&lt;&gt;"N/A"))</xm:f>
            <x14:dxf>
              <fill>
                <patternFill>
                  <bgColor indexed="10"/>
                </patternFill>
              </fill>
            </x14:dxf>
          </x14:cfRule>
          <xm:sqref>Q133</xm:sqref>
        </x14:conditionalFormatting>
        <x14:conditionalFormatting xmlns:xm="http://schemas.microsoft.com/office/excel/2006/main">
          <x14:cfRule type="expression" priority="18868" id="{1EF93314-CAEF-429E-8A0B-69EA046C7AF2}">
            <xm:f>AND(IF(X133&gt;'F:\Users\norela.briceno\Documents\Plan de acción\Plan Accion 2018\[Plan Accion Integrado ADRES Vigencia 2018 con Cuadro de Mando V6..xlsx]Plan de Accion 2018'!#REF!,X133&lt;&gt;¨N/A¨))</xm:f>
            <x14:dxf>
              <fill>
                <patternFill>
                  <bgColor theme="1" tint="0.499984740745262"/>
                </patternFill>
              </fill>
            </x14:dxf>
          </x14:cfRule>
          <x14:cfRule type="expression" priority="18869" stopIfTrue="1" id="{397F626E-6C48-46E1-8B28-A4135333FA5E}">
            <xm:f>AND(IF(X133='F:\Users\norela.briceno\Documents\Plan de acción\Plan Accion 2018\[Plan Accion Integrado ADRES Vigencia 2018 con Cuadro de Mando V6..xlsx]Plan de Accion 2018'!#REF!,X133&lt;&gt;"N/A"))</xm:f>
            <x14:dxf>
              <fill>
                <patternFill>
                  <bgColor rgb="FF00B050"/>
                </patternFill>
              </fill>
            </x14:dxf>
          </x14:cfRule>
          <x14:cfRule type="expression" priority="18870" stopIfTrue="1" id="{2C042469-6C41-4FEE-9121-02CA36FA2497}">
            <xm:f>AND(IF(X133&lt;'F:\Users\norela.briceno\Documents\Plan de acción\Plan Accion 2018\[Plan Accion Integrado ADRES Vigencia 2018 con Cuadro de Mando V6..xlsx]Plan de Accion 2018'!#REF!,X133&lt;&gt;"N/A"))</xm:f>
            <x14:dxf>
              <fill>
                <patternFill>
                  <bgColor indexed="10"/>
                </patternFill>
              </fill>
            </x14:dxf>
          </x14:cfRule>
          <xm:sqref>X133</xm:sqref>
        </x14:conditionalFormatting>
        <x14:conditionalFormatting xmlns:xm="http://schemas.microsoft.com/office/excel/2006/main">
          <x14:cfRule type="expression" priority="18865" id="{5522EEE5-FBCB-408D-B972-C8E2C079E5BB}">
            <xm:f>AND(IF(AE133&gt;'F:\Users\norela.briceno\Documents\Plan de acción\Plan Accion 2018\[Plan Accion Integrado ADRES Vigencia 2018 con Cuadro de Mando V6..xlsx]Plan de Accion 2018'!#REF!,AE133&lt;&gt;¨N/A¨))</xm:f>
            <x14:dxf>
              <fill>
                <patternFill>
                  <bgColor theme="1" tint="0.499984740745262"/>
                </patternFill>
              </fill>
            </x14:dxf>
          </x14:cfRule>
          <x14:cfRule type="expression" priority="18866" stopIfTrue="1" id="{A90BC711-5B97-4888-8171-0C75892D8434}">
            <xm:f>AND(IF(AE133='F:\Users\norela.briceno\Documents\Plan de acción\Plan Accion 2018\[Plan Accion Integrado ADRES Vigencia 2018 con Cuadro de Mando V6..xlsx]Plan de Accion 2018'!#REF!,AE133&lt;&gt;"N/A"))</xm:f>
            <x14:dxf>
              <fill>
                <patternFill>
                  <bgColor rgb="FF00B050"/>
                </patternFill>
              </fill>
            </x14:dxf>
          </x14:cfRule>
          <x14:cfRule type="expression" priority="18867" stopIfTrue="1" id="{F18C59F5-C66C-43EC-8337-36A6D1671257}">
            <xm:f>AND(IF(AE133&lt;'F:\Users\norela.briceno\Documents\Plan de acción\Plan Accion 2018\[Plan Accion Integrado ADRES Vigencia 2018 con Cuadro de Mando V6..xlsx]Plan de Accion 2018'!#REF!,AE133&lt;&gt;"N/A"))</xm:f>
            <x14:dxf>
              <fill>
                <patternFill>
                  <bgColor indexed="10"/>
                </patternFill>
              </fill>
            </x14:dxf>
          </x14:cfRule>
          <xm:sqref>AE133</xm:sqref>
        </x14:conditionalFormatting>
        <x14:conditionalFormatting xmlns:xm="http://schemas.microsoft.com/office/excel/2006/main">
          <x14:cfRule type="expression" priority="18670" id="{A76A96A1-074D-4FD6-B707-5417A53692B6}">
            <xm:f>AND(IF(J15&gt;'F:\Users\norela.briceno\Documents\Plan de acción\Plan Accion 2018\[Plan Accion Integrado ADRES Vigencia 2018 con Cuadro de Mando V6..xlsx]Plan de Accion 2018'!#REF!,J15&lt;&gt;¨N/A¨))</xm:f>
            <x14:dxf>
              <fill>
                <patternFill>
                  <bgColor theme="1" tint="0.499984740745262"/>
                </patternFill>
              </fill>
            </x14:dxf>
          </x14:cfRule>
          <x14:cfRule type="expression" priority="18671" stopIfTrue="1" id="{A930D46B-F6EB-4EC2-8421-776EBD26E866}">
            <xm:f>AND(IF(J15='F:\Users\norela.briceno\Documents\Plan de acción\Plan Accion 2018\[Plan Accion Integrado ADRES Vigencia 2018 con Cuadro de Mando V6..xlsx]Plan de Accion 2018'!#REF!,J15&lt;&gt;"N/A"))</xm:f>
            <x14:dxf>
              <fill>
                <patternFill>
                  <bgColor rgb="FF00B050"/>
                </patternFill>
              </fill>
            </x14:dxf>
          </x14:cfRule>
          <x14:cfRule type="expression" priority="18672" stopIfTrue="1" id="{88D6F8D5-A0EB-40B4-A93A-8C81270BD4C8}">
            <xm:f>AND(IF(J15&lt;'F:\Users\norela.briceno\Documents\Plan de acción\Plan Accion 2018\[Plan Accion Integrado ADRES Vigencia 2018 con Cuadro de Mando V6..xlsx]Plan de Accion 2018'!#REF!,J15&lt;&gt;"N/A"))</xm:f>
            <x14:dxf>
              <fill>
                <patternFill>
                  <bgColor indexed="10"/>
                </patternFill>
              </fill>
            </x14:dxf>
          </x14:cfRule>
          <xm:sqref>J15</xm:sqref>
        </x14:conditionalFormatting>
        <x14:conditionalFormatting xmlns:xm="http://schemas.microsoft.com/office/excel/2006/main">
          <x14:cfRule type="expression" priority="18667" id="{E3613E92-DBDC-4DAD-86AE-85FEF3ED5788}">
            <xm:f>AND(IF(Q15&gt;'F:\Users\norela.briceno\Documents\Plan de acción\Plan Accion 2018\[Plan Accion Integrado ADRES Vigencia 2018 con Cuadro de Mando V6..xlsx]Plan de Accion 2018'!#REF!,Q15&lt;&gt;¨N/A¨))</xm:f>
            <x14:dxf>
              <fill>
                <patternFill>
                  <bgColor theme="1" tint="0.499984740745262"/>
                </patternFill>
              </fill>
            </x14:dxf>
          </x14:cfRule>
          <x14:cfRule type="expression" priority="18668" stopIfTrue="1" id="{F997E3A5-78F2-4B20-A79A-EA9DF3464568}">
            <xm:f>AND(IF(Q15='F:\Users\norela.briceno\Documents\Plan de acción\Plan Accion 2018\[Plan Accion Integrado ADRES Vigencia 2018 con Cuadro de Mando V6..xlsx]Plan de Accion 2018'!#REF!,Q15&lt;&gt;"N/A"))</xm:f>
            <x14:dxf>
              <fill>
                <patternFill>
                  <bgColor rgb="FF00B050"/>
                </patternFill>
              </fill>
            </x14:dxf>
          </x14:cfRule>
          <x14:cfRule type="expression" priority="18669" stopIfTrue="1" id="{91F3D87B-B530-4886-B503-DC2E7B3B62BB}">
            <xm:f>AND(IF(Q15&lt;'F:\Users\norela.briceno\Documents\Plan de acción\Plan Accion 2018\[Plan Accion Integrado ADRES Vigencia 2018 con Cuadro de Mando V6..xlsx]Plan de Accion 2018'!#REF!,Q15&lt;&gt;"N/A"))</xm:f>
            <x14:dxf>
              <fill>
                <patternFill>
                  <bgColor indexed="10"/>
                </patternFill>
              </fill>
            </x14:dxf>
          </x14:cfRule>
          <xm:sqref>Q15</xm:sqref>
        </x14:conditionalFormatting>
        <x14:conditionalFormatting xmlns:xm="http://schemas.microsoft.com/office/excel/2006/main">
          <x14:cfRule type="expression" priority="18664" id="{3A2EA81F-1760-4498-80FA-9E3A950EC6A4}">
            <xm:f>AND(IF(X15&gt;'F:\Users\norela.briceno\Documents\Plan de acción\Plan Accion 2018\[Plan Accion Integrado ADRES Vigencia 2018 con Cuadro de Mando V6..xlsx]Plan de Accion 2018'!#REF!,X15&lt;&gt;¨N/A¨))</xm:f>
            <x14:dxf>
              <fill>
                <patternFill>
                  <bgColor theme="1" tint="0.499984740745262"/>
                </patternFill>
              </fill>
            </x14:dxf>
          </x14:cfRule>
          <x14:cfRule type="expression" priority="18665" stopIfTrue="1" id="{BE4169A2-5AB4-4F71-936B-C4CA74EE957A}">
            <xm:f>AND(IF(X15='F:\Users\norela.briceno\Documents\Plan de acción\Plan Accion 2018\[Plan Accion Integrado ADRES Vigencia 2018 con Cuadro de Mando V6..xlsx]Plan de Accion 2018'!#REF!,X15&lt;&gt;"N/A"))</xm:f>
            <x14:dxf>
              <fill>
                <patternFill>
                  <bgColor rgb="FF00B050"/>
                </patternFill>
              </fill>
            </x14:dxf>
          </x14:cfRule>
          <x14:cfRule type="expression" priority="18666" stopIfTrue="1" id="{B045C553-E520-44AE-8D8F-D10E703F04C4}">
            <xm:f>AND(IF(X15&lt;'F:\Users\norela.briceno\Documents\Plan de acción\Plan Accion 2018\[Plan Accion Integrado ADRES Vigencia 2018 con Cuadro de Mando V6..xlsx]Plan de Accion 2018'!#REF!,X15&lt;&gt;"N/A"))</xm:f>
            <x14:dxf>
              <fill>
                <patternFill>
                  <bgColor indexed="10"/>
                </patternFill>
              </fill>
            </x14:dxf>
          </x14:cfRule>
          <xm:sqref>X15</xm:sqref>
        </x14:conditionalFormatting>
        <x14:conditionalFormatting xmlns:xm="http://schemas.microsoft.com/office/excel/2006/main">
          <x14:cfRule type="expression" priority="18661" id="{59F3D3A3-D472-4A31-820F-E8DEBB62B043}">
            <xm:f>AND(IF(AE15&gt;'F:\Users\norela.briceno\Documents\Plan de acción\Plan Accion 2018\[Plan Accion Integrado ADRES Vigencia 2018 con Cuadro de Mando V6..xlsx]Plan de Accion 2018'!#REF!,AE15&lt;&gt;¨N/A¨))</xm:f>
            <x14:dxf>
              <fill>
                <patternFill>
                  <bgColor theme="1" tint="0.499984740745262"/>
                </patternFill>
              </fill>
            </x14:dxf>
          </x14:cfRule>
          <x14:cfRule type="expression" priority="18662" stopIfTrue="1" id="{FCAFE97D-4633-49C3-9EA0-270941E0418E}">
            <xm:f>AND(IF(AE15='F:\Users\norela.briceno\Documents\Plan de acción\Plan Accion 2018\[Plan Accion Integrado ADRES Vigencia 2018 con Cuadro de Mando V6..xlsx]Plan de Accion 2018'!#REF!,AE15&lt;&gt;"N/A"))</xm:f>
            <x14:dxf>
              <fill>
                <patternFill>
                  <bgColor rgb="FF00B050"/>
                </patternFill>
              </fill>
            </x14:dxf>
          </x14:cfRule>
          <x14:cfRule type="expression" priority="18663" stopIfTrue="1" id="{B9515E36-97CB-4975-BBAB-0536E1E16A1B}">
            <xm:f>AND(IF(AE15&lt;'F:\Users\norela.briceno\Documents\Plan de acción\Plan Accion 2018\[Plan Accion Integrado ADRES Vigencia 2018 con Cuadro de Mando V6..xlsx]Plan de Accion 2018'!#REF!,AE15&lt;&gt;"N/A"))</xm:f>
            <x14:dxf>
              <fill>
                <patternFill>
                  <bgColor indexed="10"/>
                </patternFill>
              </fill>
            </x14:dxf>
          </x14:cfRule>
          <xm:sqref>AE15</xm:sqref>
        </x14:conditionalFormatting>
        <x14:conditionalFormatting xmlns:xm="http://schemas.microsoft.com/office/excel/2006/main">
          <x14:cfRule type="expression" priority="18544" id="{9C196013-05AA-43F2-9E0E-6D95119C222C}">
            <xm:f>AND(IF(J209&gt;'F:\Users\norela.briceno\Documents\Plan de acción\Plan Accion 2018\[Plan Accion Integrado ADRES Vigencia 2018 con Cuadro de Mando V6..xlsx]Plan de Accion 2018'!#REF!,J209&lt;&gt;¨N/A¨))</xm:f>
            <x14:dxf>
              <fill>
                <patternFill>
                  <bgColor theme="1" tint="0.499984740745262"/>
                </patternFill>
              </fill>
            </x14:dxf>
          </x14:cfRule>
          <x14:cfRule type="expression" priority="18545" stopIfTrue="1" id="{63764F5A-9338-4711-A8BA-D3DD5FB05B46}">
            <xm:f>AND(IF(J209='F:\Users\norela.briceno\Documents\Plan de acción\Plan Accion 2018\[Plan Accion Integrado ADRES Vigencia 2018 con Cuadro de Mando V6..xlsx]Plan de Accion 2018'!#REF!,J209&lt;&gt;"N/A"))</xm:f>
            <x14:dxf>
              <fill>
                <patternFill>
                  <bgColor rgb="FF00B050"/>
                </patternFill>
              </fill>
            </x14:dxf>
          </x14:cfRule>
          <x14:cfRule type="expression" priority="18546" stopIfTrue="1" id="{851B5CE6-E0A8-400C-AEC8-A237D6E30E63}">
            <xm:f>AND(IF(J209&lt;'F:\Users\norela.briceno\Documents\Plan de acción\Plan Accion 2018\[Plan Accion Integrado ADRES Vigencia 2018 con Cuadro de Mando V6..xlsx]Plan de Accion 2018'!#REF!,J209&lt;&gt;"N/A"))</xm:f>
            <x14:dxf>
              <fill>
                <patternFill>
                  <bgColor indexed="10"/>
                </patternFill>
              </fill>
            </x14:dxf>
          </x14:cfRule>
          <xm:sqref>J209</xm:sqref>
        </x14:conditionalFormatting>
        <x14:conditionalFormatting xmlns:xm="http://schemas.microsoft.com/office/excel/2006/main">
          <x14:cfRule type="expression" priority="18541" id="{341FC693-1156-4021-943E-2961160B3823}">
            <xm:f>AND(IF(Q209&gt;'F:\Users\norela.briceno\Documents\Plan de acción\Plan Accion 2018\[Plan Accion Integrado ADRES Vigencia 2018 con Cuadro de Mando V6..xlsx]Plan de Accion 2018'!#REF!,Q209&lt;&gt;¨N/A¨))</xm:f>
            <x14:dxf>
              <fill>
                <patternFill>
                  <bgColor theme="1" tint="0.499984740745262"/>
                </patternFill>
              </fill>
            </x14:dxf>
          </x14:cfRule>
          <x14:cfRule type="expression" priority="18542" stopIfTrue="1" id="{B9B2E985-FA3E-4116-8433-380602BA9D49}">
            <xm:f>AND(IF(Q209='F:\Users\norela.briceno\Documents\Plan de acción\Plan Accion 2018\[Plan Accion Integrado ADRES Vigencia 2018 con Cuadro de Mando V6..xlsx]Plan de Accion 2018'!#REF!,Q209&lt;&gt;"N/A"))</xm:f>
            <x14:dxf>
              <fill>
                <patternFill>
                  <bgColor rgb="FF00B050"/>
                </patternFill>
              </fill>
            </x14:dxf>
          </x14:cfRule>
          <x14:cfRule type="expression" priority="18543" stopIfTrue="1" id="{21A8C6DB-9543-4D82-AA26-26F7177372D1}">
            <xm:f>AND(IF(Q209&lt;'F:\Users\norela.briceno\Documents\Plan de acción\Plan Accion 2018\[Plan Accion Integrado ADRES Vigencia 2018 con Cuadro de Mando V6..xlsx]Plan de Accion 2018'!#REF!,Q209&lt;&gt;"N/A"))</xm:f>
            <x14:dxf>
              <fill>
                <patternFill>
                  <bgColor indexed="10"/>
                </patternFill>
              </fill>
            </x14:dxf>
          </x14:cfRule>
          <xm:sqref>Q209</xm:sqref>
        </x14:conditionalFormatting>
        <x14:conditionalFormatting xmlns:xm="http://schemas.microsoft.com/office/excel/2006/main">
          <x14:cfRule type="expression" priority="18538" id="{76BC88ED-09F8-4FA0-8D71-6FAB92EC5CF6}">
            <xm:f>AND(IF(X209&gt;'F:\Users\norela.briceno\Documents\Plan de acción\Plan Accion 2018\[Plan Accion Integrado ADRES Vigencia 2018 con Cuadro de Mando V6..xlsx]Plan de Accion 2018'!#REF!,X209&lt;&gt;¨N/A¨))</xm:f>
            <x14:dxf>
              <fill>
                <patternFill>
                  <bgColor theme="1" tint="0.499984740745262"/>
                </patternFill>
              </fill>
            </x14:dxf>
          </x14:cfRule>
          <x14:cfRule type="expression" priority="18539" stopIfTrue="1" id="{B373D37E-134E-48A1-9765-70B7A5089DD3}">
            <xm:f>AND(IF(X209='F:\Users\norela.briceno\Documents\Plan de acción\Plan Accion 2018\[Plan Accion Integrado ADRES Vigencia 2018 con Cuadro de Mando V6..xlsx]Plan de Accion 2018'!#REF!,X209&lt;&gt;"N/A"))</xm:f>
            <x14:dxf>
              <fill>
                <patternFill>
                  <bgColor rgb="FF00B050"/>
                </patternFill>
              </fill>
            </x14:dxf>
          </x14:cfRule>
          <x14:cfRule type="expression" priority="18540" stopIfTrue="1" id="{C23F2251-5E65-4272-BFFB-3EB819B9A7B6}">
            <xm:f>AND(IF(X209&lt;'F:\Users\norela.briceno\Documents\Plan de acción\Plan Accion 2018\[Plan Accion Integrado ADRES Vigencia 2018 con Cuadro de Mando V6..xlsx]Plan de Accion 2018'!#REF!,X209&lt;&gt;"N/A"))</xm:f>
            <x14:dxf>
              <fill>
                <patternFill>
                  <bgColor indexed="10"/>
                </patternFill>
              </fill>
            </x14:dxf>
          </x14:cfRule>
          <xm:sqref>X209</xm:sqref>
        </x14:conditionalFormatting>
        <x14:conditionalFormatting xmlns:xm="http://schemas.microsoft.com/office/excel/2006/main">
          <x14:cfRule type="expression" priority="18535" id="{C8A0AF81-B406-4001-B0F9-84C45F987ACC}">
            <xm:f>AND(IF(AE209&gt;'F:\Users\norela.briceno\Documents\Plan de acción\Plan Accion 2018\[Plan Accion Integrado ADRES Vigencia 2018 con Cuadro de Mando V6..xlsx]Plan de Accion 2018'!#REF!,AE209&lt;&gt;¨N/A¨))</xm:f>
            <x14:dxf>
              <fill>
                <patternFill>
                  <bgColor theme="1" tint="0.499984740745262"/>
                </patternFill>
              </fill>
            </x14:dxf>
          </x14:cfRule>
          <x14:cfRule type="expression" priority="18536" stopIfTrue="1" id="{A89D0368-94AE-4C3D-A834-842860137D7C}">
            <xm:f>AND(IF(AE209='F:\Users\norela.briceno\Documents\Plan de acción\Plan Accion 2018\[Plan Accion Integrado ADRES Vigencia 2018 con Cuadro de Mando V6..xlsx]Plan de Accion 2018'!#REF!,AE209&lt;&gt;"N/A"))</xm:f>
            <x14:dxf>
              <fill>
                <patternFill>
                  <bgColor rgb="FF00B050"/>
                </patternFill>
              </fill>
            </x14:dxf>
          </x14:cfRule>
          <x14:cfRule type="expression" priority="18537" stopIfTrue="1" id="{7A602386-689F-4A45-AF0A-8271AFC80BB5}">
            <xm:f>AND(IF(AE209&lt;'F:\Users\norela.briceno\Documents\Plan de acción\Plan Accion 2018\[Plan Accion Integrado ADRES Vigencia 2018 con Cuadro de Mando V6..xlsx]Plan de Accion 2018'!#REF!,AE209&lt;&gt;"N/A"))</xm:f>
            <x14:dxf>
              <fill>
                <patternFill>
                  <bgColor indexed="10"/>
                </patternFill>
              </fill>
            </x14:dxf>
          </x14:cfRule>
          <xm:sqref>AE209</xm:sqref>
        </x14:conditionalFormatting>
        <x14:conditionalFormatting xmlns:xm="http://schemas.microsoft.com/office/excel/2006/main">
          <x14:cfRule type="expression" priority="18467" id="{0D4417A6-400F-414B-AF05-A05F03FD012D}">
            <xm:f>AND(IF(J136&gt;'F:\Users\norela.briceno\Documents\Plan de acción\Plan Accion 2018\[Plan Accion Integrado ADRES Vigencia 2018 con Cuadro de Mando V6..xlsx]Plan de Accion 2018'!#REF!,J136&lt;&gt;¨N/A¨))</xm:f>
            <x14:dxf>
              <fill>
                <patternFill>
                  <bgColor theme="1" tint="0.499984740745262"/>
                </patternFill>
              </fill>
            </x14:dxf>
          </x14:cfRule>
          <x14:cfRule type="expression" priority="18468" stopIfTrue="1" id="{C7ECAE34-A11F-4E2E-A007-01D7E18B19B8}">
            <xm:f>AND(IF(J136='F:\Users\norela.briceno\Documents\Plan de acción\Plan Accion 2018\[Plan Accion Integrado ADRES Vigencia 2018 con Cuadro de Mando V6..xlsx]Plan de Accion 2018'!#REF!,J136&lt;&gt;"N/A"))</xm:f>
            <x14:dxf>
              <fill>
                <patternFill>
                  <bgColor rgb="FF00B050"/>
                </patternFill>
              </fill>
            </x14:dxf>
          </x14:cfRule>
          <x14:cfRule type="expression" priority="18469" stopIfTrue="1" id="{F4F94C31-E482-412C-8F5A-EB9144BC2AAF}">
            <xm:f>AND(IF(J136&lt;'F:\Users\norela.briceno\Documents\Plan de acción\Plan Accion 2018\[Plan Accion Integrado ADRES Vigencia 2018 con Cuadro de Mando V6..xlsx]Plan de Accion 2018'!#REF!,J136&lt;&gt;"N/A"))</xm:f>
            <x14:dxf>
              <fill>
                <patternFill>
                  <bgColor indexed="10"/>
                </patternFill>
              </fill>
            </x14:dxf>
          </x14:cfRule>
          <xm:sqref>J136</xm:sqref>
        </x14:conditionalFormatting>
        <x14:conditionalFormatting xmlns:xm="http://schemas.microsoft.com/office/excel/2006/main">
          <x14:cfRule type="expression" priority="18464" id="{CADA4FEF-25E8-4E24-8676-86544C72E810}">
            <xm:f>AND(IF(Q136&gt;'F:\Users\norela.briceno\Documents\Plan de acción\Plan Accion 2018\[Plan Accion Integrado ADRES Vigencia 2018 con Cuadro de Mando V6..xlsx]Plan de Accion 2018'!#REF!,Q136&lt;&gt;¨N/A¨))</xm:f>
            <x14:dxf>
              <fill>
                <patternFill>
                  <bgColor theme="1" tint="0.499984740745262"/>
                </patternFill>
              </fill>
            </x14:dxf>
          </x14:cfRule>
          <x14:cfRule type="expression" priority="18465" stopIfTrue="1" id="{28E8BD35-B36C-4F0D-A360-0D02D95F1B70}">
            <xm:f>AND(IF(Q136='F:\Users\norela.briceno\Documents\Plan de acción\Plan Accion 2018\[Plan Accion Integrado ADRES Vigencia 2018 con Cuadro de Mando V6..xlsx]Plan de Accion 2018'!#REF!,Q136&lt;&gt;"N/A"))</xm:f>
            <x14:dxf>
              <fill>
                <patternFill>
                  <bgColor rgb="FF00B050"/>
                </patternFill>
              </fill>
            </x14:dxf>
          </x14:cfRule>
          <x14:cfRule type="expression" priority="18466" stopIfTrue="1" id="{D64F186C-9B47-4C0B-A8DE-63494E1FD7C2}">
            <xm:f>AND(IF(Q136&lt;'F:\Users\norela.briceno\Documents\Plan de acción\Plan Accion 2018\[Plan Accion Integrado ADRES Vigencia 2018 con Cuadro de Mando V6..xlsx]Plan de Accion 2018'!#REF!,Q136&lt;&gt;"N/A"))</xm:f>
            <x14:dxf>
              <fill>
                <patternFill>
                  <bgColor indexed="10"/>
                </patternFill>
              </fill>
            </x14:dxf>
          </x14:cfRule>
          <xm:sqref>Q136</xm:sqref>
        </x14:conditionalFormatting>
        <x14:conditionalFormatting xmlns:xm="http://schemas.microsoft.com/office/excel/2006/main">
          <x14:cfRule type="expression" priority="18461" id="{916BAD03-218B-4F7F-B26D-FBB96C6BC100}">
            <xm:f>AND(IF(X136&gt;'F:\Users\norela.briceno\Documents\Plan de acción\Plan Accion 2018\[Plan Accion Integrado ADRES Vigencia 2018 con Cuadro de Mando V6..xlsx]Plan de Accion 2018'!#REF!,X136&lt;&gt;¨N/A¨))</xm:f>
            <x14:dxf>
              <fill>
                <patternFill>
                  <bgColor theme="1" tint="0.499984740745262"/>
                </patternFill>
              </fill>
            </x14:dxf>
          </x14:cfRule>
          <x14:cfRule type="expression" priority="18462" stopIfTrue="1" id="{B2C86A9C-5C41-4F62-993C-DC1850EA9160}">
            <xm:f>AND(IF(X136='F:\Users\norela.briceno\Documents\Plan de acción\Plan Accion 2018\[Plan Accion Integrado ADRES Vigencia 2018 con Cuadro de Mando V6..xlsx]Plan de Accion 2018'!#REF!,X136&lt;&gt;"N/A"))</xm:f>
            <x14:dxf>
              <fill>
                <patternFill>
                  <bgColor rgb="FF00B050"/>
                </patternFill>
              </fill>
            </x14:dxf>
          </x14:cfRule>
          <x14:cfRule type="expression" priority="18463" stopIfTrue="1" id="{9E9B88CC-13D9-49FC-BCA5-FDB64E41CFDC}">
            <xm:f>AND(IF(X136&lt;'F:\Users\norela.briceno\Documents\Plan de acción\Plan Accion 2018\[Plan Accion Integrado ADRES Vigencia 2018 con Cuadro de Mando V6..xlsx]Plan de Accion 2018'!#REF!,X136&lt;&gt;"N/A"))</xm:f>
            <x14:dxf>
              <fill>
                <patternFill>
                  <bgColor indexed="10"/>
                </patternFill>
              </fill>
            </x14:dxf>
          </x14:cfRule>
          <xm:sqref>X136</xm:sqref>
        </x14:conditionalFormatting>
        <x14:conditionalFormatting xmlns:xm="http://schemas.microsoft.com/office/excel/2006/main">
          <x14:cfRule type="expression" priority="18458" id="{BC80802F-3823-4966-A485-F89AC784156B}">
            <xm:f>AND(IF(AE136&gt;'F:\Users\norela.briceno\Documents\Plan de acción\Plan Accion 2018\[Plan Accion Integrado ADRES Vigencia 2018 con Cuadro de Mando V6..xlsx]Plan de Accion 2018'!#REF!,AE136&lt;&gt;¨N/A¨))</xm:f>
            <x14:dxf>
              <fill>
                <patternFill>
                  <bgColor theme="1" tint="0.499984740745262"/>
                </patternFill>
              </fill>
            </x14:dxf>
          </x14:cfRule>
          <x14:cfRule type="expression" priority="18459" stopIfTrue="1" id="{79D950C5-B447-4581-A6B3-6FB2DCC01E85}">
            <xm:f>AND(IF(AE136='F:\Users\norela.briceno\Documents\Plan de acción\Plan Accion 2018\[Plan Accion Integrado ADRES Vigencia 2018 con Cuadro de Mando V6..xlsx]Plan de Accion 2018'!#REF!,AE136&lt;&gt;"N/A"))</xm:f>
            <x14:dxf>
              <fill>
                <patternFill>
                  <bgColor rgb="FF00B050"/>
                </patternFill>
              </fill>
            </x14:dxf>
          </x14:cfRule>
          <x14:cfRule type="expression" priority="18460" stopIfTrue="1" id="{FB9041D3-8102-4278-B37C-D4B90A483650}">
            <xm:f>AND(IF(AE136&lt;'F:\Users\norela.briceno\Documents\Plan de acción\Plan Accion 2018\[Plan Accion Integrado ADRES Vigencia 2018 con Cuadro de Mando V6..xlsx]Plan de Accion 2018'!#REF!,AE136&lt;&gt;"N/A"))</xm:f>
            <x14:dxf>
              <fill>
                <patternFill>
                  <bgColor indexed="10"/>
                </patternFill>
              </fill>
            </x14:dxf>
          </x14:cfRule>
          <xm:sqref>AE136</xm:sqref>
        </x14:conditionalFormatting>
        <x14:conditionalFormatting xmlns:xm="http://schemas.microsoft.com/office/excel/2006/main">
          <x14:cfRule type="expression" priority="18395" id="{99854DEE-9BE1-418C-BEEC-ABD8E74BC0A8}">
            <xm:f>AND(IF(J16&gt;'F:\Users\norela.briceno\Documents\Plan de acción\Plan Accion 2018\[Plan Accion Integrado ADRES Vigencia 2018 con Cuadro de Mando V6..xlsx]Plan de Accion 2018'!#REF!,J16&lt;&gt;¨N/A¨))</xm:f>
            <x14:dxf>
              <fill>
                <patternFill>
                  <bgColor theme="1" tint="0.499984740745262"/>
                </patternFill>
              </fill>
            </x14:dxf>
          </x14:cfRule>
          <x14:cfRule type="expression" priority="18396" stopIfTrue="1" id="{8473E4AB-E760-45F8-96C3-A789C342D9A1}">
            <xm:f>AND(IF(J16='F:\Users\norela.briceno\Documents\Plan de acción\Plan Accion 2018\[Plan Accion Integrado ADRES Vigencia 2018 con Cuadro de Mando V6..xlsx]Plan de Accion 2018'!#REF!,J16&lt;&gt;"N/A"))</xm:f>
            <x14:dxf>
              <fill>
                <patternFill>
                  <bgColor rgb="FF00B050"/>
                </patternFill>
              </fill>
            </x14:dxf>
          </x14:cfRule>
          <x14:cfRule type="expression" priority="18397" stopIfTrue="1" id="{FF96EAE9-FE28-4F8A-B86D-0B1420CD8152}">
            <xm:f>AND(IF(J16&lt;'F:\Users\norela.briceno\Documents\Plan de acción\Plan Accion 2018\[Plan Accion Integrado ADRES Vigencia 2018 con Cuadro de Mando V6..xlsx]Plan de Accion 2018'!#REF!,J16&lt;&gt;"N/A"))</xm:f>
            <x14:dxf>
              <fill>
                <patternFill>
                  <bgColor indexed="10"/>
                </patternFill>
              </fill>
            </x14:dxf>
          </x14:cfRule>
          <xm:sqref>J16</xm:sqref>
        </x14:conditionalFormatting>
        <x14:conditionalFormatting xmlns:xm="http://schemas.microsoft.com/office/excel/2006/main">
          <x14:cfRule type="expression" priority="18392" id="{0920F57E-FDBE-4024-9918-F942310F049E}">
            <xm:f>AND(IF(Q16&gt;'F:\Users\norela.briceno\Documents\Plan de acción\Plan Accion 2018\[Plan Accion Integrado ADRES Vigencia 2018 con Cuadro de Mando V6..xlsx]Plan de Accion 2018'!#REF!,Q16&lt;&gt;¨N/A¨))</xm:f>
            <x14:dxf>
              <fill>
                <patternFill>
                  <bgColor theme="1" tint="0.499984740745262"/>
                </patternFill>
              </fill>
            </x14:dxf>
          </x14:cfRule>
          <x14:cfRule type="expression" priority="18393" stopIfTrue="1" id="{92292430-3A0C-42B5-AA89-4926E03305FC}">
            <xm:f>AND(IF(Q16='F:\Users\norela.briceno\Documents\Plan de acción\Plan Accion 2018\[Plan Accion Integrado ADRES Vigencia 2018 con Cuadro de Mando V6..xlsx]Plan de Accion 2018'!#REF!,Q16&lt;&gt;"N/A"))</xm:f>
            <x14:dxf>
              <fill>
                <patternFill>
                  <bgColor rgb="FF00B050"/>
                </patternFill>
              </fill>
            </x14:dxf>
          </x14:cfRule>
          <x14:cfRule type="expression" priority="18394" stopIfTrue="1" id="{4FBC6495-1CE7-49AB-A85D-63DB927B53CC}">
            <xm:f>AND(IF(Q16&lt;'F:\Users\norela.briceno\Documents\Plan de acción\Plan Accion 2018\[Plan Accion Integrado ADRES Vigencia 2018 con Cuadro de Mando V6..xlsx]Plan de Accion 2018'!#REF!,Q16&lt;&gt;"N/A"))</xm:f>
            <x14:dxf>
              <fill>
                <patternFill>
                  <bgColor indexed="10"/>
                </patternFill>
              </fill>
            </x14:dxf>
          </x14:cfRule>
          <xm:sqref>Q16</xm:sqref>
        </x14:conditionalFormatting>
        <x14:conditionalFormatting xmlns:xm="http://schemas.microsoft.com/office/excel/2006/main">
          <x14:cfRule type="expression" priority="18389" id="{8BBC86EE-C001-4CF6-9D76-0975D5C64E8A}">
            <xm:f>AND(IF(X16&gt;'F:\Users\norela.briceno\Documents\Plan de acción\Plan Accion 2018\[Plan Accion Integrado ADRES Vigencia 2018 con Cuadro de Mando V6..xlsx]Plan de Accion 2018'!#REF!,X16&lt;&gt;¨N/A¨))</xm:f>
            <x14:dxf>
              <fill>
                <patternFill>
                  <bgColor theme="1" tint="0.499984740745262"/>
                </patternFill>
              </fill>
            </x14:dxf>
          </x14:cfRule>
          <x14:cfRule type="expression" priority="18390" stopIfTrue="1" id="{C556C1AF-023C-4FD2-B742-CC16CAD7F003}">
            <xm:f>AND(IF(X16='F:\Users\norela.briceno\Documents\Plan de acción\Plan Accion 2018\[Plan Accion Integrado ADRES Vigencia 2018 con Cuadro de Mando V6..xlsx]Plan de Accion 2018'!#REF!,X16&lt;&gt;"N/A"))</xm:f>
            <x14:dxf>
              <fill>
                <patternFill>
                  <bgColor rgb="FF00B050"/>
                </patternFill>
              </fill>
            </x14:dxf>
          </x14:cfRule>
          <x14:cfRule type="expression" priority="18391" stopIfTrue="1" id="{F79E56D3-D65D-4E48-952B-DA1F8CCE5930}">
            <xm:f>AND(IF(X16&lt;'F:\Users\norela.briceno\Documents\Plan de acción\Plan Accion 2018\[Plan Accion Integrado ADRES Vigencia 2018 con Cuadro de Mando V6..xlsx]Plan de Accion 2018'!#REF!,X16&lt;&gt;"N/A"))</xm:f>
            <x14:dxf>
              <fill>
                <patternFill>
                  <bgColor indexed="10"/>
                </patternFill>
              </fill>
            </x14:dxf>
          </x14:cfRule>
          <xm:sqref>X16</xm:sqref>
        </x14:conditionalFormatting>
        <x14:conditionalFormatting xmlns:xm="http://schemas.microsoft.com/office/excel/2006/main">
          <x14:cfRule type="expression" priority="18386" id="{BD8421E1-B7F0-432F-ACD8-80450F7C851D}">
            <xm:f>AND(IF(AE16&gt;'F:\Users\norela.briceno\Documents\Plan de acción\Plan Accion 2018\[Plan Accion Integrado ADRES Vigencia 2018 con Cuadro de Mando V6..xlsx]Plan de Accion 2018'!#REF!,AE16&lt;&gt;¨N/A¨))</xm:f>
            <x14:dxf>
              <fill>
                <patternFill>
                  <bgColor theme="1" tint="0.499984740745262"/>
                </patternFill>
              </fill>
            </x14:dxf>
          </x14:cfRule>
          <x14:cfRule type="expression" priority="18387" stopIfTrue="1" id="{8630BA2F-9CE6-4F41-AD6B-79640EC2438F}">
            <xm:f>AND(IF(AE16='F:\Users\norela.briceno\Documents\Plan de acción\Plan Accion 2018\[Plan Accion Integrado ADRES Vigencia 2018 con Cuadro de Mando V6..xlsx]Plan de Accion 2018'!#REF!,AE16&lt;&gt;"N/A"))</xm:f>
            <x14:dxf>
              <fill>
                <patternFill>
                  <bgColor rgb="FF00B050"/>
                </patternFill>
              </fill>
            </x14:dxf>
          </x14:cfRule>
          <x14:cfRule type="expression" priority="18388" stopIfTrue="1" id="{DF854B6D-9264-4781-B19E-68063D9404FF}">
            <xm:f>AND(IF(AE16&lt;'F:\Users\norela.briceno\Documents\Plan de acción\Plan Accion 2018\[Plan Accion Integrado ADRES Vigencia 2018 con Cuadro de Mando V6..xlsx]Plan de Accion 2018'!#REF!,AE16&lt;&gt;"N/A"))</xm:f>
            <x14:dxf>
              <fill>
                <patternFill>
                  <bgColor indexed="10"/>
                </patternFill>
              </fill>
            </x14:dxf>
          </x14:cfRule>
          <xm:sqref>AE16</xm:sqref>
        </x14:conditionalFormatting>
        <x14:conditionalFormatting xmlns:xm="http://schemas.microsoft.com/office/excel/2006/main">
          <x14:cfRule type="expression" priority="18323" id="{035F452A-6469-485D-9862-866907A56138}">
            <xm:f>AND(IF(J17&gt;'F:\Users\norela.briceno\Documents\Plan de acción\Plan Accion 2018\[Plan Accion Integrado ADRES Vigencia 2018 con Cuadro de Mando V6..xlsx]Plan de Accion 2018'!#REF!,J17&lt;&gt;¨N/A¨))</xm:f>
            <x14:dxf>
              <fill>
                <patternFill>
                  <bgColor theme="1" tint="0.499984740745262"/>
                </patternFill>
              </fill>
            </x14:dxf>
          </x14:cfRule>
          <x14:cfRule type="expression" priority="18324" stopIfTrue="1" id="{B803E3EC-7A81-4C3D-9D94-3CDD3160CF18}">
            <xm:f>AND(IF(J17='F:\Users\norela.briceno\Documents\Plan de acción\Plan Accion 2018\[Plan Accion Integrado ADRES Vigencia 2018 con Cuadro de Mando V6..xlsx]Plan de Accion 2018'!#REF!,J17&lt;&gt;"N/A"))</xm:f>
            <x14:dxf>
              <fill>
                <patternFill>
                  <bgColor rgb="FF00B050"/>
                </patternFill>
              </fill>
            </x14:dxf>
          </x14:cfRule>
          <x14:cfRule type="expression" priority="18325" stopIfTrue="1" id="{BC86B1A6-5290-4FF7-A67D-188405680412}">
            <xm:f>AND(IF(J17&lt;'F:\Users\norela.briceno\Documents\Plan de acción\Plan Accion 2018\[Plan Accion Integrado ADRES Vigencia 2018 con Cuadro de Mando V6..xlsx]Plan de Accion 2018'!#REF!,J17&lt;&gt;"N/A"))</xm:f>
            <x14:dxf>
              <fill>
                <patternFill>
                  <bgColor indexed="10"/>
                </patternFill>
              </fill>
            </x14:dxf>
          </x14:cfRule>
          <xm:sqref>J17</xm:sqref>
        </x14:conditionalFormatting>
        <x14:conditionalFormatting xmlns:xm="http://schemas.microsoft.com/office/excel/2006/main">
          <x14:cfRule type="expression" priority="18320" id="{34534D16-7603-4EC7-9D18-C75E9076C38E}">
            <xm:f>AND(IF(Q17&gt;'F:\Users\norela.briceno\Documents\Plan de acción\Plan Accion 2018\[Plan Accion Integrado ADRES Vigencia 2018 con Cuadro de Mando V6..xlsx]Plan de Accion 2018'!#REF!,Q17&lt;&gt;¨N/A¨))</xm:f>
            <x14:dxf>
              <fill>
                <patternFill>
                  <bgColor theme="1" tint="0.499984740745262"/>
                </patternFill>
              </fill>
            </x14:dxf>
          </x14:cfRule>
          <x14:cfRule type="expression" priority="18321" stopIfTrue="1" id="{A51D5237-B4BF-44F3-A3E5-81475C180B06}">
            <xm:f>AND(IF(Q17='F:\Users\norela.briceno\Documents\Plan de acción\Plan Accion 2018\[Plan Accion Integrado ADRES Vigencia 2018 con Cuadro de Mando V6..xlsx]Plan de Accion 2018'!#REF!,Q17&lt;&gt;"N/A"))</xm:f>
            <x14:dxf>
              <fill>
                <patternFill>
                  <bgColor rgb="FF00B050"/>
                </patternFill>
              </fill>
            </x14:dxf>
          </x14:cfRule>
          <x14:cfRule type="expression" priority="18322" stopIfTrue="1" id="{C4FAB129-DD31-40A5-A52B-92D30AB6884E}">
            <xm:f>AND(IF(Q17&lt;'F:\Users\norela.briceno\Documents\Plan de acción\Plan Accion 2018\[Plan Accion Integrado ADRES Vigencia 2018 con Cuadro de Mando V6..xlsx]Plan de Accion 2018'!#REF!,Q17&lt;&gt;"N/A"))</xm:f>
            <x14:dxf>
              <fill>
                <patternFill>
                  <bgColor indexed="10"/>
                </patternFill>
              </fill>
            </x14:dxf>
          </x14:cfRule>
          <xm:sqref>Q17</xm:sqref>
        </x14:conditionalFormatting>
        <x14:conditionalFormatting xmlns:xm="http://schemas.microsoft.com/office/excel/2006/main">
          <x14:cfRule type="expression" priority="18317" id="{A5A6C217-718B-4F41-B797-6B4ECCD05933}">
            <xm:f>AND(IF(X17&gt;'F:\Users\norela.briceno\Documents\Plan de acción\Plan Accion 2018\[Plan Accion Integrado ADRES Vigencia 2018 con Cuadro de Mando V6..xlsx]Plan de Accion 2018'!#REF!,X17&lt;&gt;¨N/A¨))</xm:f>
            <x14:dxf>
              <fill>
                <patternFill>
                  <bgColor theme="1" tint="0.499984740745262"/>
                </patternFill>
              </fill>
            </x14:dxf>
          </x14:cfRule>
          <x14:cfRule type="expression" priority="18318" stopIfTrue="1" id="{78B5B082-11CA-4F52-BC72-7FEECFB30D8D}">
            <xm:f>AND(IF(X17='F:\Users\norela.briceno\Documents\Plan de acción\Plan Accion 2018\[Plan Accion Integrado ADRES Vigencia 2018 con Cuadro de Mando V6..xlsx]Plan de Accion 2018'!#REF!,X17&lt;&gt;"N/A"))</xm:f>
            <x14:dxf>
              <fill>
                <patternFill>
                  <bgColor rgb="FF00B050"/>
                </patternFill>
              </fill>
            </x14:dxf>
          </x14:cfRule>
          <x14:cfRule type="expression" priority="18319" stopIfTrue="1" id="{53D6E753-6DD2-41D0-8B37-6DFEF418198F}">
            <xm:f>AND(IF(X17&lt;'F:\Users\norela.briceno\Documents\Plan de acción\Plan Accion 2018\[Plan Accion Integrado ADRES Vigencia 2018 con Cuadro de Mando V6..xlsx]Plan de Accion 2018'!#REF!,X17&lt;&gt;"N/A"))</xm:f>
            <x14:dxf>
              <fill>
                <patternFill>
                  <bgColor indexed="10"/>
                </patternFill>
              </fill>
            </x14:dxf>
          </x14:cfRule>
          <xm:sqref>X17</xm:sqref>
        </x14:conditionalFormatting>
        <x14:conditionalFormatting xmlns:xm="http://schemas.microsoft.com/office/excel/2006/main">
          <x14:cfRule type="expression" priority="18314" id="{9F62F810-CB76-446D-968B-CBF623889FFE}">
            <xm:f>AND(IF(AE17&gt;'F:\Users\norela.briceno\Documents\Plan de acción\Plan Accion 2018\[Plan Accion Integrado ADRES Vigencia 2018 con Cuadro de Mando V6..xlsx]Plan de Accion 2018'!#REF!,AE17&lt;&gt;¨N/A¨))</xm:f>
            <x14:dxf>
              <fill>
                <patternFill>
                  <bgColor theme="1" tint="0.499984740745262"/>
                </patternFill>
              </fill>
            </x14:dxf>
          </x14:cfRule>
          <x14:cfRule type="expression" priority="18315" stopIfTrue="1" id="{71719960-A77B-4E0B-A277-4317E3E9A640}">
            <xm:f>AND(IF(AE17='F:\Users\norela.briceno\Documents\Plan de acción\Plan Accion 2018\[Plan Accion Integrado ADRES Vigencia 2018 con Cuadro de Mando V6..xlsx]Plan de Accion 2018'!#REF!,AE17&lt;&gt;"N/A"))</xm:f>
            <x14:dxf>
              <fill>
                <patternFill>
                  <bgColor rgb="FF00B050"/>
                </patternFill>
              </fill>
            </x14:dxf>
          </x14:cfRule>
          <x14:cfRule type="expression" priority="18316" stopIfTrue="1" id="{B9DDB2F7-FE03-49EF-8D18-28192C3E297C}">
            <xm:f>AND(IF(AE17&lt;'F:\Users\norela.briceno\Documents\Plan de acción\Plan Accion 2018\[Plan Accion Integrado ADRES Vigencia 2018 con Cuadro de Mando V6..xlsx]Plan de Accion 2018'!#REF!,AE17&lt;&gt;"N/A"))</xm:f>
            <x14:dxf>
              <fill>
                <patternFill>
                  <bgColor indexed="10"/>
                </patternFill>
              </fill>
            </x14:dxf>
          </x14:cfRule>
          <xm:sqref>AE17</xm:sqref>
        </x14:conditionalFormatting>
        <x14:conditionalFormatting xmlns:xm="http://schemas.microsoft.com/office/excel/2006/main">
          <x14:cfRule type="expression" priority="18149" id="{313B1168-59D5-41A1-ABFB-BF585C458BFC}">
            <xm:f>AND(IF(J138&gt;'F:\Users\norela.briceno\Documents\Plan de acción\Plan Accion 2018\[Plan Accion Integrado ADRES Vigencia 2018 con Cuadro de Mando V6..xlsx]Plan de Accion 2018'!#REF!,J138&lt;&gt;¨N/A¨))</xm:f>
            <x14:dxf>
              <fill>
                <patternFill>
                  <bgColor theme="1" tint="0.499984740745262"/>
                </patternFill>
              </fill>
            </x14:dxf>
          </x14:cfRule>
          <x14:cfRule type="expression" priority="18150" stopIfTrue="1" id="{C1B798F1-86D5-4D62-9626-F867F3DF00D8}">
            <xm:f>AND(IF(J138='F:\Users\norela.briceno\Documents\Plan de acción\Plan Accion 2018\[Plan Accion Integrado ADRES Vigencia 2018 con Cuadro de Mando V6..xlsx]Plan de Accion 2018'!#REF!,J138&lt;&gt;"N/A"))</xm:f>
            <x14:dxf>
              <fill>
                <patternFill>
                  <bgColor rgb="FF00B050"/>
                </patternFill>
              </fill>
            </x14:dxf>
          </x14:cfRule>
          <x14:cfRule type="expression" priority="18151" stopIfTrue="1" id="{107A7545-BE5E-47BD-AFEA-F41828694E53}">
            <xm:f>AND(IF(J138&lt;'F:\Users\norela.briceno\Documents\Plan de acción\Plan Accion 2018\[Plan Accion Integrado ADRES Vigencia 2018 con Cuadro de Mando V6..xlsx]Plan de Accion 2018'!#REF!,J138&lt;&gt;"N/A"))</xm:f>
            <x14:dxf>
              <fill>
                <patternFill>
                  <bgColor indexed="10"/>
                </patternFill>
              </fill>
            </x14:dxf>
          </x14:cfRule>
          <xm:sqref>J138</xm:sqref>
        </x14:conditionalFormatting>
        <x14:conditionalFormatting xmlns:xm="http://schemas.microsoft.com/office/excel/2006/main">
          <x14:cfRule type="expression" priority="18000" id="{CEED9DCE-6927-4E54-9C65-42C883025494}">
            <xm:f>AND(IF(J18&gt;'F:\Users\norela.briceno\Documents\Plan de acción\Plan Accion 2018\[Plan Accion Integrado ADRES Vigencia 2018 con Cuadro de Mando V6..xlsx]Plan de Accion 2018'!#REF!,J18&lt;&gt;¨N/A¨))</xm:f>
            <x14:dxf>
              <fill>
                <patternFill>
                  <bgColor theme="1" tint="0.499984740745262"/>
                </patternFill>
              </fill>
            </x14:dxf>
          </x14:cfRule>
          <x14:cfRule type="expression" priority="18001" stopIfTrue="1" id="{5263D883-2457-4593-BD35-7BC80FCCD353}">
            <xm:f>AND(IF(J18='F:\Users\norela.briceno\Documents\Plan de acción\Plan Accion 2018\[Plan Accion Integrado ADRES Vigencia 2018 con Cuadro de Mando V6..xlsx]Plan de Accion 2018'!#REF!,J18&lt;&gt;"N/A"))</xm:f>
            <x14:dxf>
              <fill>
                <patternFill>
                  <bgColor rgb="FF00B050"/>
                </patternFill>
              </fill>
            </x14:dxf>
          </x14:cfRule>
          <x14:cfRule type="expression" priority="18002" stopIfTrue="1" id="{C93C2EE7-F254-403A-AB98-4CE205E2911A}">
            <xm:f>AND(IF(J18&lt;'F:\Users\norela.briceno\Documents\Plan de acción\Plan Accion 2018\[Plan Accion Integrado ADRES Vigencia 2018 con Cuadro de Mando V6..xlsx]Plan de Accion 2018'!#REF!,J18&lt;&gt;"N/A"))</xm:f>
            <x14:dxf>
              <fill>
                <patternFill>
                  <bgColor indexed="10"/>
                </patternFill>
              </fill>
            </x14:dxf>
          </x14:cfRule>
          <xm:sqref>J18</xm:sqref>
        </x14:conditionalFormatting>
        <x14:conditionalFormatting xmlns:xm="http://schemas.microsoft.com/office/excel/2006/main">
          <x14:cfRule type="expression" priority="17997" id="{48F415CF-7302-4E41-A371-C64FC750C61C}">
            <xm:f>AND(IF(Q18&gt;'F:\Users\norela.briceno\Documents\Plan de acción\Plan Accion 2018\[Plan Accion Integrado ADRES Vigencia 2018 con Cuadro de Mando V6..xlsx]Plan de Accion 2018'!#REF!,Q18&lt;&gt;¨N/A¨))</xm:f>
            <x14:dxf>
              <fill>
                <patternFill>
                  <bgColor theme="1" tint="0.499984740745262"/>
                </patternFill>
              </fill>
            </x14:dxf>
          </x14:cfRule>
          <x14:cfRule type="expression" priority="17998" stopIfTrue="1" id="{8FC6CC52-3EBF-4C66-B546-03C96713DD76}">
            <xm:f>AND(IF(Q18='F:\Users\norela.briceno\Documents\Plan de acción\Plan Accion 2018\[Plan Accion Integrado ADRES Vigencia 2018 con Cuadro de Mando V6..xlsx]Plan de Accion 2018'!#REF!,Q18&lt;&gt;"N/A"))</xm:f>
            <x14:dxf>
              <fill>
                <patternFill>
                  <bgColor rgb="FF00B050"/>
                </patternFill>
              </fill>
            </x14:dxf>
          </x14:cfRule>
          <x14:cfRule type="expression" priority="17999" stopIfTrue="1" id="{485410D6-D82B-42EA-9C96-0D4E9AA2887D}">
            <xm:f>AND(IF(Q18&lt;'F:\Users\norela.briceno\Documents\Plan de acción\Plan Accion 2018\[Plan Accion Integrado ADRES Vigencia 2018 con Cuadro de Mando V6..xlsx]Plan de Accion 2018'!#REF!,Q18&lt;&gt;"N/A"))</xm:f>
            <x14:dxf>
              <fill>
                <patternFill>
                  <bgColor indexed="10"/>
                </patternFill>
              </fill>
            </x14:dxf>
          </x14:cfRule>
          <xm:sqref>Q18</xm:sqref>
        </x14:conditionalFormatting>
        <x14:conditionalFormatting xmlns:xm="http://schemas.microsoft.com/office/excel/2006/main">
          <x14:cfRule type="expression" priority="17994" id="{A99CC262-7093-474E-A64D-6F5F905D797B}">
            <xm:f>AND(IF(X18&gt;'F:\Users\norela.briceno\Documents\Plan de acción\Plan Accion 2018\[Plan Accion Integrado ADRES Vigencia 2018 con Cuadro de Mando V6..xlsx]Plan de Accion 2018'!#REF!,X18&lt;&gt;¨N/A¨))</xm:f>
            <x14:dxf>
              <fill>
                <patternFill>
                  <bgColor theme="1" tint="0.499984740745262"/>
                </patternFill>
              </fill>
            </x14:dxf>
          </x14:cfRule>
          <x14:cfRule type="expression" priority="17995" stopIfTrue="1" id="{7595EDD6-9655-43E5-A1B0-1B112F4D4D83}">
            <xm:f>AND(IF(X18='F:\Users\norela.briceno\Documents\Plan de acción\Plan Accion 2018\[Plan Accion Integrado ADRES Vigencia 2018 con Cuadro de Mando V6..xlsx]Plan de Accion 2018'!#REF!,X18&lt;&gt;"N/A"))</xm:f>
            <x14:dxf>
              <fill>
                <patternFill>
                  <bgColor rgb="FF00B050"/>
                </patternFill>
              </fill>
            </x14:dxf>
          </x14:cfRule>
          <x14:cfRule type="expression" priority="17996" stopIfTrue="1" id="{8462ECAC-CA1A-4109-B1A1-4DE585AA5070}">
            <xm:f>AND(IF(X18&lt;'F:\Users\norela.briceno\Documents\Plan de acción\Plan Accion 2018\[Plan Accion Integrado ADRES Vigencia 2018 con Cuadro de Mando V6..xlsx]Plan de Accion 2018'!#REF!,X18&lt;&gt;"N/A"))</xm:f>
            <x14:dxf>
              <fill>
                <patternFill>
                  <bgColor indexed="10"/>
                </patternFill>
              </fill>
            </x14:dxf>
          </x14:cfRule>
          <xm:sqref>X18</xm:sqref>
        </x14:conditionalFormatting>
        <x14:conditionalFormatting xmlns:xm="http://schemas.microsoft.com/office/excel/2006/main">
          <x14:cfRule type="expression" priority="17991" id="{6D9F7408-149E-4D79-8B5E-B2824A6A7891}">
            <xm:f>AND(IF(AE18&gt;'F:\Users\norela.briceno\Documents\Plan de acción\Plan Accion 2018\[Plan Accion Integrado ADRES Vigencia 2018 con Cuadro de Mando V6..xlsx]Plan de Accion 2018'!#REF!,AE18&lt;&gt;¨N/A¨))</xm:f>
            <x14:dxf>
              <fill>
                <patternFill>
                  <bgColor theme="1" tint="0.499984740745262"/>
                </patternFill>
              </fill>
            </x14:dxf>
          </x14:cfRule>
          <x14:cfRule type="expression" priority="17992" stopIfTrue="1" id="{E1F47294-C749-412C-A208-CF7F3BC15F67}">
            <xm:f>AND(IF(AE18='F:\Users\norela.briceno\Documents\Plan de acción\Plan Accion 2018\[Plan Accion Integrado ADRES Vigencia 2018 con Cuadro de Mando V6..xlsx]Plan de Accion 2018'!#REF!,AE18&lt;&gt;"N/A"))</xm:f>
            <x14:dxf>
              <fill>
                <patternFill>
                  <bgColor rgb="FF00B050"/>
                </patternFill>
              </fill>
            </x14:dxf>
          </x14:cfRule>
          <x14:cfRule type="expression" priority="17993" stopIfTrue="1" id="{09E024F1-A163-4628-B919-94A3B8CE1325}">
            <xm:f>AND(IF(AE18&lt;'F:\Users\norela.briceno\Documents\Plan de acción\Plan Accion 2018\[Plan Accion Integrado ADRES Vigencia 2018 con Cuadro de Mando V6..xlsx]Plan de Accion 2018'!#REF!,AE18&lt;&gt;"N/A"))</xm:f>
            <x14:dxf>
              <fill>
                <patternFill>
                  <bgColor indexed="10"/>
                </patternFill>
              </fill>
            </x14:dxf>
          </x14:cfRule>
          <xm:sqref>AE18</xm:sqref>
        </x14:conditionalFormatting>
        <x14:conditionalFormatting xmlns:xm="http://schemas.microsoft.com/office/excel/2006/main">
          <x14:cfRule type="expression" priority="17928" id="{FC874641-5E25-4589-80DE-0FE2327E2130}">
            <xm:f>AND(IF(J22&gt;'F:\Users\norela.briceno\Documents\Plan de acción\Plan Accion 2018\[Plan Accion Integrado ADRES Vigencia 2018 con Cuadro de Mando V6..xlsx]Plan de Accion 2018'!#REF!,J22&lt;&gt;¨N/A¨))</xm:f>
            <x14:dxf>
              <fill>
                <patternFill>
                  <bgColor theme="1" tint="0.499984740745262"/>
                </patternFill>
              </fill>
            </x14:dxf>
          </x14:cfRule>
          <x14:cfRule type="expression" priority="17929" stopIfTrue="1" id="{6C75B2E9-284A-4555-A167-8D743308BA23}">
            <xm:f>AND(IF(J22='F:\Users\norela.briceno\Documents\Plan de acción\Plan Accion 2018\[Plan Accion Integrado ADRES Vigencia 2018 con Cuadro de Mando V6..xlsx]Plan de Accion 2018'!#REF!,J22&lt;&gt;"N/A"))</xm:f>
            <x14:dxf>
              <fill>
                <patternFill>
                  <bgColor rgb="FF00B050"/>
                </patternFill>
              </fill>
            </x14:dxf>
          </x14:cfRule>
          <x14:cfRule type="expression" priority="17930" stopIfTrue="1" id="{5A8F14B5-B1E7-43ED-9973-10B574498CC1}">
            <xm:f>AND(IF(J22&lt;'F:\Users\norela.briceno\Documents\Plan de acción\Plan Accion 2018\[Plan Accion Integrado ADRES Vigencia 2018 con Cuadro de Mando V6..xlsx]Plan de Accion 2018'!#REF!,J22&lt;&gt;"N/A"))</xm:f>
            <x14:dxf>
              <fill>
                <patternFill>
                  <bgColor indexed="10"/>
                </patternFill>
              </fill>
            </x14:dxf>
          </x14:cfRule>
          <xm:sqref>J22</xm:sqref>
        </x14:conditionalFormatting>
        <x14:conditionalFormatting xmlns:xm="http://schemas.microsoft.com/office/excel/2006/main">
          <x14:cfRule type="expression" priority="17925" id="{D5167CC0-FC56-4B74-9F50-8860D0309F9E}">
            <xm:f>AND(IF(Q22&gt;'F:\Users\norela.briceno\Documents\Plan de acción\Plan Accion 2018\[Plan Accion Integrado ADRES Vigencia 2018 con Cuadro de Mando V6..xlsx]Plan de Accion 2018'!#REF!,Q22&lt;&gt;¨N/A¨))</xm:f>
            <x14:dxf>
              <fill>
                <patternFill>
                  <bgColor theme="1" tint="0.499984740745262"/>
                </patternFill>
              </fill>
            </x14:dxf>
          </x14:cfRule>
          <x14:cfRule type="expression" priority="17926" stopIfTrue="1" id="{F8E4D529-AC6C-47FF-A259-6A71B994C97F}">
            <xm:f>AND(IF(Q22='F:\Users\norela.briceno\Documents\Plan de acción\Plan Accion 2018\[Plan Accion Integrado ADRES Vigencia 2018 con Cuadro de Mando V6..xlsx]Plan de Accion 2018'!#REF!,Q22&lt;&gt;"N/A"))</xm:f>
            <x14:dxf>
              <fill>
                <patternFill>
                  <bgColor rgb="FF00B050"/>
                </patternFill>
              </fill>
            </x14:dxf>
          </x14:cfRule>
          <x14:cfRule type="expression" priority="17927" stopIfTrue="1" id="{013DBAC9-3D24-462D-829E-741F75B0FC20}">
            <xm:f>AND(IF(Q22&lt;'F:\Users\norela.briceno\Documents\Plan de acción\Plan Accion 2018\[Plan Accion Integrado ADRES Vigencia 2018 con Cuadro de Mando V6..xlsx]Plan de Accion 2018'!#REF!,Q22&lt;&gt;"N/A"))</xm:f>
            <x14:dxf>
              <fill>
                <patternFill>
                  <bgColor indexed="10"/>
                </patternFill>
              </fill>
            </x14:dxf>
          </x14:cfRule>
          <xm:sqref>Q22</xm:sqref>
        </x14:conditionalFormatting>
        <x14:conditionalFormatting xmlns:xm="http://schemas.microsoft.com/office/excel/2006/main">
          <x14:cfRule type="expression" priority="17922" id="{9CED39F3-EB1D-4D15-B21C-50564726D96A}">
            <xm:f>AND(IF(X22&gt;'F:\Users\norela.briceno\Documents\Plan de acción\Plan Accion 2018\[Plan Accion Integrado ADRES Vigencia 2018 con Cuadro de Mando V6..xlsx]Plan de Accion 2018'!#REF!,X22&lt;&gt;¨N/A¨))</xm:f>
            <x14:dxf>
              <fill>
                <patternFill>
                  <bgColor theme="1" tint="0.499984740745262"/>
                </patternFill>
              </fill>
            </x14:dxf>
          </x14:cfRule>
          <x14:cfRule type="expression" priority="17923" stopIfTrue="1" id="{A046F870-B82B-4E60-814D-3FF3C2ACC00C}">
            <xm:f>AND(IF(X22='F:\Users\norela.briceno\Documents\Plan de acción\Plan Accion 2018\[Plan Accion Integrado ADRES Vigencia 2018 con Cuadro de Mando V6..xlsx]Plan de Accion 2018'!#REF!,X22&lt;&gt;"N/A"))</xm:f>
            <x14:dxf>
              <fill>
                <patternFill>
                  <bgColor rgb="FF00B050"/>
                </patternFill>
              </fill>
            </x14:dxf>
          </x14:cfRule>
          <x14:cfRule type="expression" priority="17924" stopIfTrue="1" id="{29F39EBC-697C-4B69-BE3C-51F518909AC4}">
            <xm:f>AND(IF(X22&lt;'F:\Users\norela.briceno\Documents\Plan de acción\Plan Accion 2018\[Plan Accion Integrado ADRES Vigencia 2018 con Cuadro de Mando V6..xlsx]Plan de Accion 2018'!#REF!,X22&lt;&gt;"N/A"))</xm:f>
            <x14:dxf>
              <fill>
                <patternFill>
                  <bgColor indexed="10"/>
                </patternFill>
              </fill>
            </x14:dxf>
          </x14:cfRule>
          <xm:sqref>X22</xm:sqref>
        </x14:conditionalFormatting>
        <x14:conditionalFormatting xmlns:xm="http://schemas.microsoft.com/office/excel/2006/main">
          <x14:cfRule type="expression" priority="17919" id="{140473CC-E189-4F7B-9526-25ECF38FDBD7}">
            <xm:f>AND(IF(AE22&gt;'F:\Users\norela.briceno\Documents\Plan de acción\Plan Accion 2018\[Plan Accion Integrado ADRES Vigencia 2018 con Cuadro de Mando V6..xlsx]Plan de Accion 2018'!#REF!,AE22&lt;&gt;¨N/A¨))</xm:f>
            <x14:dxf>
              <fill>
                <patternFill>
                  <bgColor theme="1" tint="0.499984740745262"/>
                </patternFill>
              </fill>
            </x14:dxf>
          </x14:cfRule>
          <x14:cfRule type="expression" priority="17920" stopIfTrue="1" id="{5FF868FE-ED6B-4DBF-9BB5-B2E6257F2E65}">
            <xm:f>AND(IF(AE22='F:\Users\norela.briceno\Documents\Plan de acción\Plan Accion 2018\[Plan Accion Integrado ADRES Vigencia 2018 con Cuadro de Mando V6..xlsx]Plan de Accion 2018'!#REF!,AE22&lt;&gt;"N/A"))</xm:f>
            <x14:dxf>
              <fill>
                <patternFill>
                  <bgColor rgb="FF00B050"/>
                </patternFill>
              </fill>
            </x14:dxf>
          </x14:cfRule>
          <x14:cfRule type="expression" priority="17921" stopIfTrue="1" id="{77D4612F-6F96-4F8A-BB22-2FA25E208BAB}">
            <xm:f>AND(IF(AE22&lt;'F:\Users\norela.briceno\Documents\Plan de acción\Plan Accion 2018\[Plan Accion Integrado ADRES Vigencia 2018 con Cuadro de Mando V6..xlsx]Plan de Accion 2018'!#REF!,AE22&lt;&gt;"N/A"))</xm:f>
            <x14:dxf>
              <fill>
                <patternFill>
                  <bgColor indexed="10"/>
                </patternFill>
              </fill>
            </x14:dxf>
          </x14:cfRule>
          <xm:sqref>AE22</xm:sqref>
        </x14:conditionalFormatting>
        <x14:conditionalFormatting xmlns:xm="http://schemas.microsoft.com/office/excel/2006/main">
          <x14:cfRule type="expression" priority="17851" id="{47A36DA8-DEE6-4662-9533-F961EDA84054}">
            <xm:f>AND(IF(J143&gt;'F:\Users\norela.briceno\Documents\Plan de acción\Plan Accion 2018\[Plan Accion Integrado ADRES Vigencia 2018 con Cuadro de Mando V6..xlsx]Plan de Accion 2018'!#REF!,J143&lt;&gt;¨N/A¨))</xm:f>
            <x14:dxf>
              <fill>
                <patternFill>
                  <bgColor theme="1" tint="0.499984740745262"/>
                </patternFill>
              </fill>
            </x14:dxf>
          </x14:cfRule>
          <x14:cfRule type="expression" priority="17852" stopIfTrue="1" id="{CF0F8BD8-D3EC-466E-8420-04AE4D50761E}">
            <xm:f>AND(IF(J143='F:\Users\norela.briceno\Documents\Plan de acción\Plan Accion 2018\[Plan Accion Integrado ADRES Vigencia 2018 con Cuadro de Mando V6..xlsx]Plan de Accion 2018'!#REF!,J143&lt;&gt;"N/A"))</xm:f>
            <x14:dxf>
              <fill>
                <patternFill>
                  <bgColor rgb="FF00B050"/>
                </patternFill>
              </fill>
            </x14:dxf>
          </x14:cfRule>
          <x14:cfRule type="expression" priority="17853" stopIfTrue="1" id="{4FDA5B06-A18D-4A5C-AFC4-ABE06188B13F}">
            <xm:f>AND(IF(J143&lt;'F:\Users\norela.briceno\Documents\Plan de acción\Plan Accion 2018\[Plan Accion Integrado ADRES Vigencia 2018 con Cuadro de Mando V6..xlsx]Plan de Accion 2018'!#REF!,J143&lt;&gt;"N/A"))</xm:f>
            <x14:dxf>
              <fill>
                <patternFill>
                  <bgColor indexed="10"/>
                </patternFill>
              </fill>
            </x14:dxf>
          </x14:cfRule>
          <xm:sqref>J143:J144 J146</xm:sqref>
        </x14:conditionalFormatting>
        <x14:conditionalFormatting xmlns:xm="http://schemas.microsoft.com/office/excel/2006/main">
          <x14:cfRule type="expression" priority="17848" id="{3A0EF18A-B871-4828-AE40-7520050855C6}">
            <xm:f>AND(IF(Q143&gt;'F:\Users\norela.briceno\Documents\Plan de acción\Plan Accion 2018\[Plan Accion Integrado ADRES Vigencia 2018 con Cuadro de Mando V6..xlsx]Plan de Accion 2018'!#REF!,Q143&lt;&gt;¨N/A¨))</xm:f>
            <x14:dxf>
              <fill>
                <patternFill>
                  <bgColor theme="1" tint="0.499984740745262"/>
                </patternFill>
              </fill>
            </x14:dxf>
          </x14:cfRule>
          <x14:cfRule type="expression" priority="17849" stopIfTrue="1" id="{0ADF8710-E297-46D9-B80F-AD638DBA8694}">
            <xm:f>AND(IF(Q143='F:\Users\norela.briceno\Documents\Plan de acción\Plan Accion 2018\[Plan Accion Integrado ADRES Vigencia 2018 con Cuadro de Mando V6..xlsx]Plan de Accion 2018'!#REF!,Q143&lt;&gt;"N/A"))</xm:f>
            <x14:dxf>
              <fill>
                <patternFill>
                  <bgColor rgb="FF00B050"/>
                </patternFill>
              </fill>
            </x14:dxf>
          </x14:cfRule>
          <x14:cfRule type="expression" priority="17850" stopIfTrue="1" id="{DDBDA99C-F658-4605-8516-FCBE8467DC0F}">
            <xm:f>AND(IF(Q143&lt;'F:\Users\norela.briceno\Documents\Plan de acción\Plan Accion 2018\[Plan Accion Integrado ADRES Vigencia 2018 con Cuadro de Mando V6..xlsx]Plan de Accion 2018'!#REF!,Q143&lt;&gt;"N/A"))</xm:f>
            <x14:dxf>
              <fill>
                <patternFill>
                  <bgColor indexed="10"/>
                </patternFill>
              </fill>
            </x14:dxf>
          </x14:cfRule>
          <xm:sqref>Q143:Q144 Q146</xm:sqref>
        </x14:conditionalFormatting>
        <x14:conditionalFormatting xmlns:xm="http://schemas.microsoft.com/office/excel/2006/main">
          <x14:cfRule type="expression" priority="17845" id="{9743637B-3577-47F2-B332-54ACF2828492}">
            <xm:f>AND(IF(X143&gt;'F:\Users\norela.briceno\Documents\Plan de acción\Plan Accion 2018\[Plan Accion Integrado ADRES Vigencia 2018 con Cuadro de Mando V6..xlsx]Plan de Accion 2018'!#REF!,X143&lt;&gt;¨N/A¨))</xm:f>
            <x14:dxf>
              <fill>
                <patternFill>
                  <bgColor theme="1" tint="0.499984740745262"/>
                </patternFill>
              </fill>
            </x14:dxf>
          </x14:cfRule>
          <x14:cfRule type="expression" priority="17846" stopIfTrue="1" id="{931BBBC9-1706-4AC9-8152-9A34297A9AB7}">
            <xm:f>AND(IF(X143='F:\Users\norela.briceno\Documents\Plan de acción\Plan Accion 2018\[Plan Accion Integrado ADRES Vigencia 2018 con Cuadro de Mando V6..xlsx]Plan de Accion 2018'!#REF!,X143&lt;&gt;"N/A"))</xm:f>
            <x14:dxf>
              <fill>
                <patternFill>
                  <bgColor rgb="FF00B050"/>
                </patternFill>
              </fill>
            </x14:dxf>
          </x14:cfRule>
          <x14:cfRule type="expression" priority="17847" stopIfTrue="1" id="{49EFC321-026A-4439-9042-826A3D9217A0}">
            <xm:f>AND(IF(X143&lt;'F:\Users\norela.briceno\Documents\Plan de acción\Plan Accion 2018\[Plan Accion Integrado ADRES Vigencia 2018 con Cuadro de Mando V6..xlsx]Plan de Accion 2018'!#REF!,X143&lt;&gt;"N/A"))</xm:f>
            <x14:dxf>
              <fill>
                <patternFill>
                  <bgColor indexed="10"/>
                </patternFill>
              </fill>
            </x14:dxf>
          </x14:cfRule>
          <xm:sqref>X143:X144 X146</xm:sqref>
        </x14:conditionalFormatting>
        <x14:conditionalFormatting xmlns:xm="http://schemas.microsoft.com/office/excel/2006/main">
          <x14:cfRule type="expression" priority="17842" id="{3B0ED06F-A5D0-4CF9-9388-2CF946D3167B}">
            <xm:f>AND(IF(AE143&gt;'F:\Users\norela.briceno\Documents\Plan de acción\Plan Accion 2018\[Plan Accion Integrado ADRES Vigencia 2018 con Cuadro de Mando V6..xlsx]Plan de Accion 2018'!#REF!,AE143&lt;&gt;¨N/A¨))</xm:f>
            <x14:dxf>
              <fill>
                <patternFill>
                  <bgColor theme="1" tint="0.499984740745262"/>
                </patternFill>
              </fill>
            </x14:dxf>
          </x14:cfRule>
          <x14:cfRule type="expression" priority="17843" stopIfTrue="1" id="{45AA29E1-BF58-4418-8C28-C617ACCFAF58}">
            <xm:f>AND(IF(AE143='F:\Users\norela.briceno\Documents\Plan de acción\Plan Accion 2018\[Plan Accion Integrado ADRES Vigencia 2018 con Cuadro de Mando V6..xlsx]Plan de Accion 2018'!#REF!,AE143&lt;&gt;"N/A"))</xm:f>
            <x14:dxf>
              <fill>
                <patternFill>
                  <bgColor rgb="FF00B050"/>
                </patternFill>
              </fill>
            </x14:dxf>
          </x14:cfRule>
          <x14:cfRule type="expression" priority="17844" stopIfTrue="1" id="{EFF5CC4C-27B1-4339-ABE6-0E9B7DB15655}">
            <xm:f>AND(IF(AE143&lt;'F:\Users\norela.briceno\Documents\Plan de acción\Plan Accion 2018\[Plan Accion Integrado ADRES Vigencia 2018 con Cuadro de Mando V6..xlsx]Plan de Accion 2018'!#REF!,AE143&lt;&gt;"N/A"))</xm:f>
            <x14:dxf>
              <fill>
                <patternFill>
                  <bgColor indexed="10"/>
                </patternFill>
              </fill>
            </x14:dxf>
          </x14:cfRule>
          <xm:sqref>AE143:AE144 AE146</xm:sqref>
        </x14:conditionalFormatting>
        <x14:conditionalFormatting xmlns:xm="http://schemas.microsoft.com/office/excel/2006/main">
          <x14:cfRule type="expression" priority="17754" id="{21A64BE4-ACED-4979-B0B4-FBCFE92724B5}">
            <xm:f>AND(IF(J211&gt;'F:\Users\norela.briceno\Documents\Plan de acción\Plan Accion 2018\[Plan Accion Integrado ADRES Vigencia 2018 con Cuadro de Mando V6..xlsx]Plan de Accion 2018'!#REF!,J211&lt;&gt;¨N/A¨))</xm:f>
            <x14:dxf>
              <fill>
                <patternFill>
                  <bgColor theme="1" tint="0.499984740745262"/>
                </patternFill>
              </fill>
            </x14:dxf>
          </x14:cfRule>
          <x14:cfRule type="expression" priority="17755" stopIfTrue="1" id="{6FE0532C-0FC4-438D-9C0A-848A372554B0}">
            <xm:f>AND(IF(J211='F:\Users\norela.briceno\Documents\Plan de acción\Plan Accion 2018\[Plan Accion Integrado ADRES Vigencia 2018 con Cuadro de Mando V6..xlsx]Plan de Accion 2018'!#REF!,J211&lt;&gt;"N/A"))</xm:f>
            <x14:dxf>
              <fill>
                <patternFill>
                  <bgColor rgb="FF00B050"/>
                </patternFill>
              </fill>
            </x14:dxf>
          </x14:cfRule>
          <x14:cfRule type="expression" priority="17756" stopIfTrue="1" id="{ABBA859D-5D9D-4583-8510-0AC977CFFB25}">
            <xm:f>AND(IF(J211&lt;'F:\Users\norela.briceno\Documents\Plan de acción\Plan Accion 2018\[Plan Accion Integrado ADRES Vigencia 2018 con Cuadro de Mando V6..xlsx]Plan de Accion 2018'!#REF!,J211&lt;&gt;"N/A"))</xm:f>
            <x14:dxf>
              <fill>
                <patternFill>
                  <bgColor indexed="10"/>
                </patternFill>
              </fill>
            </x14:dxf>
          </x14:cfRule>
          <xm:sqref>J211</xm:sqref>
        </x14:conditionalFormatting>
        <x14:conditionalFormatting xmlns:xm="http://schemas.microsoft.com/office/excel/2006/main">
          <x14:cfRule type="expression" priority="17751" id="{F016FA6B-D594-43D2-A5C3-DC39C05E508F}">
            <xm:f>AND(IF(Q211&gt;'F:\Users\norela.briceno\Documents\Plan de acción\Plan Accion 2018\[Plan Accion Integrado ADRES Vigencia 2018 con Cuadro de Mando V6..xlsx]Plan de Accion 2018'!#REF!,Q211&lt;&gt;¨N/A¨))</xm:f>
            <x14:dxf>
              <fill>
                <patternFill>
                  <bgColor theme="1" tint="0.499984740745262"/>
                </patternFill>
              </fill>
            </x14:dxf>
          </x14:cfRule>
          <x14:cfRule type="expression" priority="17752" stopIfTrue="1" id="{D18AEB55-1586-48BC-8CD2-C1C043CACFB2}">
            <xm:f>AND(IF(Q211='F:\Users\norela.briceno\Documents\Plan de acción\Plan Accion 2018\[Plan Accion Integrado ADRES Vigencia 2018 con Cuadro de Mando V6..xlsx]Plan de Accion 2018'!#REF!,Q211&lt;&gt;"N/A"))</xm:f>
            <x14:dxf>
              <fill>
                <patternFill>
                  <bgColor rgb="FF00B050"/>
                </patternFill>
              </fill>
            </x14:dxf>
          </x14:cfRule>
          <x14:cfRule type="expression" priority="17753" stopIfTrue="1" id="{4332E935-F38E-40CA-923F-82B7A94EAA61}">
            <xm:f>AND(IF(Q211&lt;'F:\Users\norela.briceno\Documents\Plan de acción\Plan Accion 2018\[Plan Accion Integrado ADRES Vigencia 2018 con Cuadro de Mando V6..xlsx]Plan de Accion 2018'!#REF!,Q211&lt;&gt;"N/A"))</xm:f>
            <x14:dxf>
              <fill>
                <patternFill>
                  <bgColor indexed="10"/>
                </patternFill>
              </fill>
            </x14:dxf>
          </x14:cfRule>
          <xm:sqref>Q211</xm:sqref>
        </x14:conditionalFormatting>
        <x14:conditionalFormatting xmlns:xm="http://schemas.microsoft.com/office/excel/2006/main">
          <x14:cfRule type="expression" priority="17748" id="{B354AB35-7FB3-4AD1-9A1A-1CF46F923E62}">
            <xm:f>AND(IF(X211&gt;'F:\Users\norela.briceno\Documents\Plan de acción\Plan Accion 2018\[Plan Accion Integrado ADRES Vigencia 2018 con Cuadro de Mando V6..xlsx]Plan de Accion 2018'!#REF!,X211&lt;&gt;¨N/A¨))</xm:f>
            <x14:dxf>
              <fill>
                <patternFill>
                  <bgColor theme="1" tint="0.499984740745262"/>
                </patternFill>
              </fill>
            </x14:dxf>
          </x14:cfRule>
          <x14:cfRule type="expression" priority="17749" stopIfTrue="1" id="{B36353BA-CD19-465C-8A8F-E03F5B5140F7}">
            <xm:f>AND(IF(X211='F:\Users\norela.briceno\Documents\Plan de acción\Plan Accion 2018\[Plan Accion Integrado ADRES Vigencia 2018 con Cuadro de Mando V6..xlsx]Plan de Accion 2018'!#REF!,X211&lt;&gt;"N/A"))</xm:f>
            <x14:dxf>
              <fill>
                <patternFill>
                  <bgColor rgb="FF00B050"/>
                </patternFill>
              </fill>
            </x14:dxf>
          </x14:cfRule>
          <x14:cfRule type="expression" priority="17750" stopIfTrue="1" id="{74D3E9BC-0DBC-40D5-B1BB-DD492EA00BBC}">
            <xm:f>AND(IF(X211&lt;'F:\Users\norela.briceno\Documents\Plan de acción\Plan Accion 2018\[Plan Accion Integrado ADRES Vigencia 2018 con Cuadro de Mando V6..xlsx]Plan de Accion 2018'!#REF!,X211&lt;&gt;"N/A"))</xm:f>
            <x14:dxf>
              <fill>
                <patternFill>
                  <bgColor indexed="10"/>
                </patternFill>
              </fill>
            </x14:dxf>
          </x14:cfRule>
          <xm:sqref>X211</xm:sqref>
        </x14:conditionalFormatting>
        <x14:conditionalFormatting xmlns:xm="http://schemas.microsoft.com/office/excel/2006/main">
          <x14:cfRule type="expression" priority="17745" id="{5492AA5F-744D-4654-AA1B-5E5DF5DC73F2}">
            <xm:f>AND(IF(AE211&gt;'F:\Users\norela.briceno\Documents\Plan de acción\Plan Accion 2018\[Plan Accion Integrado ADRES Vigencia 2018 con Cuadro de Mando V6..xlsx]Plan de Accion 2018'!#REF!,AE211&lt;&gt;¨N/A¨))</xm:f>
            <x14:dxf>
              <fill>
                <patternFill>
                  <bgColor theme="1" tint="0.499984740745262"/>
                </patternFill>
              </fill>
            </x14:dxf>
          </x14:cfRule>
          <x14:cfRule type="expression" priority="17746" stopIfTrue="1" id="{FA6E0F06-0199-4F30-B46B-D62A3AC932D4}">
            <xm:f>AND(IF(AE211='F:\Users\norela.briceno\Documents\Plan de acción\Plan Accion 2018\[Plan Accion Integrado ADRES Vigencia 2018 con Cuadro de Mando V6..xlsx]Plan de Accion 2018'!#REF!,AE211&lt;&gt;"N/A"))</xm:f>
            <x14:dxf>
              <fill>
                <patternFill>
                  <bgColor rgb="FF00B050"/>
                </patternFill>
              </fill>
            </x14:dxf>
          </x14:cfRule>
          <x14:cfRule type="expression" priority="17747" stopIfTrue="1" id="{64A94578-E64D-4994-90BF-30C196694C3B}">
            <xm:f>AND(IF(AE211&lt;'F:\Users\norela.briceno\Documents\Plan de acción\Plan Accion 2018\[Plan Accion Integrado ADRES Vigencia 2018 con Cuadro de Mando V6..xlsx]Plan de Accion 2018'!#REF!,AE211&lt;&gt;"N/A"))</xm:f>
            <x14:dxf>
              <fill>
                <patternFill>
                  <bgColor indexed="10"/>
                </patternFill>
              </fill>
            </x14:dxf>
          </x14:cfRule>
          <xm:sqref>AE211</xm:sqref>
        </x14:conditionalFormatting>
        <x14:conditionalFormatting xmlns:xm="http://schemas.microsoft.com/office/excel/2006/main">
          <x14:cfRule type="expression" priority="17682" id="{F4CD5C78-C3F7-40C5-BCD8-3D372D2E87B4}">
            <xm:f>AND(IF(J23&gt;'F:\Users\norela.briceno\Documents\Plan de acción\Plan Accion 2018\[Plan Accion Integrado ADRES Vigencia 2018 con Cuadro de Mando V6..xlsx]Plan de Accion 2018'!#REF!,J23&lt;&gt;¨N/A¨))</xm:f>
            <x14:dxf>
              <fill>
                <patternFill>
                  <bgColor theme="1" tint="0.499984740745262"/>
                </patternFill>
              </fill>
            </x14:dxf>
          </x14:cfRule>
          <x14:cfRule type="expression" priority="17683" stopIfTrue="1" id="{695E3A81-10BA-4047-AF9F-614E07175C34}">
            <xm:f>AND(IF(J23='F:\Users\norela.briceno\Documents\Plan de acción\Plan Accion 2018\[Plan Accion Integrado ADRES Vigencia 2018 con Cuadro de Mando V6..xlsx]Plan de Accion 2018'!#REF!,J23&lt;&gt;"N/A"))</xm:f>
            <x14:dxf>
              <fill>
                <patternFill>
                  <bgColor rgb="FF00B050"/>
                </patternFill>
              </fill>
            </x14:dxf>
          </x14:cfRule>
          <x14:cfRule type="expression" priority="17684" stopIfTrue="1" id="{7A67E956-0062-4106-9BE1-CD8431F6F283}">
            <xm:f>AND(IF(J23&lt;'F:\Users\norela.briceno\Documents\Plan de acción\Plan Accion 2018\[Plan Accion Integrado ADRES Vigencia 2018 con Cuadro de Mando V6..xlsx]Plan de Accion 2018'!#REF!,J23&lt;&gt;"N/A"))</xm:f>
            <x14:dxf>
              <fill>
                <patternFill>
                  <bgColor indexed="10"/>
                </patternFill>
              </fill>
            </x14:dxf>
          </x14:cfRule>
          <xm:sqref>J23</xm:sqref>
        </x14:conditionalFormatting>
        <x14:conditionalFormatting xmlns:xm="http://schemas.microsoft.com/office/excel/2006/main">
          <x14:cfRule type="expression" priority="17679" id="{38098740-81C4-41A7-A669-03E02FC786AB}">
            <xm:f>AND(IF(Q23&gt;'F:\Users\norela.briceno\Documents\Plan de acción\Plan Accion 2018\[Plan Accion Integrado ADRES Vigencia 2018 con Cuadro de Mando V6..xlsx]Plan de Accion 2018'!#REF!,Q23&lt;&gt;¨N/A¨))</xm:f>
            <x14:dxf>
              <fill>
                <patternFill>
                  <bgColor theme="1" tint="0.499984740745262"/>
                </patternFill>
              </fill>
            </x14:dxf>
          </x14:cfRule>
          <x14:cfRule type="expression" priority="17680" stopIfTrue="1" id="{FD90C38E-7534-47C9-9B70-CB4867FFBDDE}">
            <xm:f>AND(IF(Q23='F:\Users\norela.briceno\Documents\Plan de acción\Plan Accion 2018\[Plan Accion Integrado ADRES Vigencia 2018 con Cuadro de Mando V6..xlsx]Plan de Accion 2018'!#REF!,Q23&lt;&gt;"N/A"))</xm:f>
            <x14:dxf>
              <fill>
                <patternFill>
                  <bgColor rgb="FF00B050"/>
                </patternFill>
              </fill>
            </x14:dxf>
          </x14:cfRule>
          <x14:cfRule type="expression" priority="17681" stopIfTrue="1" id="{CEF83B1B-85A7-4FF9-9297-3FF212E78BCC}">
            <xm:f>AND(IF(Q23&lt;'F:\Users\norela.briceno\Documents\Plan de acción\Plan Accion 2018\[Plan Accion Integrado ADRES Vigencia 2018 con Cuadro de Mando V6..xlsx]Plan de Accion 2018'!#REF!,Q23&lt;&gt;"N/A"))</xm:f>
            <x14:dxf>
              <fill>
                <patternFill>
                  <bgColor indexed="10"/>
                </patternFill>
              </fill>
            </x14:dxf>
          </x14:cfRule>
          <xm:sqref>Q23</xm:sqref>
        </x14:conditionalFormatting>
        <x14:conditionalFormatting xmlns:xm="http://schemas.microsoft.com/office/excel/2006/main">
          <x14:cfRule type="expression" priority="17676" id="{DD8A2D9E-20B3-4765-9B77-316008A84024}">
            <xm:f>AND(IF(X23&gt;'F:\Users\norela.briceno\Documents\Plan de acción\Plan Accion 2018\[Plan Accion Integrado ADRES Vigencia 2018 con Cuadro de Mando V6..xlsx]Plan de Accion 2018'!#REF!,X23&lt;&gt;¨N/A¨))</xm:f>
            <x14:dxf>
              <fill>
                <patternFill>
                  <bgColor theme="1" tint="0.499984740745262"/>
                </patternFill>
              </fill>
            </x14:dxf>
          </x14:cfRule>
          <x14:cfRule type="expression" priority="17677" stopIfTrue="1" id="{9AEE6F38-7B64-4939-BAC9-608455F1B0DF}">
            <xm:f>AND(IF(X23='F:\Users\norela.briceno\Documents\Plan de acción\Plan Accion 2018\[Plan Accion Integrado ADRES Vigencia 2018 con Cuadro de Mando V6..xlsx]Plan de Accion 2018'!#REF!,X23&lt;&gt;"N/A"))</xm:f>
            <x14:dxf>
              <fill>
                <patternFill>
                  <bgColor rgb="FF00B050"/>
                </patternFill>
              </fill>
            </x14:dxf>
          </x14:cfRule>
          <x14:cfRule type="expression" priority="17678" stopIfTrue="1" id="{08571C15-6F53-4793-A0F5-C30BA84D0521}">
            <xm:f>AND(IF(X23&lt;'F:\Users\norela.briceno\Documents\Plan de acción\Plan Accion 2018\[Plan Accion Integrado ADRES Vigencia 2018 con Cuadro de Mando V6..xlsx]Plan de Accion 2018'!#REF!,X23&lt;&gt;"N/A"))</xm:f>
            <x14:dxf>
              <fill>
                <patternFill>
                  <bgColor indexed="10"/>
                </patternFill>
              </fill>
            </x14:dxf>
          </x14:cfRule>
          <xm:sqref>X23</xm:sqref>
        </x14:conditionalFormatting>
        <x14:conditionalFormatting xmlns:xm="http://schemas.microsoft.com/office/excel/2006/main">
          <x14:cfRule type="expression" priority="17673" id="{1022AC4E-F124-4845-A499-E66EB5E41DAF}">
            <xm:f>AND(IF(AE23&gt;'F:\Users\norela.briceno\Documents\Plan de acción\Plan Accion 2018\[Plan Accion Integrado ADRES Vigencia 2018 con Cuadro de Mando V6..xlsx]Plan de Accion 2018'!#REF!,AE23&lt;&gt;¨N/A¨))</xm:f>
            <x14:dxf>
              <fill>
                <patternFill>
                  <bgColor theme="1" tint="0.499984740745262"/>
                </patternFill>
              </fill>
            </x14:dxf>
          </x14:cfRule>
          <x14:cfRule type="expression" priority="17674" stopIfTrue="1" id="{A26A5539-5D34-49EF-ABE5-B5EEFF32EB5A}">
            <xm:f>AND(IF(AE23='F:\Users\norela.briceno\Documents\Plan de acción\Plan Accion 2018\[Plan Accion Integrado ADRES Vigencia 2018 con Cuadro de Mando V6..xlsx]Plan de Accion 2018'!#REF!,AE23&lt;&gt;"N/A"))</xm:f>
            <x14:dxf>
              <fill>
                <patternFill>
                  <bgColor rgb="FF00B050"/>
                </patternFill>
              </fill>
            </x14:dxf>
          </x14:cfRule>
          <x14:cfRule type="expression" priority="17675" stopIfTrue="1" id="{F6634C3C-52C1-435F-89A2-229751FA91E4}">
            <xm:f>AND(IF(AE23&lt;'F:\Users\norela.briceno\Documents\Plan de acción\Plan Accion 2018\[Plan Accion Integrado ADRES Vigencia 2018 con Cuadro de Mando V6..xlsx]Plan de Accion 2018'!#REF!,AE23&lt;&gt;"N/A"))</xm:f>
            <x14:dxf>
              <fill>
                <patternFill>
                  <bgColor indexed="10"/>
                </patternFill>
              </fill>
            </x14:dxf>
          </x14:cfRule>
          <xm:sqref>AE23</xm:sqref>
        </x14:conditionalFormatting>
        <x14:conditionalFormatting xmlns:xm="http://schemas.microsoft.com/office/excel/2006/main">
          <x14:cfRule type="expression" priority="17538" id="{12220E5B-6B3E-4345-9A92-B0785BD4C6AE}">
            <xm:f>AND(IF(J24&gt;'F:\Users\norela.briceno\Documents\Plan de acción\Plan Accion 2018\[Plan Accion Integrado ADRES Vigencia 2018 con Cuadro de Mando V6..xlsx]Plan de Accion 2018'!#REF!,J24&lt;&gt;¨N/A¨))</xm:f>
            <x14:dxf>
              <fill>
                <patternFill>
                  <bgColor theme="1" tint="0.499984740745262"/>
                </patternFill>
              </fill>
            </x14:dxf>
          </x14:cfRule>
          <x14:cfRule type="expression" priority="17539" stopIfTrue="1" id="{DFC78B9F-11A9-4744-9332-27BF38748BD9}">
            <xm:f>AND(IF(J24='F:\Users\norela.briceno\Documents\Plan de acción\Plan Accion 2018\[Plan Accion Integrado ADRES Vigencia 2018 con Cuadro de Mando V6..xlsx]Plan de Accion 2018'!#REF!,J24&lt;&gt;"N/A"))</xm:f>
            <x14:dxf>
              <fill>
                <patternFill>
                  <bgColor rgb="FF00B050"/>
                </patternFill>
              </fill>
            </x14:dxf>
          </x14:cfRule>
          <x14:cfRule type="expression" priority="17540" stopIfTrue="1" id="{097653B1-C73E-4D94-9BC6-904109A9ED74}">
            <xm:f>AND(IF(J24&lt;'F:\Users\norela.briceno\Documents\Plan de acción\Plan Accion 2018\[Plan Accion Integrado ADRES Vigencia 2018 con Cuadro de Mando V6..xlsx]Plan de Accion 2018'!#REF!,J24&lt;&gt;"N/A"))</xm:f>
            <x14:dxf>
              <fill>
                <patternFill>
                  <bgColor indexed="10"/>
                </patternFill>
              </fill>
            </x14:dxf>
          </x14:cfRule>
          <xm:sqref>J24:J27</xm:sqref>
        </x14:conditionalFormatting>
        <x14:conditionalFormatting xmlns:xm="http://schemas.microsoft.com/office/excel/2006/main">
          <x14:cfRule type="expression" priority="17535" id="{D322DF66-150D-425E-A4D9-7E973B7A4580}">
            <xm:f>AND(IF(Q24&gt;'F:\Users\norela.briceno\Documents\Plan de acción\Plan Accion 2018\[Plan Accion Integrado ADRES Vigencia 2018 con Cuadro de Mando V6..xlsx]Plan de Accion 2018'!#REF!,Q24&lt;&gt;¨N/A¨))</xm:f>
            <x14:dxf>
              <fill>
                <patternFill>
                  <bgColor theme="1" tint="0.499984740745262"/>
                </patternFill>
              </fill>
            </x14:dxf>
          </x14:cfRule>
          <x14:cfRule type="expression" priority="17536" stopIfTrue="1" id="{6AB63498-DF27-42B7-9B9C-303403D371EC}">
            <xm:f>AND(IF(Q24='F:\Users\norela.briceno\Documents\Plan de acción\Plan Accion 2018\[Plan Accion Integrado ADRES Vigencia 2018 con Cuadro de Mando V6..xlsx]Plan de Accion 2018'!#REF!,Q24&lt;&gt;"N/A"))</xm:f>
            <x14:dxf>
              <fill>
                <patternFill>
                  <bgColor rgb="FF00B050"/>
                </patternFill>
              </fill>
            </x14:dxf>
          </x14:cfRule>
          <x14:cfRule type="expression" priority="17537" stopIfTrue="1" id="{C8C0BF89-6D86-4EBF-846D-64E511D07F91}">
            <xm:f>AND(IF(Q24&lt;'F:\Users\norela.briceno\Documents\Plan de acción\Plan Accion 2018\[Plan Accion Integrado ADRES Vigencia 2018 con Cuadro de Mando V6..xlsx]Plan de Accion 2018'!#REF!,Q24&lt;&gt;"N/A"))</xm:f>
            <x14:dxf>
              <fill>
                <patternFill>
                  <bgColor indexed="10"/>
                </patternFill>
              </fill>
            </x14:dxf>
          </x14:cfRule>
          <xm:sqref>Q24:Q27</xm:sqref>
        </x14:conditionalFormatting>
        <x14:conditionalFormatting xmlns:xm="http://schemas.microsoft.com/office/excel/2006/main">
          <x14:cfRule type="expression" priority="17532" id="{9DCA8E73-1F58-48B9-892A-2EFD484594F0}">
            <xm:f>AND(IF(X24&gt;'F:\Users\norela.briceno\Documents\Plan de acción\Plan Accion 2018\[Plan Accion Integrado ADRES Vigencia 2018 con Cuadro de Mando V6..xlsx]Plan de Accion 2018'!#REF!,X24&lt;&gt;¨N/A¨))</xm:f>
            <x14:dxf>
              <fill>
                <patternFill>
                  <bgColor theme="1" tint="0.499984740745262"/>
                </patternFill>
              </fill>
            </x14:dxf>
          </x14:cfRule>
          <x14:cfRule type="expression" priority="17533" stopIfTrue="1" id="{1030A06B-9475-4115-9555-D94C09E8EED9}">
            <xm:f>AND(IF(X24='F:\Users\norela.briceno\Documents\Plan de acción\Plan Accion 2018\[Plan Accion Integrado ADRES Vigencia 2018 con Cuadro de Mando V6..xlsx]Plan de Accion 2018'!#REF!,X24&lt;&gt;"N/A"))</xm:f>
            <x14:dxf>
              <fill>
                <patternFill>
                  <bgColor rgb="FF00B050"/>
                </patternFill>
              </fill>
            </x14:dxf>
          </x14:cfRule>
          <x14:cfRule type="expression" priority="17534" stopIfTrue="1" id="{A1BC7CC0-A9E7-46CF-B667-D6DE42C0EBB9}">
            <xm:f>AND(IF(X24&lt;'F:\Users\norela.briceno\Documents\Plan de acción\Plan Accion 2018\[Plan Accion Integrado ADRES Vigencia 2018 con Cuadro de Mando V6..xlsx]Plan de Accion 2018'!#REF!,X24&lt;&gt;"N/A"))</xm:f>
            <x14:dxf>
              <fill>
                <patternFill>
                  <bgColor indexed="10"/>
                </patternFill>
              </fill>
            </x14:dxf>
          </x14:cfRule>
          <xm:sqref>X24:X27</xm:sqref>
        </x14:conditionalFormatting>
        <x14:conditionalFormatting xmlns:xm="http://schemas.microsoft.com/office/excel/2006/main">
          <x14:cfRule type="expression" priority="17529" id="{D18CDF2B-8983-4B16-804A-D96E145D83AD}">
            <xm:f>AND(IF(AE24&gt;'F:\Users\norela.briceno\Documents\Plan de acción\Plan Accion 2018\[Plan Accion Integrado ADRES Vigencia 2018 con Cuadro de Mando V6..xlsx]Plan de Accion 2018'!#REF!,AE24&lt;&gt;¨N/A¨))</xm:f>
            <x14:dxf>
              <fill>
                <patternFill>
                  <bgColor theme="1" tint="0.499984740745262"/>
                </patternFill>
              </fill>
            </x14:dxf>
          </x14:cfRule>
          <x14:cfRule type="expression" priority="17530" stopIfTrue="1" id="{DDAB1100-CB51-49CA-8D8A-C80D97C38B37}">
            <xm:f>AND(IF(AE24='F:\Users\norela.briceno\Documents\Plan de acción\Plan Accion 2018\[Plan Accion Integrado ADRES Vigencia 2018 con Cuadro de Mando V6..xlsx]Plan de Accion 2018'!#REF!,AE24&lt;&gt;"N/A"))</xm:f>
            <x14:dxf>
              <fill>
                <patternFill>
                  <bgColor rgb="FF00B050"/>
                </patternFill>
              </fill>
            </x14:dxf>
          </x14:cfRule>
          <x14:cfRule type="expression" priority="17531" stopIfTrue="1" id="{85BD7D29-E468-4F19-8270-D054413086D6}">
            <xm:f>AND(IF(AE24&lt;'F:\Users\norela.briceno\Documents\Plan de acción\Plan Accion 2018\[Plan Accion Integrado ADRES Vigencia 2018 con Cuadro de Mando V6..xlsx]Plan de Accion 2018'!#REF!,AE24&lt;&gt;"N/A"))</xm:f>
            <x14:dxf>
              <fill>
                <patternFill>
                  <bgColor indexed="10"/>
                </patternFill>
              </fill>
            </x14:dxf>
          </x14:cfRule>
          <xm:sqref>AE24:AE27</xm:sqref>
        </x14:conditionalFormatting>
        <x14:conditionalFormatting xmlns:xm="http://schemas.microsoft.com/office/excel/2006/main">
          <x14:cfRule type="expression" priority="17461" id="{A87E6FCD-5F0C-40D2-B4BF-B63ACE0EF787}">
            <xm:f>AND(IF(J147&gt;'F:\Users\norela.briceno\Documents\Plan de acción\Plan Accion 2018\[Plan Accion Integrado ADRES Vigencia 2018 con Cuadro de Mando V6..xlsx]Plan de Accion 2018'!#REF!,J147&lt;&gt;¨N/A¨))</xm:f>
            <x14:dxf>
              <fill>
                <patternFill>
                  <bgColor theme="1" tint="0.499984740745262"/>
                </patternFill>
              </fill>
            </x14:dxf>
          </x14:cfRule>
          <x14:cfRule type="expression" priority="17462" stopIfTrue="1" id="{3BD59B1D-FC30-4C59-A038-D5A4CFE3F6CD}">
            <xm:f>AND(IF(J147='F:\Users\norela.briceno\Documents\Plan de acción\Plan Accion 2018\[Plan Accion Integrado ADRES Vigencia 2018 con Cuadro de Mando V6..xlsx]Plan de Accion 2018'!#REF!,J147&lt;&gt;"N/A"))</xm:f>
            <x14:dxf>
              <fill>
                <patternFill>
                  <bgColor rgb="FF00B050"/>
                </patternFill>
              </fill>
            </x14:dxf>
          </x14:cfRule>
          <x14:cfRule type="expression" priority="17463" stopIfTrue="1" id="{0BE6BA58-CADF-4A78-AFC9-0681FB15D8AD}">
            <xm:f>AND(IF(J147&lt;'F:\Users\norela.briceno\Documents\Plan de acción\Plan Accion 2018\[Plan Accion Integrado ADRES Vigencia 2018 con Cuadro de Mando V6..xlsx]Plan de Accion 2018'!#REF!,J147&lt;&gt;"N/A"))</xm:f>
            <x14:dxf>
              <fill>
                <patternFill>
                  <bgColor indexed="10"/>
                </patternFill>
              </fill>
            </x14:dxf>
          </x14:cfRule>
          <xm:sqref>J147</xm:sqref>
        </x14:conditionalFormatting>
        <x14:conditionalFormatting xmlns:xm="http://schemas.microsoft.com/office/excel/2006/main">
          <x14:cfRule type="expression" priority="17458" id="{BD5EF62B-B7FD-4973-BC9B-3690B1B5808D}">
            <xm:f>AND(IF(Q147&gt;'F:\Users\norela.briceno\Documents\Plan de acción\Plan Accion 2018\[Plan Accion Integrado ADRES Vigencia 2018 con Cuadro de Mando V6..xlsx]Plan de Accion 2018'!#REF!,Q147&lt;&gt;¨N/A¨))</xm:f>
            <x14:dxf>
              <fill>
                <patternFill>
                  <bgColor theme="1" tint="0.499984740745262"/>
                </patternFill>
              </fill>
            </x14:dxf>
          </x14:cfRule>
          <x14:cfRule type="expression" priority="17459" stopIfTrue="1" id="{A9BB534A-5C93-4B86-8B78-0E9826EFCF49}">
            <xm:f>AND(IF(Q147='F:\Users\norela.briceno\Documents\Plan de acción\Plan Accion 2018\[Plan Accion Integrado ADRES Vigencia 2018 con Cuadro de Mando V6..xlsx]Plan de Accion 2018'!#REF!,Q147&lt;&gt;"N/A"))</xm:f>
            <x14:dxf>
              <fill>
                <patternFill>
                  <bgColor rgb="FF00B050"/>
                </patternFill>
              </fill>
            </x14:dxf>
          </x14:cfRule>
          <x14:cfRule type="expression" priority="17460" stopIfTrue="1" id="{7A1ECE43-508A-49CF-B16F-B96CCC2C64F3}">
            <xm:f>AND(IF(Q147&lt;'F:\Users\norela.briceno\Documents\Plan de acción\Plan Accion 2018\[Plan Accion Integrado ADRES Vigencia 2018 con Cuadro de Mando V6..xlsx]Plan de Accion 2018'!#REF!,Q147&lt;&gt;"N/A"))</xm:f>
            <x14:dxf>
              <fill>
                <patternFill>
                  <bgColor indexed="10"/>
                </patternFill>
              </fill>
            </x14:dxf>
          </x14:cfRule>
          <xm:sqref>Q147</xm:sqref>
        </x14:conditionalFormatting>
        <x14:conditionalFormatting xmlns:xm="http://schemas.microsoft.com/office/excel/2006/main">
          <x14:cfRule type="expression" priority="17455" id="{C694BEB1-75A0-4782-910D-93CAFBD09EF3}">
            <xm:f>AND(IF(X147&gt;'F:\Users\norela.briceno\Documents\Plan de acción\Plan Accion 2018\[Plan Accion Integrado ADRES Vigencia 2018 con Cuadro de Mando V6..xlsx]Plan de Accion 2018'!#REF!,X147&lt;&gt;¨N/A¨))</xm:f>
            <x14:dxf>
              <fill>
                <patternFill>
                  <bgColor theme="1" tint="0.499984740745262"/>
                </patternFill>
              </fill>
            </x14:dxf>
          </x14:cfRule>
          <x14:cfRule type="expression" priority="17456" stopIfTrue="1" id="{355C1014-79FB-4621-8B09-419D88257DC1}">
            <xm:f>AND(IF(X147='F:\Users\norela.briceno\Documents\Plan de acción\Plan Accion 2018\[Plan Accion Integrado ADRES Vigencia 2018 con Cuadro de Mando V6..xlsx]Plan de Accion 2018'!#REF!,X147&lt;&gt;"N/A"))</xm:f>
            <x14:dxf>
              <fill>
                <patternFill>
                  <bgColor rgb="FF00B050"/>
                </patternFill>
              </fill>
            </x14:dxf>
          </x14:cfRule>
          <x14:cfRule type="expression" priority="17457" stopIfTrue="1" id="{5233D594-23B7-4E3C-AEDC-F5B7A38D912B}">
            <xm:f>AND(IF(X147&lt;'F:\Users\norela.briceno\Documents\Plan de acción\Plan Accion 2018\[Plan Accion Integrado ADRES Vigencia 2018 con Cuadro de Mando V6..xlsx]Plan de Accion 2018'!#REF!,X147&lt;&gt;"N/A"))</xm:f>
            <x14:dxf>
              <fill>
                <patternFill>
                  <bgColor indexed="10"/>
                </patternFill>
              </fill>
            </x14:dxf>
          </x14:cfRule>
          <xm:sqref>X147</xm:sqref>
        </x14:conditionalFormatting>
        <x14:conditionalFormatting xmlns:xm="http://schemas.microsoft.com/office/excel/2006/main">
          <x14:cfRule type="expression" priority="17452" id="{61169590-D504-442D-9322-863D51CA0D6F}">
            <xm:f>AND(IF(AE147&gt;'F:\Users\norela.briceno\Documents\Plan de acción\Plan Accion 2018\[Plan Accion Integrado ADRES Vigencia 2018 con Cuadro de Mando V6..xlsx]Plan de Accion 2018'!#REF!,AE147&lt;&gt;¨N/A¨))</xm:f>
            <x14:dxf>
              <fill>
                <patternFill>
                  <bgColor theme="1" tint="0.499984740745262"/>
                </patternFill>
              </fill>
            </x14:dxf>
          </x14:cfRule>
          <x14:cfRule type="expression" priority="17453" stopIfTrue="1" id="{102F8A46-CEEC-4990-96AF-3BC6E1EBC570}">
            <xm:f>AND(IF(AE147='F:\Users\norela.briceno\Documents\Plan de acción\Plan Accion 2018\[Plan Accion Integrado ADRES Vigencia 2018 con Cuadro de Mando V6..xlsx]Plan de Accion 2018'!#REF!,AE147&lt;&gt;"N/A"))</xm:f>
            <x14:dxf>
              <fill>
                <patternFill>
                  <bgColor rgb="FF00B050"/>
                </patternFill>
              </fill>
            </x14:dxf>
          </x14:cfRule>
          <x14:cfRule type="expression" priority="17454" stopIfTrue="1" id="{59A60A53-ED6A-4958-8E58-D9E6FCF8864E}">
            <xm:f>AND(IF(AE147&lt;'F:\Users\norela.briceno\Documents\Plan de acción\Plan Accion 2018\[Plan Accion Integrado ADRES Vigencia 2018 con Cuadro de Mando V6..xlsx]Plan de Accion 2018'!#REF!,AE147&lt;&gt;"N/A"))</xm:f>
            <x14:dxf>
              <fill>
                <patternFill>
                  <bgColor indexed="10"/>
                </patternFill>
              </fill>
            </x14:dxf>
          </x14:cfRule>
          <xm:sqref>AE147</xm:sqref>
        </x14:conditionalFormatting>
        <x14:conditionalFormatting xmlns:xm="http://schemas.microsoft.com/office/excel/2006/main">
          <x14:cfRule type="expression" priority="17384" id="{0ED91EF8-475A-4068-92F9-7102519CB6D3}">
            <xm:f>AND(IF(J148&gt;'F:\Users\norela.briceno\Documents\Plan de acción\Plan Accion 2018\[Plan Accion Integrado ADRES Vigencia 2018 con Cuadro de Mando V6..xlsx]Plan de Accion 2018'!#REF!,J148&lt;&gt;¨N/A¨))</xm:f>
            <x14:dxf>
              <fill>
                <patternFill>
                  <bgColor theme="1" tint="0.499984740745262"/>
                </patternFill>
              </fill>
            </x14:dxf>
          </x14:cfRule>
          <x14:cfRule type="expression" priority="17385" stopIfTrue="1" id="{46B9C0BB-5266-4DED-BC94-C6782E0835C3}">
            <xm:f>AND(IF(J148='F:\Users\norela.briceno\Documents\Plan de acción\Plan Accion 2018\[Plan Accion Integrado ADRES Vigencia 2018 con Cuadro de Mando V6..xlsx]Plan de Accion 2018'!#REF!,J148&lt;&gt;"N/A"))</xm:f>
            <x14:dxf>
              <fill>
                <patternFill>
                  <bgColor rgb="FF00B050"/>
                </patternFill>
              </fill>
            </x14:dxf>
          </x14:cfRule>
          <x14:cfRule type="expression" priority="17386" stopIfTrue="1" id="{5A2BD551-C260-4530-B8A4-32C4B1C28CAF}">
            <xm:f>AND(IF(J148&lt;'F:\Users\norela.briceno\Documents\Plan de acción\Plan Accion 2018\[Plan Accion Integrado ADRES Vigencia 2018 con Cuadro de Mando V6..xlsx]Plan de Accion 2018'!#REF!,J148&lt;&gt;"N/A"))</xm:f>
            <x14:dxf>
              <fill>
                <patternFill>
                  <bgColor indexed="10"/>
                </patternFill>
              </fill>
            </x14:dxf>
          </x14:cfRule>
          <xm:sqref>J148</xm:sqref>
        </x14:conditionalFormatting>
        <x14:conditionalFormatting xmlns:xm="http://schemas.microsoft.com/office/excel/2006/main">
          <x14:cfRule type="expression" priority="17381" id="{1D510FA7-B2B6-43CC-9F97-5030200BFC08}">
            <xm:f>AND(IF(Q148&gt;'F:\Users\norela.briceno\Documents\Plan de acción\Plan Accion 2018\[Plan Accion Integrado ADRES Vigencia 2018 con Cuadro de Mando V6..xlsx]Plan de Accion 2018'!#REF!,Q148&lt;&gt;¨N/A¨))</xm:f>
            <x14:dxf>
              <fill>
                <patternFill>
                  <bgColor theme="1" tint="0.499984740745262"/>
                </patternFill>
              </fill>
            </x14:dxf>
          </x14:cfRule>
          <x14:cfRule type="expression" priority="17382" stopIfTrue="1" id="{F48F875B-E974-4609-889A-19A7AEFF4537}">
            <xm:f>AND(IF(Q148='F:\Users\norela.briceno\Documents\Plan de acción\Plan Accion 2018\[Plan Accion Integrado ADRES Vigencia 2018 con Cuadro de Mando V6..xlsx]Plan de Accion 2018'!#REF!,Q148&lt;&gt;"N/A"))</xm:f>
            <x14:dxf>
              <fill>
                <patternFill>
                  <bgColor rgb="FF00B050"/>
                </patternFill>
              </fill>
            </x14:dxf>
          </x14:cfRule>
          <x14:cfRule type="expression" priority="17383" stopIfTrue="1" id="{88ADEF19-0A24-44D9-952E-E8717D6C580F}">
            <xm:f>AND(IF(Q148&lt;'F:\Users\norela.briceno\Documents\Plan de acción\Plan Accion 2018\[Plan Accion Integrado ADRES Vigencia 2018 con Cuadro de Mando V6..xlsx]Plan de Accion 2018'!#REF!,Q148&lt;&gt;"N/A"))</xm:f>
            <x14:dxf>
              <fill>
                <patternFill>
                  <bgColor indexed="10"/>
                </patternFill>
              </fill>
            </x14:dxf>
          </x14:cfRule>
          <xm:sqref>Q148</xm:sqref>
        </x14:conditionalFormatting>
        <x14:conditionalFormatting xmlns:xm="http://schemas.microsoft.com/office/excel/2006/main">
          <x14:cfRule type="expression" priority="17378" id="{B3ED6707-039F-47D0-9FAA-180C3FD1A5B7}">
            <xm:f>AND(IF(X148&gt;'F:\Users\norela.briceno\Documents\Plan de acción\Plan Accion 2018\[Plan Accion Integrado ADRES Vigencia 2018 con Cuadro de Mando V6..xlsx]Plan de Accion 2018'!#REF!,X148&lt;&gt;¨N/A¨))</xm:f>
            <x14:dxf>
              <fill>
                <patternFill>
                  <bgColor theme="1" tint="0.499984740745262"/>
                </patternFill>
              </fill>
            </x14:dxf>
          </x14:cfRule>
          <x14:cfRule type="expression" priority="17379" stopIfTrue="1" id="{CDE7F0EE-3C00-41FD-9410-D119CD87BA04}">
            <xm:f>AND(IF(X148='F:\Users\norela.briceno\Documents\Plan de acción\Plan Accion 2018\[Plan Accion Integrado ADRES Vigencia 2018 con Cuadro de Mando V6..xlsx]Plan de Accion 2018'!#REF!,X148&lt;&gt;"N/A"))</xm:f>
            <x14:dxf>
              <fill>
                <patternFill>
                  <bgColor rgb="FF00B050"/>
                </patternFill>
              </fill>
            </x14:dxf>
          </x14:cfRule>
          <x14:cfRule type="expression" priority="17380" stopIfTrue="1" id="{5B680C07-A3D6-4BFF-BC8A-E6407CE0CD85}">
            <xm:f>AND(IF(X148&lt;'F:\Users\norela.briceno\Documents\Plan de acción\Plan Accion 2018\[Plan Accion Integrado ADRES Vigencia 2018 con Cuadro de Mando V6..xlsx]Plan de Accion 2018'!#REF!,X148&lt;&gt;"N/A"))</xm:f>
            <x14:dxf>
              <fill>
                <patternFill>
                  <bgColor indexed="10"/>
                </patternFill>
              </fill>
            </x14:dxf>
          </x14:cfRule>
          <xm:sqref>X148</xm:sqref>
        </x14:conditionalFormatting>
        <x14:conditionalFormatting xmlns:xm="http://schemas.microsoft.com/office/excel/2006/main">
          <x14:cfRule type="expression" priority="17375" id="{43BB5E91-95C4-4CEE-891B-C503D7546140}">
            <xm:f>AND(IF(AE148&gt;'F:\Users\norela.briceno\Documents\Plan de acción\Plan Accion 2018\[Plan Accion Integrado ADRES Vigencia 2018 con Cuadro de Mando V6..xlsx]Plan de Accion 2018'!#REF!,AE148&lt;&gt;¨N/A¨))</xm:f>
            <x14:dxf>
              <fill>
                <patternFill>
                  <bgColor theme="1" tint="0.499984740745262"/>
                </patternFill>
              </fill>
            </x14:dxf>
          </x14:cfRule>
          <x14:cfRule type="expression" priority="17376" stopIfTrue="1" id="{6C88E0F5-CC68-4625-8045-FC20F975A1DD}">
            <xm:f>AND(IF(AE148='F:\Users\norela.briceno\Documents\Plan de acción\Plan Accion 2018\[Plan Accion Integrado ADRES Vigencia 2018 con Cuadro de Mando V6..xlsx]Plan de Accion 2018'!#REF!,AE148&lt;&gt;"N/A"))</xm:f>
            <x14:dxf>
              <fill>
                <patternFill>
                  <bgColor rgb="FF00B050"/>
                </patternFill>
              </fill>
            </x14:dxf>
          </x14:cfRule>
          <x14:cfRule type="expression" priority="17377" stopIfTrue="1" id="{2D41C2D2-B626-4D58-877C-8D84C2F04597}">
            <xm:f>AND(IF(AE148&lt;'F:\Users\norela.briceno\Documents\Plan de acción\Plan Accion 2018\[Plan Accion Integrado ADRES Vigencia 2018 con Cuadro de Mando V6..xlsx]Plan de Accion 2018'!#REF!,AE148&lt;&gt;"N/A"))</xm:f>
            <x14:dxf>
              <fill>
                <patternFill>
                  <bgColor indexed="10"/>
                </patternFill>
              </fill>
            </x14:dxf>
          </x14:cfRule>
          <xm:sqref>AE148</xm:sqref>
        </x14:conditionalFormatting>
        <x14:conditionalFormatting xmlns:xm="http://schemas.microsoft.com/office/excel/2006/main">
          <x14:cfRule type="expression" priority="17307" id="{2B0E921C-7E97-47BE-99D7-397A56AC0027}">
            <xm:f>AND(IF(J149&gt;'F:\Users\norela.briceno\Documents\Plan de acción\Plan Accion 2018\[Plan Accion Integrado ADRES Vigencia 2018 con Cuadro de Mando V6..xlsx]Plan de Accion 2018'!#REF!,J149&lt;&gt;¨N/A¨))</xm:f>
            <x14:dxf>
              <fill>
                <patternFill>
                  <bgColor theme="1" tint="0.499984740745262"/>
                </patternFill>
              </fill>
            </x14:dxf>
          </x14:cfRule>
          <x14:cfRule type="expression" priority="17308" stopIfTrue="1" id="{7BDB001C-A8B1-4E69-95B1-0BD8E288CA4E}">
            <xm:f>AND(IF(J149='F:\Users\norela.briceno\Documents\Plan de acción\Plan Accion 2018\[Plan Accion Integrado ADRES Vigencia 2018 con Cuadro de Mando V6..xlsx]Plan de Accion 2018'!#REF!,J149&lt;&gt;"N/A"))</xm:f>
            <x14:dxf>
              <fill>
                <patternFill>
                  <bgColor rgb="FF00B050"/>
                </patternFill>
              </fill>
            </x14:dxf>
          </x14:cfRule>
          <x14:cfRule type="expression" priority="17309" stopIfTrue="1" id="{D0033B9C-FAA9-47FF-8435-96A86EA39291}">
            <xm:f>AND(IF(J149&lt;'F:\Users\norela.briceno\Documents\Plan de acción\Plan Accion 2018\[Plan Accion Integrado ADRES Vigencia 2018 con Cuadro de Mando V6..xlsx]Plan de Accion 2018'!#REF!,J149&lt;&gt;"N/A"))</xm:f>
            <x14:dxf>
              <fill>
                <patternFill>
                  <bgColor indexed="10"/>
                </patternFill>
              </fill>
            </x14:dxf>
          </x14:cfRule>
          <xm:sqref>J149</xm:sqref>
        </x14:conditionalFormatting>
        <x14:conditionalFormatting xmlns:xm="http://schemas.microsoft.com/office/excel/2006/main">
          <x14:cfRule type="expression" priority="17304" id="{D17D901A-79CB-4A10-BE56-0A065871E34A}">
            <xm:f>AND(IF(Q149&gt;'F:\Users\norela.briceno\Documents\Plan de acción\Plan Accion 2018\[Plan Accion Integrado ADRES Vigencia 2018 con Cuadro de Mando V6..xlsx]Plan de Accion 2018'!#REF!,Q149&lt;&gt;¨N/A¨))</xm:f>
            <x14:dxf>
              <fill>
                <patternFill>
                  <bgColor theme="1" tint="0.499984740745262"/>
                </patternFill>
              </fill>
            </x14:dxf>
          </x14:cfRule>
          <x14:cfRule type="expression" priority="17305" stopIfTrue="1" id="{F9B4E308-B9F2-45AA-A20B-E7E10BD8122E}">
            <xm:f>AND(IF(Q149='F:\Users\norela.briceno\Documents\Plan de acción\Plan Accion 2018\[Plan Accion Integrado ADRES Vigencia 2018 con Cuadro de Mando V6..xlsx]Plan de Accion 2018'!#REF!,Q149&lt;&gt;"N/A"))</xm:f>
            <x14:dxf>
              <fill>
                <patternFill>
                  <bgColor rgb="FF00B050"/>
                </patternFill>
              </fill>
            </x14:dxf>
          </x14:cfRule>
          <x14:cfRule type="expression" priority="17306" stopIfTrue="1" id="{179A1BDC-E597-47A4-8381-EC929033B38D}">
            <xm:f>AND(IF(Q149&lt;'F:\Users\norela.briceno\Documents\Plan de acción\Plan Accion 2018\[Plan Accion Integrado ADRES Vigencia 2018 con Cuadro de Mando V6..xlsx]Plan de Accion 2018'!#REF!,Q149&lt;&gt;"N/A"))</xm:f>
            <x14:dxf>
              <fill>
                <patternFill>
                  <bgColor indexed="10"/>
                </patternFill>
              </fill>
            </x14:dxf>
          </x14:cfRule>
          <xm:sqref>Q149</xm:sqref>
        </x14:conditionalFormatting>
        <x14:conditionalFormatting xmlns:xm="http://schemas.microsoft.com/office/excel/2006/main">
          <x14:cfRule type="expression" priority="17301" id="{B99419E0-A861-48F9-B659-312D38D199ED}">
            <xm:f>AND(IF(X149&gt;'F:\Users\norela.briceno\Documents\Plan de acción\Plan Accion 2018\[Plan Accion Integrado ADRES Vigencia 2018 con Cuadro de Mando V6..xlsx]Plan de Accion 2018'!#REF!,X149&lt;&gt;¨N/A¨))</xm:f>
            <x14:dxf>
              <fill>
                <patternFill>
                  <bgColor theme="1" tint="0.499984740745262"/>
                </patternFill>
              </fill>
            </x14:dxf>
          </x14:cfRule>
          <x14:cfRule type="expression" priority="17302" stopIfTrue="1" id="{0F359E98-A741-44BA-A488-5C89FDFAED07}">
            <xm:f>AND(IF(X149='F:\Users\norela.briceno\Documents\Plan de acción\Plan Accion 2018\[Plan Accion Integrado ADRES Vigencia 2018 con Cuadro de Mando V6..xlsx]Plan de Accion 2018'!#REF!,X149&lt;&gt;"N/A"))</xm:f>
            <x14:dxf>
              <fill>
                <patternFill>
                  <bgColor rgb="FF00B050"/>
                </patternFill>
              </fill>
            </x14:dxf>
          </x14:cfRule>
          <x14:cfRule type="expression" priority="17303" stopIfTrue="1" id="{75FE316F-C38C-46CE-A8F9-81D31B915071}">
            <xm:f>AND(IF(X149&lt;'F:\Users\norela.briceno\Documents\Plan de acción\Plan Accion 2018\[Plan Accion Integrado ADRES Vigencia 2018 con Cuadro de Mando V6..xlsx]Plan de Accion 2018'!#REF!,X149&lt;&gt;"N/A"))</xm:f>
            <x14:dxf>
              <fill>
                <patternFill>
                  <bgColor indexed="10"/>
                </patternFill>
              </fill>
            </x14:dxf>
          </x14:cfRule>
          <xm:sqref>X149</xm:sqref>
        </x14:conditionalFormatting>
        <x14:conditionalFormatting xmlns:xm="http://schemas.microsoft.com/office/excel/2006/main">
          <x14:cfRule type="expression" priority="17298" id="{E92A5AB1-83EC-476E-B45D-2A1DDC03E772}">
            <xm:f>AND(IF(AE149&gt;'F:\Users\norela.briceno\Documents\Plan de acción\Plan Accion 2018\[Plan Accion Integrado ADRES Vigencia 2018 con Cuadro de Mando V6..xlsx]Plan de Accion 2018'!#REF!,AE149&lt;&gt;¨N/A¨))</xm:f>
            <x14:dxf>
              <fill>
                <patternFill>
                  <bgColor theme="1" tint="0.499984740745262"/>
                </patternFill>
              </fill>
            </x14:dxf>
          </x14:cfRule>
          <x14:cfRule type="expression" priority="17299" stopIfTrue="1" id="{C9EB158C-966F-4250-BA1E-EE1491FFB9B8}">
            <xm:f>AND(IF(AE149='F:\Users\norela.briceno\Documents\Plan de acción\Plan Accion 2018\[Plan Accion Integrado ADRES Vigencia 2018 con Cuadro de Mando V6..xlsx]Plan de Accion 2018'!#REF!,AE149&lt;&gt;"N/A"))</xm:f>
            <x14:dxf>
              <fill>
                <patternFill>
                  <bgColor rgb="FF00B050"/>
                </patternFill>
              </fill>
            </x14:dxf>
          </x14:cfRule>
          <x14:cfRule type="expression" priority="17300" stopIfTrue="1" id="{5D738B1D-B00B-4622-B166-25F0E743A7BF}">
            <xm:f>AND(IF(AE149&lt;'F:\Users\norela.briceno\Documents\Plan de acción\Plan Accion 2018\[Plan Accion Integrado ADRES Vigencia 2018 con Cuadro de Mando V6..xlsx]Plan de Accion 2018'!#REF!,AE149&lt;&gt;"N/A"))</xm:f>
            <x14:dxf>
              <fill>
                <patternFill>
                  <bgColor indexed="10"/>
                </patternFill>
              </fill>
            </x14:dxf>
          </x14:cfRule>
          <xm:sqref>AE149</xm:sqref>
        </x14:conditionalFormatting>
        <x14:conditionalFormatting xmlns:xm="http://schemas.microsoft.com/office/excel/2006/main">
          <x14:cfRule type="expression" priority="17230" id="{CB3250C1-F02A-4C3B-BED7-B05E3A4485AE}">
            <xm:f>AND(IF(J150&gt;'F:\Users\norela.briceno\Documents\Plan de acción\Plan Accion 2018\[Plan Accion Integrado ADRES Vigencia 2018 con Cuadro de Mando V6..xlsx]Plan de Accion 2018'!#REF!,J150&lt;&gt;¨N/A¨))</xm:f>
            <x14:dxf>
              <fill>
                <patternFill>
                  <bgColor theme="1" tint="0.499984740745262"/>
                </patternFill>
              </fill>
            </x14:dxf>
          </x14:cfRule>
          <x14:cfRule type="expression" priority="17231" stopIfTrue="1" id="{EEE70E4A-98FD-403B-A65C-1472516E541E}">
            <xm:f>AND(IF(J150='F:\Users\norela.briceno\Documents\Plan de acción\Plan Accion 2018\[Plan Accion Integrado ADRES Vigencia 2018 con Cuadro de Mando V6..xlsx]Plan de Accion 2018'!#REF!,J150&lt;&gt;"N/A"))</xm:f>
            <x14:dxf>
              <fill>
                <patternFill>
                  <bgColor rgb="FF00B050"/>
                </patternFill>
              </fill>
            </x14:dxf>
          </x14:cfRule>
          <x14:cfRule type="expression" priority="17232" stopIfTrue="1" id="{D2DB4C91-148B-42A8-B2DB-EA16DCDC259E}">
            <xm:f>AND(IF(J150&lt;'F:\Users\norela.briceno\Documents\Plan de acción\Plan Accion 2018\[Plan Accion Integrado ADRES Vigencia 2018 con Cuadro de Mando V6..xlsx]Plan de Accion 2018'!#REF!,J150&lt;&gt;"N/A"))</xm:f>
            <x14:dxf>
              <fill>
                <patternFill>
                  <bgColor indexed="10"/>
                </patternFill>
              </fill>
            </x14:dxf>
          </x14:cfRule>
          <xm:sqref>J150</xm:sqref>
        </x14:conditionalFormatting>
        <x14:conditionalFormatting xmlns:xm="http://schemas.microsoft.com/office/excel/2006/main">
          <x14:cfRule type="expression" priority="17227" id="{942DE3E6-3E44-49D1-9BDD-CA31438B8532}">
            <xm:f>AND(IF(Q150&gt;'F:\Users\norela.briceno\Documents\Plan de acción\Plan Accion 2018\[Plan Accion Integrado ADRES Vigencia 2018 con Cuadro de Mando V6..xlsx]Plan de Accion 2018'!#REF!,Q150&lt;&gt;¨N/A¨))</xm:f>
            <x14:dxf>
              <fill>
                <patternFill>
                  <bgColor theme="1" tint="0.499984740745262"/>
                </patternFill>
              </fill>
            </x14:dxf>
          </x14:cfRule>
          <x14:cfRule type="expression" priority="17228" stopIfTrue="1" id="{5E8BC55C-F131-4CC3-B944-50B5C736F561}">
            <xm:f>AND(IF(Q150='F:\Users\norela.briceno\Documents\Plan de acción\Plan Accion 2018\[Plan Accion Integrado ADRES Vigencia 2018 con Cuadro de Mando V6..xlsx]Plan de Accion 2018'!#REF!,Q150&lt;&gt;"N/A"))</xm:f>
            <x14:dxf>
              <fill>
                <patternFill>
                  <bgColor rgb="FF00B050"/>
                </patternFill>
              </fill>
            </x14:dxf>
          </x14:cfRule>
          <x14:cfRule type="expression" priority="17229" stopIfTrue="1" id="{6213E078-55F7-459A-B496-1017CEA3EE83}">
            <xm:f>AND(IF(Q150&lt;'F:\Users\norela.briceno\Documents\Plan de acción\Plan Accion 2018\[Plan Accion Integrado ADRES Vigencia 2018 con Cuadro de Mando V6..xlsx]Plan de Accion 2018'!#REF!,Q150&lt;&gt;"N/A"))</xm:f>
            <x14:dxf>
              <fill>
                <patternFill>
                  <bgColor indexed="10"/>
                </patternFill>
              </fill>
            </x14:dxf>
          </x14:cfRule>
          <xm:sqref>Q150</xm:sqref>
        </x14:conditionalFormatting>
        <x14:conditionalFormatting xmlns:xm="http://schemas.microsoft.com/office/excel/2006/main">
          <x14:cfRule type="expression" priority="17224" id="{8D6FBF0B-EE48-4210-9AA0-5E0253686DB8}">
            <xm:f>AND(IF(X150&gt;'F:\Users\norela.briceno\Documents\Plan de acción\Plan Accion 2018\[Plan Accion Integrado ADRES Vigencia 2018 con Cuadro de Mando V6..xlsx]Plan de Accion 2018'!#REF!,X150&lt;&gt;¨N/A¨))</xm:f>
            <x14:dxf>
              <fill>
                <patternFill>
                  <bgColor theme="1" tint="0.499984740745262"/>
                </patternFill>
              </fill>
            </x14:dxf>
          </x14:cfRule>
          <x14:cfRule type="expression" priority="17225" stopIfTrue="1" id="{0025F0EC-F9A2-4ABE-BA94-B1BEDE186441}">
            <xm:f>AND(IF(X150='F:\Users\norela.briceno\Documents\Plan de acción\Plan Accion 2018\[Plan Accion Integrado ADRES Vigencia 2018 con Cuadro de Mando V6..xlsx]Plan de Accion 2018'!#REF!,X150&lt;&gt;"N/A"))</xm:f>
            <x14:dxf>
              <fill>
                <patternFill>
                  <bgColor rgb="FF00B050"/>
                </patternFill>
              </fill>
            </x14:dxf>
          </x14:cfRule>
          <x14:cfRule type="expression" priority="17226" stopIfTrue="1" id="{90E7B6BF-942E-4E9F-9BBF-F391A68A6869}">
            <xm:f>AND(IF(X150&lt;'F:\Users\norela.briceno\Documents\Plan de acción\Plan Accion 2018\[Plan Accion Integrado ADRES Vigencia 2018 con Cuadro de Mando V6..xlsx]Plan de Accion 2018'!#REF!,X150&lt;&gt;"N/A"))</xm:f>
            <x14:dxf>
              <fill>
                <patternFill>
                  <bgColor indexed="10"/>
                </patternFill>
              </fill>
            </x14:dxf>
          </x14:cfRule>
          <xm:sqref>X150</xm:sqref>
        </x14:conditionalFormatting>
        <x14:conditionalFormatting xmlns:xm="http://schemas.microsoft.com/office/excel/2006/main">
          <x14:cfRule type="expression" priority="17221" id="{4BFF00F4-02B0-4432-90B5-D5E181D01C3E}">
            <xm:f>AND(IF(AE150&gt;'F:\Users\norela.briceno\Documents\Plan de acción\Plan Accion 2018\[Plan Accion Integrado ADRES Vigencia 2018 con Cuadro de Mando V6..xlsx]Plan de Accion 2018'!#REF!,AE150&lt;&gt;¨N/A¨))</xm:f>
            <x14:dxf>
              <fill>
                <patternFill>
                  <bgColor theme="1" tint="0.499984740745262"/>
                </patternFill>
              </fill>
            </x14:dxf>
          </x14:cfRule>
          <x14:cfRule type="expression" priority="17222" stopIfTrue="1" id="{B4D9B1F9-3275-4EC3-9DB7-F03BBB7D6CA3}">
            <xm:f>AND(IF(AE150='F:\Users\norela.briceno\Documents\Plan de acción\Plan Accion 2018\[Plan Accion Integrado ADRES Vigencia 2018 con Cuadro de Mando V6..xlsx]Plan de Accion 2018'!#REF!,AE150&lt;&gt;"N/A"))</xm:f>
            <x14:dxf>
              <fill>
                <patternFill>
                  <bgColor rgb="FF00B050"/>
                </patternFill>
              </fill>
            </x14:dxf>
          </x14:cfRule>
          <x14:cfRule type="expression" priority="17223" stopIfTrue="1" id="{097B9423-27A6-47AD-921B-4470FCAFDEEF}">
            <xm:f>AND(IF(AE150&lt;'F:\Users\norela.briceno\Documents\Plan de acción\Plan Accion 2018\[Plan Accion Integrado ADRES Vigencia 2018 con Cuadro de Mando V6..xlsx]Plan de Accion 2018'!#REF!,AE150&lt;&gt;"N/A"))</xm:f>
            <x14:dxf>
              <fill>
                <patternFill>
                  <bgColor indexed="10"/>
                </patternFill>
              </fill>
            </x14:dxf>
          </x14:cfRule>
          <xm:sqref>AE150</xm:sqref>
        </x14:conditionalFormatting>
        <x14:conditionalFormatting xmlns:xm="http://schemas.microsoft.com/office/excel/2006/main">
          <x14:cfRule type="expression" priority="17036" id="{A55A63C4-05D8-4CDC-BF30-37D903F91C8A}">
            <xm:f>AND(IF(J213&gt;'F:\Users\norela.briceno\Documents\Plan de acción\Plan Accion 2018\[Plan Accion Integrado ADRES Vigencia 2018 con Cuadro de Mando V6..xlsx]Plan de Accion 2018'!#REF!,J213&lt;&gt;¨N/A¨))</xm:f>
            <x14:dxf>
              <fill>
                <patternFill>
                  <bgColor theme="1" tint="0.499984740745262"/>
                </patternFill>
              </fill>
            </x14:dxf>
          </x14:cfRule>
          <x14:cfRule type="expression" priority="17037" stopIfTrue="1" id="{9461542F-9C86-4683-BB82-67DD1615FF51}">
            <xm:f>AND(IF(J213='F:\Users\norela.briceno\Documents\Plan de acción\Plan Accion 2018\[Plan Accion Integrado ADRES Vigencia 2018 con Cuadro de Mando V6..xlsx]Plan de Accion 2018'!#REF!,J213&lt;&gt;"N/A"))</xm:f>
            <x14:dxf>
              <fill>
                <patternFill>
                  <bgColor rgb="FF00B050"/>
                </patternFill>
              </fill>
            </x14:dxf>
          </x14:cfRule>
          <x14:cfRule type="expression" priority="17038" stopIfTrue="1" id="{A631C208-DFF6-4992-BF50-186E3F1DE138}">
            <xm:f>AND(IF(J213&lt;'F:\Users\norela.briceno\Documents\Plan de acción\Plan Accion 2018\[Plan Accion Integrado ADRES Vigencia 2018 con Cuadro de Mando V6..xlsx]Plan de Accion 2018'!#REF!,J213&lt;&gt;"N/A"))</xm:f>
            <x14:dxf>
              <fill>
                <patternFill>
                  <bgColor indexed="10"/>
                </patternFill>
              </fill>
            </x14:dxf>
          </x14:cfRule>
          <xm:sqref>J213</xm:sqref>
        </x14:conditionalFormatting>
        <x14:conditionalFormatting xmlns:xm="http://schemas.microsoft.com/office/excel/2006/main">
          <x14:cfRule type="expression" priority="17033" id="{4813EAF7-73A0-4D4A-A76F-7B6576C12516}">
            <xm:f>AND(IF(Q213&gt;'F:\Users\norela.briceno\Documents\Plan de acción\Plan Accion 2018\[Plan Accion Integrado ADRES Vigencia 2018 con Cuadro de Mando V6..xlsx]Plan de Accion 2018'!#REF!,Q213&lt;&gt;¨N/A¨))</xm:f>
            <x14:dxf>
              <fill>
                <patternFill>
                  <bgColor theme="1" tint="0.499984740745262"/>
                </patternFill>
              </fill>
            </x14:dxf>
          </x14:cfRule>
          <x14:cfRule type="expression" priority="17034" stopIfTrue="1" id="{994D40D6-416D-4CAC-9421-D4811F0B6F13}">
            <xm:f>AND(IF(Q213='F:\Users\norela.briceno\Documents\Plan de acción\Plan Accion 2018\[Plan Accion Integrado ADRES Vigencia 2018 con Cuadro de Mando V6..xlsx]Plan de Accion 2018'!#REF!,Q213&lt;&gt;"N/A"))</xm:f>
            <x14:dxf>
              <fill>
                <patternFill>
                  <bgColor rgb="FF00B050"/>
                </patternFill>
              </fill>
            </x14:dxf>
          </x14:cfRule>
          <x14:cfRule type="expression" priority="17035" stopIfTrue="1" id="{D60C1CE9-7B57-44C8-BA08-93D4B96EC0BB}">
            <xm:f>AND(IF(Q213&lt;'F:\Users\norela.briceno\Documents\Plan de acción\Plan Accion 2018\[Plan Accion Integrado ADRES Vigencia 2018 con Cuadro de Mando V6..xlsx]Plan de Accion 2018'!#REF!,Q213&lt;&gt;"N/A"))</xm:f>
            <x14:dxf>
              <fill>
                <patternFill>
                  <bgColor indexed="10"/>
                </patternFill>
              </fill>
            </x14:dxf>
          </x14:cfRule>
          <xm:sqref>Q213</xm:sqref>
        </x14:conditionalFormatting>
        <x14:conditionalFormatting xmlns:xm="http://schemas.microsoft.com/office/excel/2006/main">
          <x14:cfRule type="expression" priority="17030" id="{C6FAF6D6-6A77-4558-850A-966247775B25}">
            <xm:f>AND(IF(X213&gt;'F:\Users\norela.briceno\Documents\Plan de acción\Plan Accion 2018\[Plan Accion Integrado ADRES Vigencia 2018 con Cuadro de Mando V6..xlsx]Plan de Accion 2018'!#REF!,X213&lt;&gt;¨N/A¨))</xm:f>
            <x14:dxf>
              <fill>
                <patternFill>
                  <bgColor theme="1" tint="0.499984740745262"/>
                </patternFill>
              </fill>
            </x14:dxf>
          </x14:cfRule>
          <x14:cfRule type="expression" priority="17031" stopIfTrue="1" id="{97EA954F-BBF8-437E-818F-3C6AC6377FC4}">
            <xm:f>AND(IF(X213='F:\Users\norela.briceno\Documents\Plan de acción\Plan Accion 2018\[Plan Accion Integrado ADRES Vigencia 2018 con Cuadro de Mando V6..xlsx]Plan de Accion 2018'!#REF!,X213&lt;&gt;"N/A"))</xm:f>
            <x14:dxf>
              <fill>
                <patternFill>
                  <bgColor rgb="FF00B050"/>
                </patternFill>
              </fill>
            </x14:dxf>
          </x14:cfRule>
          <x14:cfRule type="expression" priority="17032" stopIfTrue="1" id="{972DD4F5-A90B-497C-8D90-8735FB264E95}">
            <xm:f>AND(IF(X213&lt;'F:\Users\norela.briceno\Documents\Plan de acción\Plan Accion 2018\[Plan Accion Integrado ADRES Vigencia 2018 con Cuadro de Mando V6..xlsx]Plan de Accion 2018'!#REF!,X213&lt;&gt;"N/A"))</xm:f>
            <x14:dxf>
              <fill>
                <patternFill>
                  <bgColor indexed="10"/>
                </patternFill>
              </fill>
            </x14:dxf>
          </x14:cfRule>
          <xm:sqref>X213</xm:sqref>
        </x14:conditionalFormatting>
        <x14:conditionalFormatting xmlns:xm="http://schemas.microsoft.com/office/excel/2006/main">
          <x14:cfRule type="expression" priority="17027" id="{F03B5ED3-F63A-4BE4-8788-4A0A1E59F5CF}">
            <xm:f>AND(IF(AE213&gt;'F:\Users\norela.briceno\Documents\Plan de acción\Plan Accion 2018\[Plan Accion Integrado ADRES Vigencia 2018 con Cuadro de Mando V6..xlsx]Plan de Accion 2018'!#REF!,AE213&lt;&gt;¨N/A¨))</xm:f>
            <x14:dxf>
              <fill>
                <patternFill>
                  <bgColor theme="1" tint="0.499984740745262"/>
                </patternFill>
              </fill>
            </x14:dxf>
          </x14:cfRule>
          <x14:cfRule type="expression" priority="17028" stopIfTrue="1" id="{30967399-6FCC-4A85-B78F-ED324DF65B2D}">
            <xm:f>AND(IF(AE213='F:\Users\norela.briceno\Documents\Plan de acción\Plan Accion 2018\[Plan Accion Integrado ADRES Vigencia 2018 con Cuadro de Mando V6..xlsx]Plan de Accion 2018'!#REF!,AE213&lt;&gt;"N/A"))</xm:f>
            <x14:dxf>
              <fill>
                <patternFill>
                  <bgColor rgb="FF00B050"/>
                </patternFill>
              </fill>
            </x14:dxf>
          </x14:cfRule>
          <x14:cfRule type="expression" priority="17029" stopIfTrue="1" id="{79EA914E-2061-4933-8161-14CA1D6C8C40}">
            <xm:f>AND(IF(AE213&lt;'F:\Users\norela.briceno\Documents\Plan de acción\Plan Accion 2018\[Plan Accion Integrado ADRES Vigencia 2018 con Cuadro de Mando V6..xlsx]Plan de Accion 2018'!#REF!,AE213&lt;&gt;"N/A"))</xm:f>
            <x14:dxf>
              <fill>
                <patternFill>
                  <bgColor indexed="10"/>
                </patternFill>
              </fill>
            </x14:dxf>
          </x14:cfRule>
          <xm:sqref>AE213</xm:sqref>
        </x14:conditionalFormatting>
        <x14:conditionalFormatting xmlns:xm="http://schemas.microsoft.com/office/excel/2006/main">
          <x14:cfRule type="expression" priority="16215" id="{408C7D2F-B156-4C88-B378-027BCB45C2E1}">
            <xm:f>AND(IF(AE236&gt;'F:\Users\norela.briceno\Documents\Plan de acción\Plan Accion 2018\[Plan Accion Integrado ADRES Vigencia 2018 con Cuadro de Mando V6..xlsx]Plan de Accion 2018'!#REF!,AE236&lt;&gt;¨N/A¨))</xm:f>
            <x14:dxf>
              <fill>
                <patternFill>
                  <bgColor theme="1" tint="0.499984740745262"/>
                </patternFill>
              </fill>
            </x14:dxf>
          </x14:cfRule>
          <x14:cfRule type="expression" priority="16216" stopIfTrue="1" id="{85306298-2628-4AD3-BA13-F4FBB73C7F0C}">
            <xm:f>AND(IF(AE236='F:\Users\norela.briceno\Documents\Plan de acción\Plan Accion 2018\[Plan Accion Integrado ADRES Vigencia 2018 con Cuadro de Mando V6..xlsx]Plan de Accion 2018'!#REF!,AE236&lt;&gt;"N/A"))</xm:f>
            <x14:dxf>
              <fill>
                <patternFill>
                  <bgColor rgb="FF00B050"/>
                </patternFill>
              </fill>
            </x14:dxf>
          </x14:cfRule>
          <x14:cfRule type="expression" priority="16217" stopIfTrue="1" id="{EBE77E88-A599-4C01-B17D-3AB8645AE6B0}">
            <xm:f>AND(IF(AE236&lt;'F:\Users\norela.briceno\Documents\Plan de acción\Plan Accion 2018\[Plan Accion Integrado ADRES Vigencia 2018 con Cuadro de Mando V6..xlsx]Plan de Accion 2018'!#REF!,AE236&lt;&gt;"N/A"))</xm:f>
            <x14:dxf>
              <fill>
                <patternFill>
                  <bgColor indexed="10"/>
                </patternFill>
              </fill>
            </x14:dxf>
          </x14:cfRule>
          <xm:sqref>AE236</xm:sqref>
        </x14:conditionalFormatting>
        <x14:conditionalFormatting xmlns:xm="http://schemas.microsoft.com/office/excel/2006/main">
          <x14:cfRule type="expression" priority="16197" id="{0680CD96-50A9-4DD6-8F50-E1356F6C245C}">
            <xm:f>AND(IF(X236&gt;'F:\Users\norela.briceno\Documents\Plan de acción\Plan Accion 2018\[Plan Accion Integrado ADRES Vigencia 2018 con Cuadro de Mando V6..xlsx]Plan de Accion 2018'!#REF!,X236&lt;&gt;¨N/A¨))</xm:f>
            <x14:dxf>
              <fill>
                <patternFill>
                  <bgColor theme="1" tint="0.499984740745262"/>
                </patternFill>
              </fill>
            </x14:dxf>
          </x14:cfRule>
          <x14:cfRule type="expression" priority="16198" stopIfTrue="1" id="{B8A2F1E5-72D3-4CBE-B04E-CB1718EDE50D}">
            <xm:f>AND(IF(X236='F:\Users\norela.briceno\Documents\Plan de acción\Plan Accion 2018\[Plan Accion Integrado ADRES Vigencia 2018 con Cuadro de Mando V6..xlsx]Plan de Accion 2018'!#REF!,X236&lt;&gt;"N/A"))</xm:f>
            <x14:dxf>
              <fill>
                <patternFill>
                  <bgColor rgb="FF00B050"/>
                </patternFill>
              </fill>
            </x14:dxf>
          </x14:cfRule>
          <x14:cfRule type="expression" priority="16199" stopIfTrue="1" id="{8DCCD01F-14E8-47D0-99C8-93299492517C}">
            <xm:f>AND(IF(X236&lt;'F:\Users\norela.briceno\Documents\Plan de acción\Plan Accion 2018\[Plan Accion Integrado ADRES Vigencia 2018 con Cuadro de Mando V6..xlsx]Plan de Accion 2018'!#REF!,X236&lt;&gt;"N/A"))</xm:f>
            <x14:dxf>
              <fill>
                <patternFill>
                  <bgColor indexed="10"/>
                </patternFill>
              </fill>
            </x14:dxf>
          </x14:cfRule>
          <xm:sqref>X236</xm:sqref>
        </x14:conditionalFormatting>
        <x14:conditionalFormatting xmlns:xm="http://schemas.microsoft.com/office/excel/2006/main">
          <x14:cfRule type="expression" priority="16151" id="{99FC07ED-8389-4A74-A464-1B1569B6A8D3}">
            <xm:f>AND(IF(Q236&gt;'F:\Users\norela.briceno\Documents\Plan de acción\Plan Accion 2018\[Plan Accion Integrado ADRES Vigencia 2018 con Cuadro de Mando V6..xlsx]Plan de Accion 2018'!#REF!,Q236&lt;&gt;¨N/A¨))</xm:f>
            <x14:dxf>
              <fill>
                <patternFill>
                  <bgColor theme="1" tint="0.499984740745262"/>
                </patternFill>
              </fill>
            </x14:dxf>
          </x14:cfRule>
          <x14:cfRule type="expression" priority="16152" stopIfTrue="1" id="{91663BD4-7B57-4BB4-BF6E-9075B307E6D1}">
            <xm:f>AND(IF(Q236='F:\Users\norela.briceno\Documents\Plan de acción\Plan Accion 2018\[Plan Accion Integrado ADRES Vigencia 2018 con Cuadro de Mando V6..xlsx]Plan de Accion 2018'!#REF!,Q236&lt;&gt;"N/A"))</xm:f>
            <x14:dxf>
              <fill>
                <patternFill>
                  <bgColor rgb="FF00B050"/>
                </patternFill>
              </fill>
            </x14:dxf>
          </x14:cfRule>
          <x14:cfRule type="expression" priority="16153" stopIfTrue="1" id="{1C89EB68-6865-4266-BCA6-55F366DD8373}">
            <xm:f>AND(IF(Q236&lt;'F:\Users\norela.briceno\Documents\Plan de acción\Plan Accion 2018\[Plan Accion Integrado ADRES Vigencia 2018 con Cuadro de Mando V6..xlsx]Plan de Accion 2018'!#REF!,Q236&lt;&gt;"N/A"))</xm:f>
            <x14:dxf>
              <fill>
                <patternFill>
                  <bgColor indexed="10"/>
                </patternFill>
              </fill>
            </x14:dxf>
          </x14:cfRule>
          <xm:sqref>Q236</xm:sqref>
        </x14:conditionalFormatting>
        <x14:conditionalFormatting xmlns:xm="http://schemas.microsoft.com/office/excel/2006/main">
          <x14:cfRule type="expression" priority="16113" id="{9C3E777F-BA06-4EC3-A789-3D8FD869499D}">
            <xm:f>AND(IF(AE237&gt;'F:\Users\norela.briceno\Documents\Plan de acción\Plan Accion 2018\[Plan Accion Integrado ADRES Vigencia 2018 con Cuadro de Mando V6..xlsx]Plan de Accion 2018'!#REF!,AE237&lt;&gt;¨N/A¨))</xm:f>
            <x14:dxf>
              <fill>
                <patternFill>
                  <bgColor theme="1" tint="0.499984740745262"/>
                </patternFill>
              </fill>
            </x14:dxf>
          </x14:cfRule>
          <x14:cfRule type="expression" priority="16114" stopIfTrue="1" id="{830C43C2-7D68-4712-AF97-FAF73B7B6A7E}">
            <xm:f>AND(IF(AE237='F:\Users\norela.briceno\Documents\Plan de acción\Plan Accion 2018\[Plan Accion Integrado ADRES Vigencia 2018 con Cuadro de Mando V6..xlsx]Plan de Accion 2018'!#REF!,AE237&lt;&gt;"N/A"))</xm:f>
            <x14:dxf>
              <fill>
                <patternFill>
                  <bgColor rgb="FF00B050"/>
                </patternFill>
              </fill>
            </x14:dxf>
          </x14:cfRule>
          <x14:cfRule type="expression" priority="16115" stopIfTrue="1" id="{52F54E9F-D93B-4ADF-99B3-BEAB79B18838}">
            <xm:f>AND(IF(AE237&lt;'F:\Users\norela.briceno\Documents\Plan de acción\Plan Accion 2018\[Plan Accion Integrado ADRES Vigencia 2018 con Cuadro de Mando V6..xlsx]Plan de Accion 2018'!#REF!,AE237&lt;&gt;"N/A"))</xm:f>
            <x14:dxf>
              <fill>
                <patternFill>
                  <bgColor indexed="10"/>
                </patternFill>
              </fill>
            </x14:dxf>
          </x14:cfRule>
          <xm:sqref>AE237</xm:sqref>
        </x14:conditionalFormatting>
        <x14:conditionalFormatting xmlns:xm="http://schemas.microsoft.com/office/excel/2006/main">
          <x14:cfRule type="expression" priority="16095" id="{79A05394-E8AC-4DB3-926C-65B7F666203F}">
            <xm:f>AND(IF(X237&gt;'F:\Users\norela.briceno\Documents\Plan de acción\Plan Accion 2018\[Plan Accion Integrado ADRES Vigencia 2018 con Cuadro de Mando V6..xlsx]Plan de Accion 2018'!#REF!,X237&lt;&gt;¨N/A¨))</xm:f>
            <x14:dxf>
              <fill>
                <patternFill>
                  <bgColor theme="1" tint="0.499984740745262"/>
                </patternFill>
              </fill>
            </x14:dxf>
          </x14:cfRule>
          <x14:cfRule type="expression" priority="16096" stopIfTrue="1" id="{1ACB7936-2B14-415A-AEE5-0474FFA46B0B}">
            <xm:f>AND(IF(X237='F:\Users\norela.briceno\Documents\Plan de acción\Plan Accion 2018\[Plan Accion Integrado ADRES Vigencia 2018 con Cuadro de Mando V6..xlsx]Plan de Accion 2018'!#REF!,X237&lt;&gt;"N/A"))</xm:f>
            <x14:dxf>
              <fill>
                <patternFill>
                  <bgColor rgb="FF00B050"/>
                </patternFill>
              </fill>
            </x14:dxf>
          </x14:cfRule>
          <x14:cfRule type="expression" priority="16097" stopIfTrue="1" id="{82E007B0-362C-4E2A-8E03-866A332F6370}">
            <xm:f>AND(IF(X237&lt;'F:\Users\norela.briceno\Documents\Plan de acción\Plan Accion 2018\[Plan Accion Integrado ADRES Vigencia 2018 con Cuadro de Mando V6..xlsx]Plan de Accion 2018'!#REF!,X237&lt;&gt;"N/A"))</xm:f>
            <x14:dxf>
              <fill>
                <patternFill>
                  <bgColor indexed="10"/>
                </patternFill>
              </fill>
            </x14:dxf>
          </x14:cfRule>
          <xm:sqref>X237</xm:sqref>
        </x14:conditionalFormatting>
        <x14:conditionalFormatting xmlns:xm="http://schemas.microsoft.com/office/excel/2006/main">
          <x14:cfRule type="expression" priority="16031" id="{9C29FB0F-0B2D-446E-BEB5-FC760832676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6032" stopIfTrue="1" id="{1873F67F-4383-42F1-B217-A3155BA16443}">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6033" stopIfTrue="1" id="{A2B6F062-8A87-4FAB-8089-2FB742082FD4}">
            <xm:f>AND(IF(J34&lt;'F:\Users\norela.briceno\Documents\Plan de acción\Plan Accion 2018\[Plan Accion Integrado ADRES Vigencia 2018 con Cuadro de Mando V6..xlsx]Plan de Accion 2018'!#REF!,J34&lt;&gt;"N/A"))</xm:f>
            <x14:dxf>
              <fill>
                <patternFill>
                  <bgColor indexed="10"/>
                </patternFill>
              </fill>
            </x14:dxf>
          </x14:cfRule>
          <xm:sqref>J34 Q34 AE34 X34</xm:sqref>
        </x14:conditionalFormatting>
        <x14:conditionalFormatting xmlns:xm="http://schemas.microsoft.com/office/excel/2006/main">
          <x14:cfRule type="expression" priority="16028" id="{1933BB16-4BA9-4239-9009-9CFBFC940FDD}">
            <xm:f>AND(IF(J34&gt;'F:\Users\norela.briceno\Documents\Plan de acción\Plan Accion 2018\[Plan Accion Integrado ADRES Vigencia 2018 con Cuadro de Mando V6..xlsx]Plan de Accion 2018'!#REF!,J34&lt;&gt;¨N/A¨))</xm:f>
            <x14:dxf>
              <fill>
                <patternFill>
                  <bgColor theme="1" tint="0.499984740745262"/>
                </patternFill>
              </fill>
            </x14:dxf>
          </x14:cfRule>
          <x14:cfRule type="expression" priority="16029" stopIfTrue="1" id="{1B248148-7348-4A6D-91E0-8BA3D96FDB9B}">
            <xm:f>AND(IF(J34='F:\Users\norela.briceno\Documents\Plan de acción\Plan Accion 2018\[Plan Accion Integrado ADRES Vigencia 2018 con Cuadro de Mando V6..xlsx]Plan de Accion 2018'!#REF!,J34&lt;&gt;"N/A"))</xm:f>
            <x14:dxf>
              <fill>
                <patternFill>
                  <bgColor rgb="FF00B050"/>
                </patternFill>
              </fill>
            </x14:dxf>
          </x14:cfRule>
          <x14:cfRule type="expression" priority="16030" stopIfTrue="1" id="{1C12151D-389C-485D-8D5A-F396266C289D}">
            <xm:f>AND(IF(J34&lt;'F:\Users\norela.briceno\Documents\Plan de acción\Plan Accion 2018\[Plan Accion Integrado ADRES Vigencia 2018 con Cuadro de Mando V6..xlsx]Plan de Accion 2018'!#REF!,J34&lt;&gt;"N/A"))</xm:f>
            <x14:dxf>
              <fill>
                <patternFill>
                  <bgColor indexed="10"/>
                </patternFill>
              </fill>
            </x14:dxf>
          </x14:cfRule>
          <xm:sqref>J34</xm:sqref>
        </x14:conditionalFormatting>
        <x14:conditionalFormatting xmlns:xm="http://schemas.microsoft.com/office/excel/2006/main">
          <x14:cfRule type="expression" priority="16025" id="{16E9F4F9-C180-4330-A551-6EF7DD63A7BE}">
            <xm:f>AND(IF(Q34&gt;'F:\Users\norela.briceno\Documents\Plan de acción\Plan Accion 2018\[Plan Accion Integrado ADRES Vigencia 2018 con Cuadro de Mando V6..xlsx]Plan de Accion 2018'!#REF!,Q34&lt;&gt;¨N/A¨))</xm:f>
            <x14:dxf>
              <fill>
                <patternFill>
                  <bgColor theme="1" tint="0.499984740745262"/>
                </patternFill>
              </fill>
            </x14:dxf>
          </x14:cfRule>
          <x14:cfRule type="expression" priority="16026" stopIfTrue="1" id="{E501AA27-9981-4FFE-8301-679F348E0194}">
            <xm:f>AND(IF(Q34='F:\Users\norela.briceno\Documents\Plan de acción\Plan Accion 2018\[Plan Accion Integrado ADRES Vigencia 2018 con Cuadro de Mando V6..xlsx]Plan de Accion 2018'!#REF!,Q34&lt;&gt;"N/A"))</xm:f>
            <x14:dxf>
              <fill>
                <patternFill>
                  <bgColor rgb="FF00B050"/>
                </patternFill>
              </fill>
            </x14:dxf>
          </x14:cfRule>
          <x14:cfRule type="expression" priority="16027" stopIfTrue="1" id="{DE9504CA-C42B-4EAF-BA09-5E004DB615A6}">
            <xm:f>AND(IF(Q34&lt;'F:\Users\norela.briceno\Documents\Plan de acción\Plan Accion 2018\[Plan Accion Integrado ADRES Vigencia 2018 con Cuadro de Mando V6..xlsx]Plan de Accion 2018'!#REF!,Q34&lt;&gt;"N/A"))</xm:f>
            <x14:dxf>
              <fill>
                <patternFill>
                  <bgColor indexed="10"/>
                </patternFill>
              </fill>
            </x14:dxf>
          </x14:cfRule>
          <xm:sqref>Q34</xm:sqref>
        </x14:conditionalFormatting>
        <x14:conditionalFormatting xmlns:xm="http://schemas.microsoft.com/office/excel/2006/main">
          <x14:cfRule type="expression" priority="16022" id="{71CD58D4-4755-4FD5-B6BC-57969B5244C6}">
            <xm:f>AND(IF(X34&gt;'F:\Users\norela.briceno\Documents\Plan de acción\Plan Accion 2018\[Plan Accion Integrado ADRES Vigencia 2018 con Cuadro de Mando V6..xlsx]Plan de Accion 2018'!#REF!,X34&lt;&gt;¨N/A¨))</xm:f>
            <x14:dxf>
              <fill>
                <patternFill>
                  <bgColor theme="1" tint="0.499984740745262"/>
                </patternFill>
              </fill>
            </x14:dxf>
          </x14:cfRule>
          <x14:cfRule type="expression" priority="16023" stopIfTrue="1" id="{1E7F536E-0558-47DD-85B2-A524C959C291}">
            <xm:f>AND(IF(X34='F:\Users\norela.briceno\Documents\Plan de acción\Plan Accion 2018\[Plan Accion Integrado ADRES Vigencia 2018 con Cuadro de Mando V6..xlsx]Plan de Accion 2018'!#REF!,X34&lt;&gt;"N/A"))</xm:f>
            <x14:dxf>
              <fill>
                <patternFill>
                  <bgColor rgb="FF00B050"/>
                </patternFill>
              </fill>
            </x14:dxf>
          </x14:cfRule>
          <x14:cfRule type="expression" priority="16024" stopIfTrue="1" id="{06AE82B7-D12A-48F1-965F-1CE262E31962}">
            <xm:f>AND(IF(X34&lt;'F:\Users\norela.briceno\Documents\Plan de acción\Plan Accion 2018\[Plan Accion Integrado ADRES Vigencia 2018 con Cuadro de Mando V6..xlsx]Plan de Accion 2018'!#REF!,X34&lt;&gt;"N/A"))</xm:f>
            <x14:dxf>
              <fill>
                <patternFill>
                  <bgColor indexed="10"/>
                </patternFill>
              </fill>
            </x14:dxf>
          </x14:cfRule>
          <xm:sqref>X34</xm:sqref>
        </x14:conditionalFormatting>
        <x14:conditionalFormatting xmlns:xm="http://schemas.microsoft.com/office/excel/2006/main">
          <x14:cfRule type="expression" priority="16019" id="{BFF1F75C-BE51-426D-9C45-44C64491C61D}">
            <xm:f>AND(IF(AE34&gt;'F:\Users\norela.briceno\Documents\Plan de acción\Plan Accion 2018\[Plan Accion Integrado ADRES Vigencia 2018 con Cuadro de Mando V6..xlsx]Plan de Accion 2018'!#REF!,AE34&lt;&gt;¨N/A¨))</xm:f>
            <x14:dxf>
              <fill>
                <patternFill>
                  <bgColor theme="1" tint="0.499984740745262"/>
                </patternFill>
              </fill>
            </x14:dxf>
          </x14:cfRule>
          <x14:cfRule type="expression" priority="16020" stopIfTrue="1" id="{C10594BC-505D-4FCC-9C74-A88DE349E45A}">
            <xm:f>AND(IF(AE34='F:\Users\norela.briceno\Documents\Plan de acción\Plan Accion 2018\[Plan Accion Integrado ADRES Vigencia 2018 con Cuadro de Mando V6..xlsx]Plan de Accion 2018'!#REF!,AE34&lt;&gt;"N/A"))</xm:f>
            <x14:dxf>
              <fill>
                <patternFill>
                  <bgColor rgb="FF00B050"/>
                </patternFill>
              </fill>
            </x14:dxf>
          </x14:cfRule>
          <x14:cfRule type="expression" priority="16021" stopIfTrue="1" id="{3D0BB5D9-7087-4259-A6F5-13C7F3B2080C}">
            <xm:f>AND(IF(AE34&lt;'F:\Users\norela.briceno\Documents\Plan de acción\Plan Accion 2018\[Plan Accion Integrado ADRES Vigencia 2018 con Cuadro de Mando V6..xlsx]Plan de Accion 2018'!#REF!,AE34&lt;&gt;"N/A"))</xm:f>
            <x14:dxf>
              <fill>
                <patternFill>
                  <bgColor indexed="10"/>
                </patternFill>
              </fill>
            </x14:dxf>
          </x14:cfRule>
          <xm:sqref>AE34</xm:sqref>
        </x14:conditionalFormatting>
        <x14:conditionalFormatting xmlns:xm="http://schemas.microsoft.com/office/excel/2006/main">
          <x14:cfRule type="expression" priority="15951" id="{E20C7DC8-9128-47B0-9602-63B6EA854A8D}">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952" stopIfTrue="1" id="{4F271666-CD96-478F-A188-4EFCF97C6B73}">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953" stopIfTrue="1" id="{97452518-F7A1-43AB-8124-61352F946818}">
            <xm:f>AND(IF(J29&lt;'F:\Users\norela.briceno\Documents\Plan de acción\Plan Accion 2018\[Plan Accion Integrado ADRES Vigencia 2018 con Cuadro de Mando V6..xlsx]Plan de Accion 2018'!#REF!,J29&lt;&gt;"N/A"))</xm:f>
            <x14:dxf>
              <fill>
                <patternFill>
                  <bgColor indexed="10"/>
                </patternFill>
              </fill>
            </x14:dxf>
          </x14:cfRule>
          <xm:sqref>J29 Q29 AE29 X29 X31 AE31 Q31 J31</xm:sqref>
        </x14:conditionalFormatting>
        <x14:conditionalFormatting xmlns:xm="http://schemas.microsoft.com/office/excel/2006/main">
          <x14:cfRule type="expression" priority="15948" id="{BC8A87AA-DB99-4CD0-822D-E544782D6F4A}">
            <xm:f>AND(IF(J29&gt;'F:\Users\norela.briceno\Documents\Plan de acción\Plan Accion 2018\[Plan Accion Integrado ADRES Vigencia 2018 con Cuadro de Mando V6..xlsx]Plan de Accion 2018'!#REF!,J29&lt;&gt;¨N/A¨))</xm:f>
            <x14:dxf>
              <fill>
                <patternFill>
                  <bgColor theme="1" tint="0.499984740745262"/>
                </patternFill>
              </fill>
            </x14:dxf>
          </x14:cfRule>
          <x14:cfRule type="expression" priority="15949" stopIfTrue="1" id="{BBA65062-52EC-4D52-80F4-AE3C75A901E6}">
            <xm:f>AND(IF(J29='F:\Users\norela.briceno\Documents\Plan de acción\Plan Accion 2018\[Plan Accion Integrado ADRES Vigencia 2018 con Cuadro de Mando V6..xlsx]Plan de Accion 2018'!#REF!,J29&lt;&gt;"N/A"))</xm:f>
            <x14:dxf>
              <fill>
                <patternFill>
                  <bgColor rgb="FF00B050"/>
                </patternFill>
              </fill>
            </x14:dxf>
          </x14:cfRule>
          <x14:cfRule type="expression" priority="15950" stopIfTrue="1" id="{AAF82C5C-FCA9-4D62-B4E1-EAFB2148BD6E}">
            <xm:f>AND(IF(J29&lt;'F:\Users\norela.briceno\Documents\Plan de acción\Plan Accion 2018\[Plan Accion Integrado ADRES Vigencia 2018 con Cuadro de Mando V6..xlsx]Plan de Accion 2018'!#REF!,J29&lt;&gt;"N/A"))</xm:f>
            <x14:dxf>
              <fill>
                <patternFill>
                  <bgColor indexed="10"/>
                </patternFill>
              </fill>
            </x14:dxf>
          </x14:cfRule>
          <xm:sqref>J29 J31</xm:sqref>
        </x14:conditionalFormatting>
        <x14:conditionalFormatting xmlns:xm="http://schemas.microsoft.com/office/excel/2006/main">
          <x14:cfRule type="expression" priority="15945" id="{9DD4697C-03E2-4BA9-A91C-3ED55BB80409}">
            <xm:f>AND(IF(Q29&gt;'F:\Users\norela.briceno\Documents\Plan de acción\Plan Accion 2018\[Plan Accion Integrado ADRES Vigencia 2018 con Cuadro de Mando V6..xlsx]Plan de Accion 2018'!#REF!,Q29&lt;&gt;¨N/A¨))</xm:f>
            <x14:dxf>
              <fill>
                <patternFill>
                  <bgColor theme="1" tint="0.499984740745262"/>
                </patternFill>
              </fill>
            </x14:dxf>
          </x14:cfRule>
          <x14:cfRule type="expression" priority="15946" stopIfTrue="1" id="{01C37523-1723-457A-A7F5-4A5C6C533EFD}">
            <xm:f>AND(IF(Q29='F:\Users\norela.briceno\Documents\Plan de acción\Plan Accion 2018\[Plan Accion Integrado ADRES Vigencia 2018 con Cuadro de Mando V6..xlsx]Plan de Accion 2018'!#REF!,Q29&lt;&gt;"N/A"))</xm:f>
            <x14:dxf>
              <fill>
                <patternFill>
                  <bgColor rgb="FF00B050"/>
                </patternFill>
              </fill>
            </x14:dxf>
          </x14:cfRule>
          <x14:cfRule type="expression" priority="15947" stopIfTrue="1" id="{76FA6686-1DED-4B44-B570-6C9B51A3082B}">
            <xm:f>AND(IF(Q29&lt;'F:\Users\norela.briceno\Documents\Plan de acción\Plan Accion 2018\[Plan Accion Integrado ADRES Vigencia 2018 con Cuadro de Mando V6..xlsx]Plan de Accion 2018'!#REF!,Q29&lt;&gt;"N/A"))</xm:f>
            <x14:dxf>
              <fill>
                <patternFill>
                  <bgColor indexed="10"/>
                </patternFill>
              </fill>
            </x14:dxf>
          </x14:cfRule>
          <xm:sqref>Q29 Q31</xm:sqref>
        </x14:conditionalFormatting>
        <x14:conditionalFormatting xmlns:xm="http://schemas.microsoft.com/office/excel/2006/main">
          <x14:cfRule type="expression" priority="15942" id="{D4540D6A-5ABB-44D7-B3DA-A725D1E749C3}">
            <xm:f>AND(IF(X29&gt;'F:\Users\norela.briceno\Documents\Plan de acción\Plan Accion 2018\[Plan Accion Integrado ADRES Vigencia 2018 con Cuadro de Mando V6..xlsx]Plan de Accion 2018'!#REF!,X29&lt;&gt;¨N/A¨))</xm:f>
            <x14:dxf>
              <fill>
                <patternFill>
                  <bgColor theme="1" tint="0.499984740745262"/>
                </patternFill>
              </fill>
            </x14:dxf>
          </x14:cfRule>
          <x14:cfRule type="expression" priority="15943" stopIfTrue="1" id="{635A69A3-E736-4285-93F5-628A2EBA3204}">
            <xm:f>AND(IF(X29='F:\Users\norela.briceno\Documents\Plan de acción\Plan Accion 2018\[Plan Accion Integrado ADRES Vigencia 2018 con Cuadro de Mando V6..xlsx]Plan de Accion 2018'!#REF!,X29&lt;&gt;"N/A"))</xm:f>
            <x14:dxf>
              <fill>
                <patternFill>
                  <bgColor rgb="FF00B050"/>
                </patternFill>
              </fill>
            </x14:dxf>
          </x14:cfRule>
          <x14:cfRule type="expression" priority="15944" stopIfTrue="1" id="{45734FA6-B559-4971-B87C-81795C7EDA7A}">
            <xm:f>AND(IF(X29&lt;'F:\Users\norela.briceno\Documents\Plan de acción\Plan Accion 2018\[Plan Accion Integrado ADRES Vigencia 2018 con Cuadro de Mando V6..xlsx]Plan de Accion 2018'!#REF!,X29&lt;&gt;"N/A"))</xm:f>
            <x14:dxf>
              <fill>
                <patternFill>
                  <bgColor indexed="10"/>
                </patternFill>
              </fill>
            </x14:dxf>
          </x14:cfRule>
          <xm:sqref>X29 X31</xm:sqref>
        </x14:conditionalFormatting>
        <x14:conditionalFormatting xmlns:xm="http://schemas.microsoft.com/office/excel/2006/main">
          <x14:cfRule type="expression" priority="15939" id="{ECC63CF5-1657-4107-A58E-AEDA6CD731C2}">
            <xm:f>AND(IF(AE29&gt;'F:\Users\norela.briceno\Documents\Plan de acción\Plan Accion 2018\[Plan Accion Integrado ADRES Vigencia 2018 con Cuadro de Mando V6..xlsx]Plan de Accion 2018'!#REF!,AE29&lt;&gt;¨N/A¨))</xm:f>
            <x14:dxf>
              <fill>
                <patternFill>
                  <bgColor theme="1" tint="0.499984740745262"/>
                </patternFill>
              </fill>
            </x14:dxf>
          </x14:cfRule>
          <x14:cfRule type="expression" priority="15940" stopIfTrue="1" id="{01610812-E5C9-4D6B-A817-C31E144CB1FD}">
            <xm:f>AND(IF(AE29='F:\Users\norela.briceno\Documents\Plan de acción\Plan Accion 2018\[Plan Accion Integrado ADRES Vigencia 2018 con Cuadro de Mando V6..xlsx]Plan de Accion 2018'!#REF!,AE29&lt;&gt;"N/A"))</xm:f>
            <x14:dxf>
              <fill>
                <patternFill>
                  <bgColor rgb="FF00B050"/>
                </patternFill>
              </fill>
            </x14:dxf>
          </x14:cfRule>
          <x14:cfRule type="expression" priority="15941" stopIfTrue="1" id="{49543EB2-39D6-4E6B-B944-8630299DCA27}">
            <xm:f>AND(IF(AE29&lt;'F:\Users\norela.briceno\Documents\Plan de acción\Plan Accion 2018\[Plan Accion Integrado ADRES Vigencia 2018 con Cuadro de Mando V6..xlsx]Plan de Accion 2018'!#REF!,AE29&lt;&gt;"N/A"))</xm:f>
            <x14:dxf>
              <fill>
                <patternFill>
                  <bgColor indexed="10"/>
                </patternFill>
              </fill>
            </x14:dxf>
          </x14:cfRule>
          <xm:sqref>AE29 AE31</xm:sqref>
        </x14:conditionalFormatting>
        <x14:conditionalFormatting xmlns:xm="http://schemas.microsoft.com/office/excel/2006/main">
          <x14:cfRule type="expression" priority="15856" id="{68D95EDE-178F-4777-9718-314E45D333E7}">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857" stopIfTrue="1" id="{E395AAEC-DCEB-4298-8185-DC97C0F64971}">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858" stopIfTrue="1" id="{7516331E-E06E-4427-B07F-6C65BCC93C0B}">
            <xm:f>AND(IF(J60&lt;'F:\Users\norela.briceno\Documents\Plan de acción\Plan Accion 2018\[Plan Accion Integrado ADRES Vigencia 2018 con Cuadro de Mando V6..xlsx]Plan de Accion 2018'!#REF!,J60&lt;&gt;"N/A"))</xm:f>
            <x14:dxf>
              <fill>
                <patternFill>
                  <bgColor indexed="10"/>
                </patternFill>
              </fill>
            </x14:dxf>
          </x14:cfRule>
          <xm:sqref>J60 Q60 AE60 X60</xm:sqref>
        </x14:conditionalFormatting>
        <x14:conditionalFormatting xmlns:xm="http://schemas.microsoft.com/office/excel/2006/main">
          <x14:cfRule type="expression" priority="15853" id="{F317D4FE-06F6-4300-BAB2-0B43BF28486F}">
            <xm:f>AND(IF(J60&gt;'F:\Users\norela.briceno\Documents\Plan de acción\Plan Accion 2018\[Plan Accion Integrado ADRES Vigencia 2018 con Cuadro de Mando V6..xlsx]Plan de Accion 2018'!#REF!,J60&lt;&gt;¨N/A¨))</xm:f>
            <x14:dxf>
              <fill>
                <patternFill>
                  <bgColor theme="1" tint="0.499984740745262"/>
                </patternFill>
              </fill>
            </x14:dxf>
          </x14:cfRule>
          <x14:cfRule type="expression" priority="15854" stopIfTrue="1" id="{DDA90491-6209-459A-94B9-ABA46FFA6EE8}">
            <xm:f>AND(IF(J60='F:\Users\norela.briceno\Documents\Plan de acción\Plan Accion 2018\[Plan Accion Integrado ADRES Vigencia 2018 con Cuadro de Mando V6..xlsx]Plan de Accion 2018'!#REF!,J60&lt;&gt;"N/A"))</xm:f>
            <x14:dxf>
              <fill>
                <patternFill>
                  <bgColor rgb="FF00B050"/>
                </patternFill>
              </fill>
            </x14:dxf>
          </x14:cfRule>
          <x14:cfRule type="expression" priority="15855" stopIfTrue="1" id="{3758AB8D-2615-40E7-B735-2809FF287F7A}">
            <xm:f>AND(IF(J60&lt;'F:\Users\norela.briceno\Documents\Plan de acción\Plan Accion 2018\[Plan Accion Integrado ADRES Vigencia 2018 con Cuadro de Mando V6..xlsx]Plan de Accion 2018'!#REF!,J60&lt;&gt;"N/A"))</xm:f>
            <x14:dxf>
              <fill>
                <patternFill>
                  <bgColor indexed="10"/>
                </patternFill>
              </fill>
            </x14:dxf>
          </x14:cfRule>
          <xm:sqref>J60</xm:sqref>
        </x14:conditionalFormatting>
        <x14:conditionalFormatting xmlns:xm="http://schemas.microsoft.com/office/excel/2006/main">
          <x14:cfRule type="expression" priority="15850" id="{343A1453-2D63-4869-8361-2670121EECFC}">
            <xm:f>AND(IF(Q60&gt;'F:\Users\norela.briceno\Documents\Plan de acción\Plan Accion 2018\[Plan Accion Integrado ADRES Vigencia 2018 con Cuadro de Mando V6..xlsx]Plan de Accion 2018'!#REF!,Q60&lt;&gt;¨N/A¨))</xm:f>
            <x14:dxf>
              <fill>
                <patternFill>
                  <bgColor theme="1" tint="0.499984740745262"/>
                </patternFill>
              </fill>
            </x14:dxf>
          </x14:cfRule>
          <x14:cfRule type="expression" priority="15851" stopIfTrue="1" id="{AC41AEDF-FEB9-4ABB-8FC3-A81E4FDA4905}">
            <xm:f>AND(IF(Q60='F:\Users\norela.briceno\Documents\Plan de acción\Plan Accion 2018\[Plan Accion Integrado ADRES Vigencia 2018 con Cuadro de Mando V6..xlsx]Plan de Accion 2018'!#REF!,Q60&lt;&gt;"N/A"))</xm:f>
            <x14:dxf>
              <fill>
                <patternFill>
                  <bgColor rgb="FF00B050"/>
                </patternFill>
              </fill>
            </x14:dxf>
          </x14:cfRule>
          <x14:cfRule type="expression" priority="15852" stopIfTrue="1" id="{2A5E7A10-6468-45D9-ACAF-75FA1BB781B4}">
            <xm:f>AND(IF(Q60&lt;'F:\Users\norela.briceno\Documents\Plan de acción\Plan Accion 2018\[Plan Accion Integrado ADRES Vigencia 2018 con Cuadro de Mando V6..xlsx]Plan de Accion 2018'!#REF!,Q60&lt;&gt;"N/A"))</xm:f>
            <x14:dxf>
              <fill>
                <patternFill>
                  <bgColor indexed="10"/>
                </patternFill>
              </fill>
            </x14:dxf>
          </x14:cfRule>
          <xm:sqref>Q60</xm:sqref>
        </x14:conditionalFormatting>
        <x14:conditionalFormatting xmlns:xm="http://schemas.microsoft.com/office/excel/2006/main">
          <x14:cfRule type="expression" priority="15847" id="{A4B7E29C-0078-4E31-8CB5-2958E0997A6C}">
            <xm:f>AND(IF(X60&gt;'F:\Users\norela.briceno\Documents\Plan de acción\Plan Accion 2018\[Plan Accion Integrado ADRES Vigencia 2018 con Cuadro de Mando V6..xlsx]Plan de Accion 2018'!#REF!,X60&lt;&gt;¨N/A¨))</xm:f>
            <x14:dxf>
              <fill>
                <patternFill>
                  <bgColor theme="1" tint="0.499984740745262"/>
                </patternFill>
              </fill>
            </x14:dxf>
          </x14:cfRule>
          <x14:cfRule type="expression" priority="15848" stopIfTrue="1" id="{C80018D4-D9DE-422A-B86F-F5DC206DFE55}">
            <xm:f>AND(IF(X60='F:\Users\norela.briceno\Documents\Plan de acción\Plan Accion 2018\[Plan Accion Integrado ADRES Vigencia 2018 con Cuadro de Mando V6..xlsx]Plan de Accion 2018'!#REF!,X60&lt;&gt;"N/A"))</xm:f>
            <x14:dxf>
              <fill>
                <patternFill>
                  <bgColor rgb="FF00B050"/>
                </patternFill>
              </fill>
            </x14:dxf>
          </x14:cfRule>
          <x14:cfRule type="expression" priority="15849" stopIfTrue="1" id="{4D01DA17-530B-4325-9EC5-A7334EEE2BA3}">
            <xm:f>AND(IF(X60&lt;'F:\Users\norela.briceno\Documents\Plan de acción\Plan Accion 2018\[Plan Accion Integrado ADRES Vigencia 2018 con Cuadro de Mando V6..xlsx]Plan de Accion 2018'!#REF!,X60&lt;&gt;"N/A"))</xm:f>
            <x14:dxf>
              <fill>
                <patternFill>
                  <bgColor indexed="10"/>
                </patternFill>
              </fill>
            </x14:dxf>
          </x14:cfRule>
          <xm:sqref>X60</xm:sqref>
        </x14:conditionalFormatting>
        <x14:conditionalFormatting xmlns:xm="http://schemas.microsoft.com/office/excel/2006/main">
          <x14:cfRule type="expression" priority="15844" id="{C551DAEA-2227-41C3-B513-CEC165932429}">
            <xm:f>AND(IF(AE60&gt;'F:\Users\norela.briceno\Documents\Plan de acción\Plan Accion 2018\[Plan Accion Integrado ADRES Vigencia 2018 con Cuadro de Mando V6..xlsx]Plan de Accion 2018'!#REF!,AE60&lt;&gt;¨N/A¨))</xm:f>
            <x14:dxf>
              <fill>
                <patternFill>
                  <bgColor theme="1" tint="0.499984740745262"/>
                </patternFill>
              </fill>
            </x14:dxf>
          </x14:cfRule>
          <x14:cfRule type="expression" priority="15845" stopIfTrue="1" id="{9E5A2DB7-0E7F-4126-B148-A4CB24AB9D52}">
            <xm:f>AND(IF(AE60='F:\Users\norela.briceno\Documents\Plan de acción\Plan Accion 2018\[Plan Accion Integrado ADRES Vigencia 2018 con Cuadro de Mando V6..xlsx]Plan de Accion 2018'!#REF!,AE60&lt;&gt;"N/A"))</xm:f>
            <x14:dxf>
              <fill>
                <patternFill>
                  <bgColor rgb="FF00B050"/>
                </patternFill>
              </fill>
            </x14:dxf>
          </x14:cfRule>
          <x14:cfRule type="expression" priority="15846" stopIfTrue="1" id="{2A00B6F2-3FF3-4D52-BBAA-0773E3FBAF27}">
            <xm:f>AND(IF(AE60&lt;'F:\Users\norela.briceno\Documents\Plan de acción\Plan Accion 2018\[Plan Accion Integrado ADRES Vigencia 2018 con Cuadro de Mando V6..xlsx]Plan de Accion 2018'!#REF!,AE60&lt;&gt;"N/A"))</xm:f>
            <x14:dxf>
              <fill>
                <patternFill>
                  <bgColor indexed="10"/>
                </patternFill>
              </fill>
            </x14:dxf>
          </x14:cfRule>
          <xm:sqref>AE60</xm:sqref>
        </x14:conditionalFormatting>
        <x14:conditionalFormatting xmlns:xm="http://schemas.microsoft.com/office/excel/2006/main">
          <x14:cfRule type="expression" priority="15796" id="{54298840-0BEB-4994-87CB-BE5CB4B308AE}">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797" stopIfTrue="1" id="{DA435023-C7B9-4E32-8202-3DEB503B1398}">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798" stopIfTrue="1" id="{C4167C50-0F78-4352-BB3F-B63D92CABA9B}">
            <xm:f>AND(IF(J65&lt;'F:\Users\norela.briceno\Documents\Plan de acción\Plan Accion 2018\[Plan Accion Integrado ADRES Vigencia 2018 con Cuadro de Mando V6..xlsx]Plan de Accion 2018'!#REF!,J65&lt;&gt;"N/A"))</xm:f>
            <x14:dxf>
              <fill>
                <patternFill>
                  <bgColor indexed="10"/>
                </patternFill>
              </fill>
            </x14:dxf>
          </x14:cfRule>
          <xm:sqref>J65 Q65 AE65 X65</xm:sqref>
        </x14:conditionalFormatting>
        <x14:conditionalFormatting xmlns:xm="http://schemas.microsoft.com/office/excel/2006/main">
          <x14:cfRule type="expression" priority="15793" id="{AAD0DC85-150F-4B74-82D0-2A4F478E1708}">
            <xm:f>AND(IF(J65&gt;'F:\Users\norela.briceno\Documents\Plan de acción\Plan Accion 2018\[Plan Accion Integrado ADRES Vigencia 2018 con Cuadro de Mando V6..xlsx]Plan de Accion 2018'!#REF!,J65&lt;&gt;¨N/A¨))</xm:f>
            <x14:dxf>
              <fill>
                <patternFill>
                  <bgColor theme="1" tint="0.499984740745262"/>
                </patternFill>
              </fill>
            </x14:dxf>
          </x14:cfRule>
          <x14:cfRule type="expression" priority="15794" stopIfTrue="1" id="{A8DB58C8-DD80-493E-BF3B-94081E0C7902}">
            <xm:f>AND(IF(J65='F:\Users\norela.briceno\Documents\Plan de acción\Plan Accion 2018\[Plan Accion Integrado ADRES Vigencia 2018 con Cuadro de Mando V6..xlsx]Plan de Accion 2018'!#REF!,J65&lt;&gt;"N/A"))</xm:f>
            <x14:dxf>
              <fill>
                <patternFill>
                  <bgColor rgb="FF00B050"/>
                </patternFill>
              </fill>
            </x14:dxf>
          </x14:cfRule>
          <x14:cfRule type="expression" priority="15795" stopIfTrue="1" id="{39B30B29-16E3-431D-91F5-23D39EA6B961}">
            <xm:f>AND(IF(J65&lt;'F:\Users\norela.briceno\Documents\Plan de acción\Plan Accion 2018\[Plan Accion Integrado ADRES Vigencia 2018 con Cuadro de Mando V6..xlsx]Plan de Accion 2018'!#REF!,J65&lt;&gt;"N/A"))</xm:f>
            <x14:dxf>
              <fill>
                <patternFill>
                  <bgColor indexed="10"/>
                </patternFill>
              </fill>
            </x14:dxf>
          </x14:cfRule>
          <xm:sqref>J65</xm:sqref>
        </x14:conditionalFormatting>
        <x14:conditionalFormatting xmlns:xm="http://schemas.microsoft.com/office/excel/2006/main">
          <x14:cfRule type="expression" priority="15790" id="{5477ADCF-B6C9-4D7A-A8DA-332B83D915AC}">
            <xm:f>AND(IF(Q65&gt;'F:\Users\norela.briceno\Documents\Plan de acción\Plan Accion 2018\[Plan Accion Integrado ADRES Vigencia 2018 con Cuadro de Mando V6..xlsx]Plan de Accion 2018'!#REF!,Q65&lt;&gt;¨N/A¨))</xm:f>
            <x14:dxf>
              <fill>
                <patternFill>
                  <bgColor theme="1" tint="0.499984740745262"/>
                </patternFill>
              </fill>
            </x14:dxf>
          </x14:cfRule>
          <x14:cfRule type="expression" priority="15791" stopIfTrue="1" id="{C3A00E75-0339-4ACC-A896-9C3B2DE69F9F}">
            <xm:f>AND(IF(Q65='F:\Users\norela.briceno\Documents\Plan de acción\Plan Accion 2018\[Plan Accion Integrado ADRES Vigencia 2018 con Cuadro de Mando V6..xlsx]Plan de Accion 2018'!#REF!,Q65&lt;&gt;"N/A"))</xm:f>
            <x14:dxf>
              <fill>
                <patternFill>
                  <bgColor rgb="FF00B050"/>
                </patternFill>
              </fill>
            </x14:dxf>
          </x14:cfRule>
          <x14:cfRule type="expression" priority="15792" stopIfTrue="1" id="{2EEAC754-2805-4840-A205-56ED42D6ED8C}">
            <xm:f>AND(IF(Q65&lt;'F:\Users\norela.briceno\Documents\Plan de acción\Plan Accion 2018\[Plan Accion Integrado ADRES Vigencia 2018 con Cuadro de Mando V6..xlsx]Plan de Accion 2018'!#REF!,Q65&lt;&gt;"N/A"))</xm:f>
            <x14:dxf>
              <fill>
                <patternFill>
                  <bgColor indexed="10"/>
                </patternFill>
              </fill>
            </x14:dxf>
          </x14:cfRule>
          <xm:sqref>Q65</xm:sqref>
        </x14:conditionalFormatting>
        <x14:conditionalFormatting xmlns:xm="http://schemas.microsoft.com/office/excel/2006/main">
          <x14:cfRule type="expression" priority="15787" id="{5771593B-4B29-40C0-B146-A9D4C7485256}">
            <xm:f>AND(IF(X65&gt;'F:\Users\norela.briceno\Documents\Plan de acción\Plan Accion 2018\[Plan Accion Integrado ADRES Vigencia 2018 con Cuadro de Mando V6..xlsx]Plan de Accion 2018'!#REF!,X65&lt;&gt;¨N/A¨))</xm:f>
            <x14:dxf>
              <fill>
                <patternFill>
                  <bgColor theme="1" tint="0.499984740745262"/>
                </patternFill>
              </fill>
            </x14:dxf>
          </x14:cfRule>
          <x14:cfRule type="expression" priority="15788" stopIfTrue="1" id="{53019178-7A76-4612-A282-97C48C84CC05}">
            <xm:f>AND(IF(X65='F:\Users\norela.briceno\Documents\Plan de acción\Plan Accion 2018\[Plan Accion Integrado ADRES Vigencia 2018 con Cuadro de Mando V6..xlsx]Plan de Accion 2018'!#REF!,X65&lt;&gt;"N/A"))</xm:f>
            <x14:dxf>
              <fill>
                <patternFill>
                  <bgColor rgb="FF00B050"/>
                </patternFill>
              </fill>
            </x14:dxf>
          </x14:cfRule>
          <x14:cfRule type="expression" priority="15789" stopIfTrue="1" id="{8CFAE905-411E-4E1D-820A-E94A32AF104C}">
            <xm:f>AND(IF(X65&lt;'F:\Users\norela.briceno\Documents\Plan de acción\Plan Accion 2018\[Plan Accion Integrado ADRES Vigencia 2018 con Cuadro de Mando V6..xlsx]Plan de Accion 2018'!#REF!,X65&lt;&gt;"N/A"))</xm:f>
            <x14:dxf>
              <fill>
                <patternFill>
                  <bgColor indexed="10"/>
                </patternFill>
              </fill>
            </x14:dxf>
          </x14:cfRule>
          <xm:sqref>X65</xm:sqref>
        </x14:conditionalFormatting>
        <x14:conditionalFormatting xmlns:xm="http://schemas.microsoft.com/office/excel/2006/main">
          <x14:cfRule type="expression" priority="15784" id="{18C0EC46-D2EF-47E1-885E-4B7766901B85}">
            <xm:f>AND(IF(AE65&gt;'F:\Users\norela.briceno\Documents\Plan de acción\Plan Accion 2018\[Plan Accion Integrado ADRES Vigencia 2018 con Cuadro de Mando V6..xlsx]Plan de Accion 2018'!#REF!,AE65&lt;&gt;¨N/A¨))</xm:f>
            <x14:dxf>
              <fill>
                <patternFill>
                  <bgColor theme="1" tint="0.499984740745262"/>
                </patternFill>
              </fill>
            </x14:dxf>
          </x14:cfRule>
          <x14:cfRule type="expression" priority="15785" stopIfTrue="1" id="{BF13FC0D-424C-44ED-BC67-F79E536EE9A7}">
            <xm:f>AND(IF(AE65='F:\Users\norela.briceno\Documents\Plan de acción\Plan Accion 2018\[Plan Accion Integrado ADRES Vigencia 2018 con Cuadro de Mando V6..xlsx]Plan de Accion 2018'!#REF!,AE65&lt;&gt;"N/A"))</xm:f>
            <x14:dxf>
              <fill>
                <patternFill>
                  <bgColor rgb="FF00B050"/>
                </patternFill>
              </fill>
            </x14:dxf>
          </x14:cfRule>
          <x14:cfRule type="expression" priority="15786" stopIfTrue="1" id="{0158599C-BDA2-4664-90F7-0C9362CFCE23}">
            <xm:f>AND(IF(AE65&lt;'F:\Users\norela.briceno\Documents\Plan de acción\Plan Accion 2018\[Plan Accion Integrado ADRES Vigencia 2018 con Cuadro de Mando V6..xlsx]Plan de Accion 2018'!#REF!,AE65&lt;&gt;"N/A"))</xm:f>
            <x14:dxf>
              <fill>
                <patternFill>
                  <bgColor indexed="10"/>
                </patternFill>
              </fill>
            </x14:dxf>
          </x14:cfRule>
          <xm:sqref>AE65</xm:sqref>
        </x14:conditionalFormatting>
        <x14:conditionalFormatting xmlns:xm="http://schemas.microsoft.com/office/excel/2006/main">
          <x14:cfRule type="expression" priority="15284" id="{D1CC3B4C-B84E-4E8F-9530-290E50D09CC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5285" stopIfTrue="1" id="{06A18C40-FFB8-40A5-93D2-5B384EE73237}">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5286" stopIfTrue="1" id="{5AE77F3B-C11E-41C9-B1C5-7CBDB3656667}">
            <xm:f>AND(IF(J40&lt;'F:\Users\norela.briceno\Documents\Plan de acción\Plan Accion 2018\[Plan Accion Integrado ADRES Vigencia 2018 con Cuadro de Mando V6..xlsx]Plan de Accion 2018'!#REF!,J40&lt;&gt;"N/A"))</xm:f>
            <x14:dxf>
              <fill>
                <patternFill>
                  <bgColor indexed="10"/>
                </patternFill>
              </fill>
            </x14:dxf>
          </x14:cfRule>
          <xm:sqref>J40 Q40 AE40 X40</xm:sqref>
        </x14:conditionalFormatting>
        <x14:conditionalFormatting xmlns:xm="http://schemas.microsoft.com/office/excel/2006/main">
          <x14:cfRule type="expression" priority="15281" id="{C201ED86-99EA-4BFF-98D3-106DB846B3D1}">
            <xm:f>AND(IF(J40&gt;'F:\Users\norela.briceno\Documents\Plan de acción\Plan Accion 2018\[Plan Accion Integrado ADRES Vigencia 2018 con Cuadro de Mando V6..xlsx]Plan de Accion 2018'!#REF!,J40&lt;&gt;¨N/A¨))</xm:f>
            <x14:dxf>
              <fill>
                <patternFill>
                  <bgColor theme="1" tint="0.499984740745262"/>
                </patternFill>
              </fill>
            </x14:dxf>
          </x14:cfRule>
          <x14:cfRule type="expression" priority="15282" stopIfTrue="1" id="{835F2232-4300-4147-BE64-49731700D3A2}">
            <xm:f>AND(IF(J40='F:\Users\norela.briceno\Documents\Plan de acción\Plan Accion 2018\[Plan Accion Integrado ADRES Vigencia 2018 con Cuadro de Mando V6..xlsx]Plan de Accion 2018'!#REF!,J40&lt;&gt;"N/A"))</xm:f>
            <x14:dxf>
              <fill>
                <patternFill>
                  <bgColor rgb="FF00B050"/>
                </patternFill>
              </fill>
            </x14:dxf>
          </x14:cfRule>
          <x14:cfRule type="expression" priority="15283" stopIfTrue="1" id="{79820CF9-C510-4128-999A-7624E3EA41A0}">
            <xm:f>AND(IF(J40&lt;'F:\Users\norela.briceno\Documents\Plan de acción\Plan Accion 2018\[Plan Accion Integrado ADRES Vigencia 2018 con Cuadro de Mando V6..xlsx]Plan de Accion 2018'!#REF!,J40&lt;&gt;"N/A"))</xm:f>
            <x14:dxf>
              <fill>
                <patternFill>
                  <bgColor indexed="10"/>
                </patternFill>
              </fill>
            </x14:dxf>
          </x14:cfRule>
          <xm:sqref>J40</xm:sqref>
        </x14:conditionalFormatting>
        <x14:conditionalFormatting xmlns:xm="http://schemas.microsoft.com/office/excel/2006/main">
          <x14:cfRule type="expression" priority="15278" id="{2CC2A538-F306-4325-8066-51DD9F9F99F0}">
            <xm:f>AND(IF(Q40&gt;'F:\Users\norela.briceno\Documents\Plan de acción\Plan Accion 2018\[Plan Accion Integrado ADRES Vigencia 2018 con Cuadro de Mando V6..xlsx]Plan de Accion 2018'!#REF!,Q40&lt;&gt;¨N/A¨))</xm:f>
            <x14:dxf>
              <fill>
                <patternFill>
                  <bgColor theme="1" tint="0.499984740745262"/>
                </patternFill>
              </fill>
            </x14:dxf>
          </x14:cfRule>
          <x14:cfRule type="expression" priority="15279" stopIfTrue="1" id="{579741F0-9B9A-4124-A43A-04A79264F07A}">
            <xm:f>AND(IF(Q40='F:\Users\norela.briceno\Documents\Plan de acción\Plan Accion 2018\[Plan Accion Integrado ADRES Vigencia 2018 con Cuadro de Mando V6..xlsx]Plan de Accion 2018'!#REF!,Q40&lt;&gt;"N/A"))</xm:f>
            <x14:dxf>
              <fill>
                <patternFill>
                  <bgColor rgb="FF00B050"/>
                </patternFill>
              </fill>
            </x14:dxf>
          </x14:cfRule>
          <x14:cfRule type="expression" priority="15280" stopIfTrue="1" id="{AA69AD75-F833-4AD2-B434-75956ECE1187}">
            <xm:f>AND(IF(Q40&lt;'F:\Users\norela.briceno\Documents\Plan de acción\Plan Accion 2018\[Plan Accion Integrado ADRES Vigencia 2018 con Cuadro de Mando V6..xlsx]Plan de Accion 2018'!#REF!,Q40&lt;&gt;"N/A"))</xm:f>
            <x14:dxf>
              <fill>
                <patternFill>
                  <bgColor indexed="10"/>
                </patternFill>
              </fill>
            </x14:dxf>
          </x14:cfRule>
          <xm:sqref>Q40</xm:sqref>
        </x14:conditionalFormatting>
        <x14:conditionalFormatting xmlns:xm="http://schemas.microsoft.com/office/excel/2006/main">
          <x14:cfRule type="expression" priority="15275" id="{7DAE7C3B-388C-4046-8373-756425979C86}">
            <xm:f>AND(IF(X40&gt;'F:\Users\norela.briceno\Documents\Plan de acción\Plan Accion 2018\[Plan Accion Integrado ADRES Vigencia 2018 con Cuadro de Mando V6..xlsx]Plan de Accion 2018'!#REF!,X40&lt;&gt;¨N/A¨))</xm:f>
            <x14:dxf>
              <fill>
                <patternFill>
                  <bgColor theme="1" tint="0.499984740745262"/>
                </patternFill>
              </fill>
            </x14:dxf>
          </x14:cfRule>
          <x14:cfRule type="expression" priority="15276" stopIfTrue="1" id="{6535CB50-07AD-41FB-852D-C8D8CD1FD623}">
            <xm:f>AND(IF(X40='F:\Users\norela.briceno\Documents\Plan de acción\Plan Accion 2018\[Plan Accion Integrado ADRES Vigencia 2018 con Cuadro de Mando V6..xlsx]Plan de Accion 2018'!#REF!,X40&lt;&gt;"N/A"))</xm:f>
            <x14:dxf>
              <fill>
                <patternFill>
                  <bgColor rgb="FF00B050"/>
                </patternFill>
              </fill>
            </x14:dxf>
          </x14:cfRule>
          <x14:cfRule type="expression" priority="15277" stopIfTrue="1" id="{8C29E584-1D46-4706-AA0D-75C9FC08A018}">
            <xm:f>AND(IF(X40&lt;'F:\Users\norela.briceno\Documents\Plan de acción\Plan Accion 2018\[Plan Accion Integrado ADRES Vigencia 2018 con Cuadro de Mando V6..xlsx]Plan de Accion 2018'!#REF!,X40&lt;&gt;"N/A"))</xm:f>
            <x14:dxf>
              <fill>
                <patternFill>
                  <bgColor indexed="10"/>
                </patternFill>
              </fill>
            </x14:dxf>
          </x14:cfRule>
          <xm:sqref>X40</xm:sqref>
        </x14:conditionalFormatting>
        <x14:conditionalFormatting xmlns:xm="http://schemas.microsoft.com/office/excel/2006/main">
          <x14:cfRule type="expression" priority="15272" id="{0FD65569-E64E-4AC7-9681-CFF04F31C8A5}">
            <xm:f>AND(IF(AE40&gt;'F:\Users\norela.briceno\Documents\Plan de acción\Plan Accion 2018\[Plan Accion Integrado ADRES Vigencia 2018 con Cuadro de Mando V6..xlsx]Plan de Accion 2018'!#REF!,AE40&lt;&gt;¨N/A¨))</xm:f>
            <x14:dxf>
              <fill>
                <patternFill>
                  <bgColor theme="1" tint="0.499984740745262"/>
                </patternFill>
              </fill>
            </x14:dxf>
          </x14:cfRule>
          <x14:cfRule type="expression" priority="15273" stopIfTrue="1" id="{73794AD4-08B5-4671-BBFF-EE398A549A87}">
            <xm:f>AND(IF(AE40='F:\Users\norela.briceno\Documents\Plan de acción\Plan Accion 2018\[Plan Accion Integrado ADRES Vigencia 2018 con Cuadro de Mando V6..xlsx]Plan de Accion 2018'!#REF!,AE40&lt;&gt;"N/A"))</xm:f>
            <x14:dxf>
              <fill>
                <patternFill>
                  <bgColor rgb="FF00B050"/>
                </patternFill>
              </fill>
            </x14:dxf>
          </x14:cfRule>
          <x14:cfRule type="expression" priority="15274" stopIfTrue="1" id="{D5DDCDC7-B3BA-4A43-AF6D-19EEC71C2B5E}">
            <xm:f>AND(IF(AE40&lt;'F:\Users\norela.briceno\Documents\Plan de acción\Plan Accion 2018\[Plan Accion Integrado ADRES Vigencia 2018 con Cuadro de Mando V6..xlsx]Plan de Accion 2018'!#REF!,AE40&lt;&gt;"N/A"))</xm:f>
            <x14:dxf>
              <fill>
                <patternFill>
                  <bgColor indexed="10"/>
                </patternFill>
              </fill>
            </x14:dxf>
          </x14:cfRule>
          <xm:sqref>AE40</xm:sqref>
        </x14:conditionalFormatting>
        <x14:conditionalFormatting xmlns:xm="http://schemas.microsoft.com/office/excel/2006/main">
          <x14:cfRule type="expression" priority="15219" id="{CD3A6A47-ABB8-4AC6-925E-6341CCFFEF23}">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220" stopIfTrue="1" id="{0E84F491-38F0-48EB-9F04-E56118051729}">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221" stopIfTrue="1" id="{32B9CF14-8ACB-4660-8585-E588C11733FC}">
            <xm:f>AND(IF(J42&lt;'F:\Users\norela.briceno\Documents\Plan de acción\Plan Accion 2018\[Plan Accion Integrado ADRES Vigencia 2018 con Cuadro de Mando V6..xlsx]Plan de Accion 2018'!#REF!,J42&lt;&gt;"N/A"))</xm:f>
            <x14:dxf>
              <fill>
                <patternFill>
                  <bgColor indexed="10"/>
                </patternFill>
              </fill>
            </x14:dxf>
          </x14:cfRule>
          <xm:sqref>J42 Q42 AE42 X42 J47 Q47 X47 AE47 J49 Q49 X49 AE49 J53 Q53 X53 AE53</xm:sqref>
        </x14:conditionalFormatting>
        <x14:conditionalFormatting xmlns:xm="http://schemas.microsoft.com/office/excel/2006/main">
          <x14:cfRule type="expression" priority="15216" id="{CD5A2906-39C5-48A7-B482-DB1394C10E54}">
            <xm:f>AND(IF(J42&gt;'F:\Users\norela.briceno\Documents\Plan de acción\Plan Accion 2018\[Plan Accion Integrado ADRES Vigencia 2018 con Cuadro de Mando V6..xlsx]Plan de Accion 2018'!#REF!,J42&lt;&gt;¨N/A¨))</xm:f>
            <x14:dxf>
              <fill>
                <patternFill>
                  <bgColor theme="1" tint="0.499984740745262"/>
                </patternFill>
              </fill>
            </x14:dxf>
          </x14:cfRule>
          <x14:cfRule type="expression" priority="15217" stopIfTrue="1" id="{829C1036-2019-4E8F-833A-6AB367816340}">
            <xm:f>AND(IF(J42='F:\Users\norela.briceno\Documents\Plan de acción\Plan Accion 2018\[Plan Accion Integrado ADRES Vigencia 2018 con Cuadro de Mando V6..xlsx]Plan de Accion 2018'!#REF!,J42&lt;&gt;"N/A"))</xm:f>
            <x14:dxf>
              <fill>
                <patternFill>
                  <bgColor rgb="FF00B050"/>
                </patternFill>
              </fill>
            </x14:dxf>
          </x14:cfRule>
          <x14:cfRule type="expression" priority="15218" stopIfTrue="1" id="{A1A91FAA-886F-4D34-A2F7-90822DAF70F0}">
            <xm:f>AND(IF(J42&lt;'F:\Users\norela.briceno\Documents\Plan de acción\Plan Accion 2018\[Plan Accion Integrado ADRES Vigencia 2018 con Cuadro de Mando V6..xlsx]Plan de Accion 2018'!#REF!,J42&lt;&gt;"N/A"))</xm:f>
            <x14:dxf>
              <fill>
                <patternFill>
                  <bgColor indexed="10"/>
                </patternFill>
              </fill>
            </x14:dxf>
          </x14:cfRule>
          <xm:sqref>J42 J47 J49 J53</xm:sqref>
        </x14:conditionalFormatting>
        <x14:conditionalFormatting xmlns:xm="http://schemas.microsoft.com/office/excel/2006/main">
          <x14:cfRule type="expression" priority="15213" id="{B3914C2E-6C48-47FD-A6E2-339A66522AC1}">
            <xm:f>AND(IF(Q42&gt;'F:\Users\norela.briceno\Documents\Plan de acción\Plan Accion 2018\[Plan Accion Integrado ADRES Vigencia 2018 con Cuadro de Mando V6..xlsx]Plan de Accion 2018'!#REF!,Q42&lt;&gt;¨N/A¨))</xm:f>
            <x14:dxf>
              <fill>
                <patternFill>
                  <bgColor theme="1" tint="0.499984740745262"/>
                </patternFill>
              </fill>
            </x14:dxf>
          </x14:cfRule>
          <x14:cfRule type="expression" priority="15214" stopIfTrue="1" id="{E4109FC0-8421-438B-9FB5-C866B0684741}">
            <xm:f>AND(IF(Q42='F:\Users\norela.briceno\Documents\Plan de acción\Plan Accion 2018\[Plan Accion Integrado ADRES Vigencia 2018 con Cuadro de Mando V6..xlsx]Plan de Accion 2018'!#REF!,Q42&lt;&gt;"N/A"))</xm:f>
            <x14:dxf>
              <fill>
                <patternFill>
                  <bgColor rgb="FF00B050"/>
                </patternFill>
              </fill>
            </x14:dxf>
          </x14:cfRule>
          <x14:cfRule type="expression" priority="15215" stopIfTrue="1" id="{33BD8AB4-AE62-459F-898E-56CDD7FCE8E9}">
            <xm:f>AND(IF(Q42&lt;'F:\Users\norela.briceno\Documents\Plan de acción\Plan Accion 2018\[Plan Accion Integrado ADRES Vigencia 2018 con Cuadro de Mando V6..xlsx]Plan de Accion 2018'!#REF!,Q42&lt;&gt;"N/A"))</xm:f>
            <x14:dxf>
              <fill>
                <patternFill>
                  <bgColor indexed="10"/>
                </patternFill>
              </fill>
            </x14:dxf>
          </x14:cfRule>
          <xm:sqref>Q42 Q47 Q49 Q53</xm:sqref>
        </x14:conditionalFormatting>
        <x14:conditionalFormatting xmlns:xm="http://schemas.microsoft.com/office/excel/2006/main">
          <x14:cfRule type="expression" priority="15210" id="{9822719E-A25D-404E-ADF0-B277F020D032}">
            <xm:f>AND(IF(X42&gt;'F:\Users\norela.briceno\Documents\Plan de acción\Plan Accion 2018\[Plan Accion Integrado ADRES Vigencia 2018 con Cuadro de Mando V6..xlsx]Plan de Accion 2018'!#REF!,X42&lt;&gt;¨N/A¨))</xm:f>
            <x14:dxf>
              <fill>
                <patternFill>
                  <bgColor theme="1" tint="0.499984740745262"/>
                </patternFill>
              </fill>
            </x14:dxf>
          </x14:cfRule>
          <x14:cfRule type="expression" priority="15211" stopIfTrue="1" id="{ECA9F347-20BA-4093-9017-D836D4FA305C}">
            <xm:f>AND(IF(X42='F:\Users\norela.briceno\Documents\Plan de acción\Plan Accion 2018\[Plan Accion Integrado ADRES Vigencia 2018 con Cuadro de Mando V6..xlsx]Plan de Accion 2018'!#REF!,X42&lt;&gt;"N/A"))</xm:f>
            <x14:dxf>
              <fill>
                <patternFill>
                  <bgColor rgb="FF00B050"/>
                </patternFill>
              </fill>
            </x14:dxf>
          </x14:cfRule>
          <x14:cfRule type="expression" priority="15212" stopIfTrue="1" id="{2C90F970-7C4A-404B-9C5E-817E21E2DCB9}">
            <xm:f>AND(IF(X42&lt;'F:\Users\norela.briceno\Documents\Plan de acción\Plan Accion 2018\[Plan Accion Integrado ADRES Vigencia 2018 con Cuadro de Mando V6..xlsx]Plan de Accion 2018'!#REF!,X42&lt;&gt;"N/A"))</xm:f>
            <x14:dxf>
              <fill>
                <patternFill>
                  <bgColor indexed="10"/>
                </patternFill>
              </fill>
            </x14:dxf>
          </x14:cfRule>
          <xm:sqref>X42 X47 X49 X53</xm:sqref>
        </x14:conditionalFormatting>
        <x14:conditionalFormatting xmlns:xm="http://schemas.microsoft.com/office/excel/2006/main">
          <x14:cfRule type="expression" priority="15207" id="{983117DF-D5A9-49B6-AB91-63F276AD2298}">
            <xm:f>AND(IF(AE42&gt;'F:\Users\norela.briceno\Documents\Plan de acción\Plan Accion 2018\[Plan Accion Integrado ADRES Vigencia 2018 con Cuadro de Mando V6..xlsx]Plan de Accion 2018'!#REF!,AE42&lt;&gt;¨N/A¨))</xm:f>
            <x14:dxf>
              <fill>
                <patternFill>
                  <bgColor theme="1" tint="0.499984740745262"/>
                </patternFill>
              </fill>
            </x14:dxf>
          </x14:cfRule>
          <x14:cfRule type="expression" priority="15208" stopIfTrue="1" id="{EE4374FD-E8C1-42FE-9F6A-A0183579C92C}">
            <xm:f>AND(IF(AE42='F:\Users\norela.briceno\Documents\Plan de acción\Plan Accion 2018\[Plan Accion Integrado ADRES Vigencia 2018 con Cuadro de Mando V6..xlsx]Plan de Accion 2018'!#REF!,AE42&lt;&gt;"N/A"))</xm:f>
            <x14:dxf>
              <fill>
                <patternFill>
                  <bgColor rgb="FF00B050"/>
                </patternFill>
              </fill>
            </x14:dxf>
          </x14:cfRule>
          <x14:cfRule type="expression" priority="15209" stopIfTrue="1" id="{CE0C1EFE-BB9B-437C-8888-A2D994E15CA0}">
            <xm:f>AND(IF(AE42&lt;'F:\Users\norela.briceno\Documents\Plan de acción\Plan Accion 2018\[Plan Accion Integrado ADRES Vigencia 2018 con Cuadro de Mando V6..xlsx]Plan de Accion 2018'!#REF!,AE42&lt;&gt;"N/A"))</xm:f>
            <x14:dxf>
              <fill>
                <patternFill>
                  <bgColor indexed="10"/>
                </patternFill>
              </fill>
            </x14:dxf>
          </x14:cfRule>
          <xm:sqref>AE42 AE47 AE49 AE53</xm:sqref>
        </x14:conditionalFormatting>
        <x14:conditionalFormatting xmlns:xm="http://schemas.microsoft.com/office/excel/2006/main">
          <x14:cfRule type="expression" priority="15154" id="{0DC2CD72-EB77-414D-A455-EA57CD891D99}">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155" stopIfTrue="1" id="{10AF2373-CC5F-4B02-AF78-ABBB38537DE3}">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156" stopIfTrue="1" id="{357C4298-8611-49B6-ADD9-D576619E0185}">
            <xm:f>AND(IF(J41&lt;'F:\Users\norela.briceno\Documents\Plan de acción\Plan Accion 2018\[Plan Accion Integrado ADRES Vigencia 2018 con Cuadro de Mando V6..xlsx]Plan de Accion 2018'!#REF!,J41&lt;&gt;"N/A"))</xm:f>
            <x14:dxf>
              <fill>
                <patternFill>
                  <bgColor indexed="10"/>
                </patternFill>
              </fill>
            </x14:dxf>
          </x14:cfRule>
          <xm:sqref>J41 Q41 AE41 X41</xm:sqref>
        </x14:conditionalFormatting>
        <x14:conditionalFormatting xmlns:xm="http://schemas.microsoft.com/office/excel/2006/main">
          <x14:cfRule type="expression" priority="15151" id="{6FAEF737-A578-440B-B688-D95D2181042C}">
            <xm:f>AND(IF(J41&gt;'F:\Users\norela.briceno\Documents\Plan de acción\Plan Accion 2018\[Plan Accion Integrado ADRES Vigencia 2018 con Cuadro de Mando V6..xlsx]Plan de Accion 2018'!#REF!,J41&lt;&gt;¨N/A¨))</xm:f>
            <x14:dxf>
              <fill>
                <patternFill>
                  <bgColor theme="1" tint="0.499984740745262"/>
                </patternFill>
              </fill>
            </x14:dxf>
          </x14:cfRule>
          <x14:cfRule type="expression" priority="15152" stopIfTrue="1" id="{85BECCC9-2307-471A-9004-B19B03D61CFA}">
            <xm:f>AND(IF(J41='F:\Users\norela.briceno\Documents\Plan de acción\Plan Accion 2018\[Plan Accion Integrado ADRES Vigencia 2018 con Cuadro de Mando V6..xlsx]Plan de Accion 2018'!#REF!,J41&lt;&gt;"N/A"))</xm:f>
            <x14:dxf>
              <fill>
                <patternFill>
                  <bgColor rgb="FF00B050"/>
                </patternFill>
              </fill>
            </x14:dxf>
          </x14:cfRule>
          <x14:cfRule type="expression" priority="15153" stopIfTrue="1" id="{02B93B50-1043-45E4-9248-B3261EB228BB}">
            <xm:f>AND(IF(J41&lt;'F:\Users\norela.briceno\Documents\Plan de acción\Plan Accion 2018\[Plan Accion Integrado ADRES Vigencia 2018 con Cuadro de Mando V6..xlsx]Plan de Accion 2018'!#REF!,J41&lt;&gt;"N/A"))</xm:f>
            <x14:dxf>
              <fill>
                <patternFill>
                  <bgColor indexed="10"/>
                </patternFill>
              </fill>
            </x14:dxf>
          </x14:cfRule>
          <xm:sqref>J41</xm:sqref>
        </x14:conditionalFormatting>
        <x14:conditionalFormatting xmlns:xm="http://schemas.microsoft.com/office/excel/2006/main">
          <x14:cfRule type="expression" priority="15148" id="{E3885FA0-90DA-46A1-9B19-6D5AEFD56BC3}">
            <xm:f>AND(IF(Q41&gt;'F:\Users\norela.briceno\Documents\Plan de acción\Plan Accion 2018\[Plan Accion Integrado ADRES Vigencia 2018 con Cuadro de Mando V6..xlsx]Plan de Accion 2018'!#REF!,Q41&lt;&gt;¨N/A¨))</xm:f>
            <x14:dxf>
              <fill>
                <patternFill>
                  <bgColor theme="1" tint="0.499984740745262"/>
                </patternFill>
              </fill>
            </x14:dxf>
          </x14:cfRule>
          <x14:cfRule type="expression" priority="15149" stopIfTrue="1" id="{09969D9F-E5D3-41BD-8B5F-B49EEC3340E9}">
            <xm:f>AND(IF(Q41='F:\Users\norela.briceno\Documents\Plan de acción\Plan Accion 2018\[Plan Accion Integrado ADRES Vigencia 2018 con Cuadro de Mando V6..xlsx]Plan de Accion 2018'!#REF!,Q41&lt;&gt;"N/A"))</xm:f>
            <x14:dxf>
              <fill>
                <patternFill>
                  <bgColor rgb="FF00B050"/>
                </patternFill>
              </fill>
            </x14:dxf>
          </x14:cfRule>
          <x14:cfRule type="expression" priority="15150" stopIfTrue="1" id="{84C45A23-FE03-457D-8C16-AFCD44DA38D3}">
            <xm:f>AND(IF(Q41&lt;'F:\Users\norela.briceno\Documents\Plan de acción\Plan Accion 2018\[Plan Accion Integrado ADRES Vigencia 2018 con Cuadro de Mando V6..xlsx]Plan de Accion 2018'!#REF!,Q41&lt;&gt;"N/A"))</xm:f>
            <x14:dxf>
              <fill>
                <patternFill>
                  <bgColor indexed="10"/>
                </patternFill>
              </fill>
            </x14:dxf>
          </x14:cfRule>
          <xm:sqref>Q41</xm:sqref>
        </x14:conditionalFormatting>
        <x14:conditionalFormatting xmlns:xm="http://schemas.microsoft.com/office/excel/2006/main">
          <x14:cfRule type="expression" priority="15145" id="{7C2AC617-61CC-473F-8128-97520C63F856}">
            <xm:f>AND(IF(X41&gt;'F:\Users\norela.briceno\Documents\Plan de acción\Plan Accion 2018\[Plan Accion Integrado ADRES Vigencia 2018 con Cuadro de Mando V6..xlsx]Plan de Accion 2018'!#REF!,X41&lt;&gt;¨N/A¨))</xm:f>
            <x14:dxf>
              <fill>
                <patternFill>
                  <bgColor theme="1" tint="0.499984740745262"/>
                </patternFill>
              </fill>
            </x14:dxf>
          </x14:cfRule>
          <x14:cfRule type="expression" priority="15146" stopIfTrue="1" id="{58A4AEFA-9011-408B-826E-8F545023FAAE}">
            <xm:f>AND(IF(X41='F:\Users\norela.briceno\Documents\Plan de acción\Plan Accion 2018\[Plan Accion Integrado ADRES Vigencia 2018 con Cuadro de Mando V6..xlsx]Plan de Accion 2018'!#REF!,X41&lt;&gt;"N/A"))</xm:f>
            <x14:dxf>
              <fill>
                <patternFill>
                  <bgColor rgb="FF00B050"/>
                </patternFill>
              </fill>
            </x14:dxf>
          </x14:cfRule>
          <x14:cfRule type="expression" priority="15147" stopIfTrue="1" id="{4141D14D-CC83-43C3-81D8-1851608665FD}">
            <xm:f>AND(IF(X41&lt;'F:\Users\norela.briceno\Documents\Plan de acción\Plan Accion 2018\[Plan Accion Integrado ADRES Vigencia 2018 con Cuadro de Mando V6..xlsx]Plan de Accion 2018'!#REF!,X41&lt;&gt;"N/A"))</xm:f>
            <x14:dxf>
              <fill>
                <patternFill>
                  <bgColor indexed="10"/>
                </patternFill>
              </fill>
            </x14:dxf>
          </x14:cfRule>
          <xm:sqref>X41</xm:sqref>
        </x14:conditionalFormatting>
        <x14:conditionalFormatting xmlns:xm="http://schemas.microsoft.com/office/excel/2006/main">
          <x14:cfRule type="expression" priority="15142" id="{2B819D09-4389-40C3-B990-03035C98CDA1}">
            <xm:f>AND(IF(AE41&gt;'F:\Users\norela.briceno\Documents\Plan de acción\Plan Accion 2018\[Plan Accion Integrado ADRES Vigencia 2018 con Cuadro de Mando V6..xlsx]Plan de Accion 2018'!#REF!,AE41&lt;&gt;¨N/A¨))</xm:f>
            <x14:dxf>
              <fill>
                <patternFill>
                  <bgColor theme="1" tint="0.499984740745262"/>
                </patternFill>
              </fill>
            </x14:dxf>
          </x14:cfRule>
          <x14:cfRule type="expression" priority="15143" stopIfTrue="1" id="{C12A55F3-2DAF-4C59-8C1A-FA2A091F8E9C}">
            <xm:f>AND(IF(AE41='F:\Users\norela.briceno\Documents\Plan de acción\Plan Accion 2018\[Plan Accion Integrado ADRES Vigencia 2018 con Cuadro de Mando V6..xlsx]Plan de Accion 2018'!#REF!,AE41&lt;&gt;"N/A"))</xm:f>
            <x14:dxf>
              <fill>
                <patternFill>
                  <bgColor rgb="FF00B050"/>
                </patternFill>
              </fill>
            </x14:dxf>
          </x14:cfRule>
          <x14:cfRule type="expression" priority="15144" stopIfTrue="1" id="{72C33960-58E4-4118-9482-E342DA2B0545}">
            <xm:f>AND(IF(AE41&lt;'F:\Users\norela.briceno\Documents\Plan de acción\Plan Accion 2018\[Plan Accion Integrado ADRES Vigencia 2018 con Cuadro de Mando V6..xlsx]Plan de Accion 2018'!#REF!,AE41&lt;&gt;"N/A"))</xm:f>
            <x14:dxf>
              <fill>
                <patternFill>
                  <bgColor indexed="10"/>
                </patternFill>
              </fill>
            </x14:dxf>
          </x14:cfRule>
          <xm:sqref>AE41</xm:sqref>
        </x14:conditionalFormatting>
        <x14:conditionalFormatting xmlns:xm="http://schemas.microsoft.com/office/excel/2006/main">
          <x14:cfRule type="expression" priority="15089" id="{F912145C-40F5-44C5-86B3-D54497FEE1FD}">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5090" stopIfTrue="1" id="{AAE75C81-0DED-49B0-8290-56C58D38E38B}">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5091" stopIfTrue="1" id="{B01AF5D2-4262-4204-8F8E-617B14E6AC7C}">
            <xm:f>AND(IF(J58&lt;'F:\Users\norela.briceno\Documents\Plan de acción\Plan Accion 2018\[Plan Accion Integrado ADRES Vigencia 2018 con Cuadro de Mando V6..xlsx]Plan de Accion 2018'!#REF!,J58&lt;&gt;"N/A"))</xm:f>
            <x14:dxf>
              <fill>
                <patternFill>
                  <bgColor indexed="10"/>
                </patternFill>
              </fill>
            </x14:dxf>
          </x14:cfRule>
          <xm:sqref>J58 Q58 X58 AE58</xm:sqref>
        </x14:conditionalFormatting>
        <x14:conditionalFormatting xmlns:xm="http://schemas.microsoft.com/office/excel/2006/main">
          <x14:cfRule type="expression" priority="15086" id="{C8CE10D7-BB85-4E22-9797-FEA40DDB3694}">
            <xm:f>AND(IF(J58&gt;'F:\Users\norela.briceno\Documents\Plan de acción\Plan Accion 2018\[Plan Accion Integrado ADRES Vigencia 2018 con Cuadro de Mando V6..xlsx]Plan de Accion 2018'!#REF!,J58&lt;&gt;¨N/A¨))</xm:f>
            <x14:dxf>
              <fill>
                <patternFill>
                  <bgColor theme="1" tint="0.499984740745262"/>
                </patternFill>
              </fill>
            </x14:dxf>
          </x14:cfRule>
          <x14:cfRule type="expression" priority="15087" stopIfTrue="1" id="{4D0A659C-F7A9-494A-86C7-5B862809579D}">
            <xm:f>AND(IF(J58='F:\Users\norela.briceno\Documents\Plan de acción\Plan Accion 2018\[Plan Accion Integrado ADRES Vigencia 2018 con Cuadro de Mando V6..xlsx]Plan de Accion 2018'!#REF!,J58&lt;&gt;"N/A"))</xm:f>
            <x14:dxf>
              <fill>
                <patternFill>
                  <bgColor rgb="FF00B050"/>
                </patternFill>
              </fill>
            </x14:dxf>
          </x14:cfRule>
          <x14:cfRule type="expression" priority="15088" stopIfTrue="1" id="{CB48F9A7-0FD1-4AA9-9517-8C0833F27595}">
            <xm:f>AND(IF(J58&lt;'F:\Users\norela.briceno\Documents\Plan de acción\Plan Accion 2018\[Plan Accion Integrado ADRES Vigencia 2018 con Cuadro de Mando V6..xlsx]Plan de Accion 2018'!#REF!,J58&lt;&gt;"N/A"))</xm:f>
            <x14:dxf>
              <fill>
                <patternFill>
                  <bgColor indexed="10"/>
                </patternFill>
              </fill>
            </x14:dxf>
          </x14:cfRule>
          <xm:sqref>J58</xm:sqref>
        </x14:conditionalFormatting>
        <x14:conditionalFormatting xmlns:xm="http://schemas.microsoft.com/office/excel/2006/main">
          <x14:cfRule type="expression" priority="15083" id="{2AEBFB92-8CF5-4508-804E-990696FDC32E}">
            <xm:f>AND(IF(Q58&gt;'F:\Users\norela.briceno\Documents\Plan de acción\Plan Accion 2018\[Plan Accion Integrado ADRES Vigencia 2018 con Cuadro de Mando V6..xlsx]Plan de Accion 2018'!#REF!,Q58&lt;&gt;¨N/A¨))</xm:f>
            <x14:dxf>
              <fill>
                <patternFill>
                  <bgColor theme="1" tint="0.499984740745262"/>
                </patternFill>
              </fill>
            </x14:dxf>
          </x14:cfRule>
          <x14:cfRule type="expression" priority="15084" stopIfTrue="1" id="{FAE9FED6-2CE3-4952-ABCF-9318724C8045}">
            <xm:f>AND(IF(Q58='F:\Users\norela.briceno\Documents\Plan de acción\Plan Accion 2018\[Plan Accion Integrado ADRES Vigencia 2018 con Cuadro de Mando V6..xlsx]Plan de Accion 2018'!#REF!,Q58&lt;&gt;"N/A"))</xm:f>
            <x14:dxf>
              <fill>
                <patternFill>
                  <bgColor rgb="FF00B050"/>
                </patternFill>
              </fill>
            </x14:dxf>
          </x14:cfRule>
          <x14:cfRule type="expression" priority="15085" stopIfTrue="1" id="{FA3AC104-0167-4355-8A6D-4D3C5B55D4B8}">
            <xm:f>AND(IF(Q58&lt;'F:\Users\norela.briceno\Documents\Plan de acción\Plan Accion 2018\[Plan Accion Integrado ADRES Vigencia 2018 con Cuadro de Mando V6..xlsx]Plan de Accion 2018'!#REF!,Q58&lt;&gt;"N/A"))</xm:f>
            <x14:dxf>
              <fill>
                <patternFill>
                  <bgColor indexed="10"/>
                </patternFill>
              </fill>
            </x14:dxf>
          </x14:cfRule>
          <xm:sqref>Q58</xm:sqref>
        </x14:conditionalFormatting>
        <x14:conditionalFormatting xmlns:xm="http://schemas.microsoft.com/office/excel/2006/main">
          <x14:cfRule type="expression" priority="15080" id="{E4F2DE0E-301E-4293-A52F-0F71DF0398BD}">
            <xm:f>AND(IF(X58&gt;'F:\Users\norela.briceno\Documents\Plan de acción\Plan Accion 2018\[Plan Accion Integrado ADRES Vigencia 2018 con Cuadro de Mando V6..xlsx]Plan de Accion 2018'!#REF!,X58&lt;&gt;¨N/A¨))</xm:f>
            <x14:dxf>
              <fill>
                <patternFill>
                  <bgColor theme="1" tint="0.499984740745262"/>
                </patternFill>
              </fill>
            </x14:dxf>
          </x14:cfRule>
          <x14:cfRule type="expression" priority="15081" stopIfTrue="1" id="{6DFFFA9F-823C-4117-9B99-9EBE98326E4F}">
            <xm:f>AND(IF(X58='F:\Users\norela.briceno\Documents\Plan de acción\Plan Accion 2018\[Plan Accion Integrado ADRES Vigencia 2018 con Cuadro de Mando V6..xlsx]Plan de Accion 2018'!#REF!,X58&lt;&gt;"N/A"))</xm:f>
            <x14:dxf>
              <fill>
                <patternFill>
                  <bgColor rgb="FF00B050"/>
                </patternFill>
              </fill>
            </x14:dxf>
          </x14:cfRule>
          <x14:cfRule type="expression" priority="15082" stopIfTrue="1" id="{298C3704-9483-4C8C-8827-F91C7352827C}">
            <xm:f>AND(IF(X58&lt;'F:\Users\norela.briceno\Documents\Plan de acción\Plan Accion 2018\[Plan Accion Integrado ADRES Vigencia 2018 con Cuadro de Mando V6..xlsx]Plan de Accion 2018'!#REF!,X58&lt;&gt;"N/A"))</xm:f>
            <x14:dxf>
              <fill>
                <patternFill>
                  <bgColor indexed="10"/>
                </patternFill>
              </fill>
            </x14:dxf>
          </x14:cfRule>
          <xm:sqref>X58</xm:sqref>
        </x14:conditionalFormatting>
        <x14:conditionalFormatting xmlns:xm="http://schemas.microsoft.com/office/excel/2006/main">
          <x14:cfRule type="expression" priority="15077" id="{27C4B1C2-5212-4F56-A93F-63776A3226F3}">
            <xm:f>AND(IF(AE58&gt;'F:\Users\norela.briceno\Documents\Plan de acción\Plan Accion 2018\[Plan Accion Integrado ADRES Vigencia 2018 con Cuadro de Mando V6..xlsx]Plan de Accion 2018'!#REF!,AE58&lt;&gt;¨N/A¨))</xm:f>
            <x14:dxf>
              <fill>
                <patternFill>
                  <bgColor theme="1" tint="0.499984740745262"/>
                </patternFill>
              </fill>
            </x14:dxf>
          </x14:cfRule>
          <x14:cfRule type="expression" priority="15078" stopIfTrue="1" id="{47242C76-4D32-482F-A53F-F5734F566E0E}">
            <xm:f>AND(IF(AE58='F:\Users\norela.briceno\Documents\Plan de acción\Plan Accion 2018\[Plan Accion Integrado ADRES Vigencia 2018 con Cuadro de Mando V6..xlsx]Plan de Accion 2018'!#REF!,AE58&lt;&gt;"N/A"))</xm:f>
            <x14:dxf>
              <fill>
                <patternFill>
                  <bgColor rgb="FF00B050"/>
                </patternFill>
              </fill>
            </x14:dxf>
          </x14:cfRule>
          <x14:cfRule type="expression" priority="15079" stopIfTrue="1" id="{580B687B-0BF3-4270-B166-D3B6C0D3D483}">
            <xm:f>AND(IF(AE58&lt;'F:\Users\norela.briceno\Documents\Plan de acción\Plan Accion 2018\[Plan Accion Integrado ADRES Vigencia 2018 con Cuadro de Mando V6..xlsx]Plan de Accion 2018'!#REF!,AE58&lt;&gt;"N/A"))</xm:f>
            <x14:dxf>
              <fill>
                <patternFill>
                  <bgColor indexed="10"/>
                </patternFill>
              </fill>
            </x14:dxf>
          </x14:cfRule>
          <xm:sqref>AE58</xm:sqref>
        </x14:conditionalFormatting>
        <x14:conditionalFormatting xmlns:xm="http://schemas.microsoft.com/office/excel/2006/main">
          <x14:cfRule type="expression" priority="14739" id="{84D42019-0F45-4A27-9D69-610E6BC18D10}">
            <xm:f>AND(IF(J245&gt;'F:\Users\norela.briceno\Documents\Plan de acción\Plan Accion 2018\[Plan Accion Integrado ADRES Vigencia 2018 con Cuadro de Mando V6..xlsx]Plan de Accion 2018'!#REF!,J245&lt;&gt;¨N/A¨))</xm:f>
            <x14:dxf>
              <fill>
                <patternFill>
                  <bgColor theme="1" tint="0.499984740745262"/>
                </patternFill>
              </fill>
            </x14:dxf>
          </x14:cfRule>
          <x14:cfRule type="expression" priority="14740" stopIfTrue="1" id="{35CDD236-6341-44FD-9971-B7ADF6D973E7}">
            <xm:f>AND(IF(J245='F:\Users\norela.briceno\Documents\Plan de acción\Plan Accion 2018\[Plan Accion Integrado ADRES Vigencia 2018 con Cuadro de Mando V6..xlsx]Plan de Accion 2018'!#REF!,J245&lt;&gt;"N/A"))</xm:f>
            <x14:dxf>
              <fill>
                <patternFill>
                  <bgColor rgb="FF00B050"/>
                </patternFill>
              </fill>
            </x14:dxf>
          </x14:cfRule>
          <x14:cfRule type="expression" priority="14741" stopIfTrue="1" id="{6231B713-CC2E-4B3C-A101-D996861CA843}">
            <xm:f>AND(IF(J245&lt;'F:\Users\norela.briceno\Documents\Plan de acción\Plan Accion 2018\[Plan Accion Integrado ADRES Vigencia 2018 con Cuadro de Mando V6..xlsx]Plan de Accion 2018'!#REF!,J245&lt;&gt;"N/A"))</xm:f>
            <x14:dxf>
              <fill>
                <patternFill>
                  <bgColor indexed="10"/>
                </patternFill>
              </fill>
            </x14:dxf>
          </x14:cfRule>
          <xm:sqref>J245 Q245 X245 AE245</xm:sqref>
        </x14:conditionalFormatting>
        <x14:conditionalFormatting xmlns:xm="http://schemas.microsoft.com/office/excel/2006/main">
          <x14:cfRule type="expression" priority="14681" id="{64ED3E82-69EB-4FE2-A88C-5B3AA6947D88}">
            <xm:f>AND(IF(J246&gt;'F:\Users\norela.briceno\Documents\Plan de acción\Plan Accion 2018\[Plan Accion Integrado ADRES Vigencia 2018 con Cuadro de Mando V6..xlsx]Plan de Accion 2018'!#REF!,J246&lt;&gt;¨N/A¨))</xm:f>
            <x14:dxf>
              <fill>
                <patternFill>
                  <bgColor theme="1" tint="0.499984740745262"/>
                </patternFill>
              </fill>
            </x14:dxf>
          </x14:cfRule>
          <x14:cfRule type="expression" priority="14682" stopIfTrue="1" id="{72BD0372-F372-41EC-9885-D5BDD717896A}">
            <xm:f>AND(IF(J246='F:\Users\norela.briceno\Documents\Plan de acción\Plan Accion 2018\[Plan Accion Integrado ADRES Vigencia 2018 con Cuadro de Mando V6..xlsx]Plan de Accion 2018'!#REF!,J246&lt;&gt;"N/A"))</xm:f>
            <x14:dxf>
              <fill>
                <patternFill>
                  <bgColor rgb="FF00B050"/>
                </patternFill>
              </fill>
            </x14:dxf>
          </x14:cfRule>
          <x14:cfRule type="expression" priority="14683" stopIfTrue="1" id="{1B204EF3-61D0-4CDC-8ABD-B900A9E17DDE}">
            <xm:f>AND(IF(J246&lt;'F:\Users\norela.briceno\Documents\Plan de acción\Plan Accion 2018\[Plan Accion Integrado ADRES Vigencia 2018 con Cuadro de Mando V6..xlsx]Plan de Accion 2018'!#REF!,J246&lt;&gt;"N/A"))</xm:f>
            <x14:dxf>
              <fill>
                <patternFill>
                  <bgColor indexed="10"/>
                </patternFill>
              </fill>
            </x14:dxf>
          </x14:cfRule>
          <xm:sqref>J246 Q246 X246 AE246</xm:sqref>
        </x14:conditionalFormatting>
        <x14:conditionalFormatting xmlns:xm="http://schemas.microsoft.com/office/excel/2006/main">
          <x14:cfRule type="expression" priority="14333" id="{CA2B5940-510B-4440-915F-9B413FF0688D}">
            <xm:f>AND(IF(J257&gt;'F:\Users\norela.briceno\Documents\Plan de acción\Plan Accion 2018\[Plan Accion Integrado ADRES Vigencia 2018 con Cuadro de Mando V6..xlsx]Plan de Accion 2018'!#REF!,J257&lt;&gt;¨N/A¨))</xm:f>
            <x14:dxf>
              <fill>
                <patternFill>
                  <bgColor theme="1" tint="0.499984740745262"/>
                </patternFill>
              </fill>
            </x14:dxf>
          </x14:cfRule>
          <x14:cfRule type="expression" priority="14334" stopIfTrue="1" id="{F54094FC-C09C-44CC-97E5-6629B5AD2B8E}">
            <xm:f>AND(IF(J257='F:\Users\norela.briceno\Documents\Plan de acción\Plan Accion 2018\[Plan Accion Integrado ADRES Vigencia 2018 con Cuadro de Mando V6..xlsx]Plan de Accion 2018'!#REF!,J257&lt;&gt;"N/A"))</xm:f>
            <x14:dxf>
              <fill>
                <patternFill>
                  <bgColor rgb="FF00B050"/>
                </patternFill>
              </fill>
            </x14:dxf>
          </x14:cfRule>
          <x14:cfRule type="expression" priority="14335" stopIfTrue="1" id="{DF32A529-F652-4DD2-801F-E65D7667DADC}">
            <xm:f>AND(IF(J257&lt;'F:\Users\norela.briceno\Documents\Plan de acción\Plan Accion 2018\[Plan Accion Integrado ADRES Vigencia 2018 con Cuadro de Mando V6..xlsx]Plan de Accion 2018'!#REF!,J257&lt;&gt;"N/A"))</xm:f>
            <x14:dxf>
              <fill>
                <patternFill>
                  <bgColor indexed="10"/>
                </patternFill>
              </fill>
            </x14:dxf>
          </x14:cfRule>
          <xm:sqref>J257 Q257 X257 AE257</xm:sqref>
        </x14:conditionalFormatting>
        <x14:conditionalFormatting xmlns:xm="http://schemas.microsoft.com/office/excel/2006/main">
          <x14:cfRule type="expression" priority="14295" id="{56C0F5E0-D1E3-42A4-9E9A-30636DA5545D}">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4296" stopIfTrue="1" id="{D6EFE195-4FFD-4177-8AD9-2650950B3102}">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4297" stopIfTrue="1" id="{015840C4-44BC-480D-BB70-85D4C31A041D}">
            <xm:f>AND(IF(J66&lt;'F:\Users\norela.briceno\Documents\Plan de acción\Plan Accion 2018\[Plan Accion Integrado ADRES Vigencia 2018 con Cuadro de Mando V6..xlsx]Plan de Accion 2018'!#REF!,J66&lt;&gt;"N/A"))</xm:f>
            <x14:dxf>
              <fill>
                <patternFill>
                  <bgColor indexed="10"/>
                </patternFill>
              </fill>
            </x14:dxf>
          </x14:cfRule>
          <xm:sqref>J66 Q66 AE66 X66</xm:sqref>
        </x14:conditionalFormatting>
        <x14:conditionalFormatting xmlns:xm="http://schemas.microsoft.com/office/excel/2006/main">
          <x14:cfRule type="expression" priority="14292" id="{386EE220-C729-4D69-B2BA-77FB85067610}">
            <xm:f>AND(IF(J66&gt;'F:\Users\norela.briceno\Documents\Plan de acción\Plan Accion 2018\[Plan Accion Integrado ADRES Vigencia 2018 con Cuadro de Mando V6..xlsx]Plan de Accion 2018'!#REF!,J66&lt;&gt;¨N/A¨))</xm:f>
            <x14:dxf>
              <fill>
                <patternFill>
                  <bgColor theme="1" tint="0.499984740745262"/>
                </patternFill>
              </fill>
            </x14:dxf>
          </x14:cfRule>
          <x14:cfRule type="expression" priority="14293" stopIfTrue="1" id="{9E4BAF48-B226-4060-A2B2-D4D01B2D47B1}">
            <xm:f>AND(IF(J66='F:\Users\norela.briceno\Documents\Plan de acción\Plan Accion 2018\[Plan Accion Integrado ADRES Vigencia 2018 con Cuadro de Mando V6..xlsx]Plan de Accion 2018'!#REF!,J66&lt;&gt;"N/A"))</xm:f>
            <x14:dxf>
              <fill>
                <patternFill>
                  <bgColor rgb="FF00B050"/>
                </patternFill>
              </fill>
            </x14:dxf>
          </x14:cfRule>
          <x14:cfRule type="expression" priority="14294" stopIfTrue="1" id="{A18D8C3E-4E4C-4A9F-9886-ACC77CF26B37}">
            <xm:f>AND(IF(J66&lt;'F:\Users\norela.briceno\Documents\Plan de acción\Plan Accion 2018\[Plan Accion Integrado ADRES Vigencia 2018 con Cuadro de Mando V6..xlsx]Plan de Accion 2018'!#REF!,J66&lt;&gt;"N/A"))</xm:f>
            <x14:dxf>
              <fill>
                <patternFill>
                  <bgColor indexed="10"/>
                </patternFill>
              </fill>
            </x14:dxf>
          </x14:cfRule>
          <xm:sqref>J66</xm:sqref>
        </x14:conditionalFormatting>
        <x14:conditionalFormatting xmlns:xm="http://schemas.microsoft.com/office/excel/2006/main">
          <x14:cfRule type="expression" priority="14289" id="{B19EF24B-94D7-41E4-A2EE-44ACC1972D4B}">
            <xm:f>AND(IF(Q66&gt;'F:\Users\norela.briceno\Documents\Plan de acción\Plan Accion 2018\[Plan Accion Integrado ADRES Vigencia 2018 con Cuadro de Mando V6..xlsx]Plan de Accion 2018'!#REF!,Q66&lt;&gt;¨N/A¨))</xm:f>
            <x14:dxf>
              <fill>
                <patternFill>
                  <bgColor theme="1" tint="0.499984740745262"/>
                </patternFill>
              </fill>
            </x14:dxf>
          </x14:cfRule>
          <x14:cfRule type="expression" priority="14290" stopIfTrue="1" id="{7D42F99B-D33D-4904-9943-D552AC1C4C7B}">
            <xm:f>AND(IF(Q66='F:\Users\norela.briceno\Documents\Plan de acción\Plan Accion 2018\[Plan Accion Integrado ADRES Vigencia 2018 con Cuadro de Mando V6..xlsx]Plan de Accion 2018'!#REF!,Q66&lt;&gt;"N/A"))</xm:f>
            <x14:dxf>
              <fill>
                <patternFill>
                  <bgColor rgb="FF00B050"/>
                </patternFill>
              </fill>
            </x14:dxf>
          </x14:cfRule>
          <x14:cfRule type="expression" priority="14291" stopIfTrue="1" id="{4E1A9FFA-F5E8-4CAB-A1C2-466BDCF2913C}">
            <xm:f>AND(IF(Q66&lt;'F:\Users\norela.briceno\Documents\Plan de acción\Plan Accion 2018\[Plan Accion Integrado ADRES Vigencia 2018 con Cuadro de Mando V6..xlsx]Plan de Accion 2018'!#REF!,Q66&lt;&gt;"N/A"))</xm:f>
            <x14:dxf>
              <fill>
                <patternFill>
                  <bgColor indexed="10"/>
                </patternFill>
              </fill>
            </x14:dxf>
          </x14:cfRule>
          <xm:sqref>Q66</xm:sqref>
        </x14:conditionalFormatting>
        <x14:conditionalFormatting xmlns:xm="http://schemas.microsoft.com/office/excel/2006/main">
          <x14:cfRule type="expression" priority="14286" id="{5947F36A-9A32-4C1D-A88B-E49B1B8B82DC}">
            <xm:f>AND(IF(X66&gt;'F:\Users\norela.briceno\Documents\Plan de acción\Plan Accion 2018\[Plan Accion Integrado ADRES Vigencia 2018 con Cuadro de Mando V6..xlsx]Plan de Accion 2018'!#REF!,X66&lt;&gt;¨N/A¨))</xm:f>
            <x14:dxf>
              <fill>
                <patternFill>
                  <bgColor theme="1" tint="0.499984740745262"/>
                </patternFill>
              </fill>
            </x14:dxf>
          </x14:cfRule>
          <x14:cfRule type="expression" priority="14287" stopIfTrue="1" id="{691B70C9-B7D4-4346-8DC2-1CAD03113665}">
            <xm:f>AND(IF(X66='F:\Users\norela.briceno\Documents\Plan de acción\Plan Accion 2018\[Plan Accion Integrado ADRES Vigencia 2018 con Cuadro de Mando V6..xlsx]Plan de Accion 2018'!#REF!,X66&lt;&gt;"N/A"))</xm:f>
            <x14:dxf>
              <fill>
                <patternFill>
                  <bgColor rgb="FF00B050"/>
                </patternFill>
              </fill>
            </x14:dxf>
          </x14:cfRule>
          <x14:cfRule type="expression" priority="14288" stopIfTrue="1" id="{ACB5EE29-E181-465B-BDA0-686DC8563147}">
            <xm:f>AND(IF(X66&lt;'F:\Users\norela.briceno\Documents\Plan de acción\Plan Accion 2018\[Plan Accion Integrado ADRES Vigencia 2018 con Cuadro de Mando V6..xlsx]Plan de Accion 2018'!#REF!,X66&lt;&gt;"N/A"))</xm:f>
            <x14:dxf>
              <fill>
                <patternFill>
                  <bgColor indexed="10"/>
                </patternFill>
              </fill>
            </x14:dxf>
          </x14:cfRule>
          <xm:sqref>X66</xm:sqref>
        </x14:conditionalFormatting>
        <x14:conditionalFormatting xmlns:xm="http://schemas.microsoft.com/office/excel/2006/main">
          <x14:cfRule type="expression" priority="14283" id="{2541FD96-C574-476E-AA6B-A5B2A9E5EF6D}">
            <xm:f>AND(IF(AE66&gt;'F:\Users\norela.briceno\Documents\Plan de acción\Plan Accion 2018\[Plan Accion Integrado ADRES Vigencia 2018 con Cuadro de Mando V6..xlsx]Plan de Accion 2018'!#REF!,AE66&lt;&gt;¨N/A¨))</xm:f>
            <x14:dxf>
              <fill>
                <patternFill>
                  <bgColor theme="1" tint="0.499984740745262"/>
                </patternFill>
              </fill>
            </x14:dxf>
          </x14:cfRule>
          <x14:cfRule type="expression" priority="14284" stopIfTrue="1" id="{6D3A43E1-D57D-49A1-9660-F41C57A2C899}">
            <xm:f>AND(IF(AE66='F:\Users\norela.briceno\Documents\Plan de acción\Plan Accion 2018\[Plan Accion Integrado ADRES Vigencia 2018 con Cuadro de Mando V6..xlsx]Plan de Accion 2018'!#REF!,AE66&lt;&gt;"N/A"))</xm:f>
            <x14:dxf>
              <fill>
                <patternFill>
                  <bgColor rgb="FF00B050"/>
                </patternFill>
              </fill>
            </x14:dxf>
          </x14:cfRule>
          <x14:cfRule type="expression" priority="14285" stopIfTrue="1" id="{4D70B40A-54FB-4278-802A-F4B26C1D1DBF}">
            <xm:f>AND(IF(AE66&lt;'F:\Users\norela.briceno\Documents\Plan de acción\Plan Accion 2018\[Plan Accion Integrado ADRES Vigencia 2018 con Cuadro de Mando V6..xlsx]Plan de Accion 2018'!#REF!,AE66&lt;&gt;"N/A"))</xm:f>
            <x14:dxf>
              <fill>
                <patternFill>
                  <bgColor indexed="10"/>
                </patternFill>
              </fill>
            </x14:dxf>
          </x14:cfRule>
          <xm:sqref>AE66</xm:sqref>
        </x14:conditionalFormatting>
        <x14:conditionalFormatting xmlns:xm="http://schemas.microsoft.com/office/excel/2006/main">
          <x14:cfRule type="expression" priority="14182" id="{240D181E-B548-4DA5-9F36-9CF07150F9E5}">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183" stopIfTrue="1" id="{AA3F16C3-5B3B-4704-BD3E-422F66E89EB9}">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184" stopIfTrue="1" id="{3A080ABC-5441-41BF-A0AE-627B24E59653}">
            <xm:f>AND(IF(J67&lt;'F:\Users\norela.briceno\Documents\Plan de acción\Plan Accion 2018\[Plan Accion Integrado ADRES Vigencia 2018 con Cuadro de Mando V6..xlsx]Plan de Accion 2018'!#REF!,J67&lt;&gt;"N/A"))</xm:f>
            <x14:dxf>
              <fill>
                <patternFill>
                  <bgColor indexed="10"/>
                </patternFill>
              </fill>
            </x14:dxf>
          </x14:cfRule>
          <xm:sqref>J67 Q67 AE67 X67</xm:sqref>
        </x14:conditionalFormatting>
        <x14:conditionalFormatting xmlns:xm="http://schemas.microsoft.com/office/excel/2006/main">
          <x14:cfRule type="expression" priority="14179" id="{277C247B-1E05-4EC2-A1B7-4FFADE5A761C}">
            <xm:f>AND(IF(J67&gt;'F:\Users\norela.briceno\Documents\Plan de acción\Plan Accion 2018\[Plan Accion Integrado ADRES Vigencia 2018 con Cuadro de Mando V6..xlsx]Plan de Accion 2018'!#REF!,J67&lt;&gt;¨N/A¨))</xm:f>
            <x14:dxf>
              <fill>
                <patternFill>
                  <bgColor theme="1" tint="0.499984740745262"/>
                </patternFill>
              </fill>
            </x14:dxf>
          </x14:cfRule>
          <x14:cfRule type="expression" priority="14180" stopIfTrue="1" id="{7C352CC0-A63B-4C17-ACBD-3D61A19565AF}">
            <xm:f>AND(IF(J67='F:\Users\norela.briceno\Documents\Plan de acción\Plan Accion 2018\[Plan Accion Integrado ADRES Vigencia 2018 con Cuadro de Mando V6..xlsx]Plan de Accion 2018'!#REF!,J67&lt;&gt;"N/A"))</xm:f>
            <x14:dxf>
              <fill>
                <patternFill>
                  <bgColor rgb="FF00B050"/>
                </patternFill>
              </fill>
            </x14:dxf>
          </x14:cfRule>
          <x14:cfRule type="expression" priority="14181" stopIfTrue="1" id="{80E8C43B-1095-40EB-BEAD-7862DB9E7C4E}">
            <xm:f>AND(IF(J67&lt;'F:\Users\norela.briceno\Documents\Plan de acción\Plan Accion 2018\[Plan Accion Integrado ADRES Vigencia 2018 con Cuadro de Mando V6..xlsx]Plan de Accion 2018'!#REF!,J67&lt;&gt;"N/A"))</xm:f>
            <x14:dxf>
              <fill>
                <patternFill>
                  <bgColor indexed="10"/>
                </patternFill>
              </fill>
            </x14:dxf>
          </x14:cfRule>
          <xm:sqref>J67</xm:sqref>
        </x14:conditionalFormatting>
        <x14:conditionalFormatting xmlns:xm="http://schemas.microsoft.com/office/excel/2006/main">
          <x14:cfRule type="expression" priority="14176" id="{1597A607-26D9-47FA-9946-37A7F2BADE26}">
            <xm:f>AND(IF(Q67&gt;'F:\Users\norela.briceno\Documents\Plan de acción\Plan Accion 2018\[Plan Accion Integrado ADRES Vigencia 2018 con Cuadro de Mando V6..xlsx]Plan de Accion 2018'!#REF!,Q67&lt;&gt;¨N/A¨))</xm:f>
            <x14:dxf>
              <fill>
                <patternFill>
                  <bgColor theme="1" tint="0.499984740745262"/>
                </patternFill>
              </fill>
            </x14:dxf>
          </x14:cfRule>
          <x14:cfRule type="expression" priority="14177" stopIfTrue="1" id="{BE200115-300C-4B98-9021-C5BFFF43EF80}">
            <xm:f>AND(IF(Q67='F:\Users\norela.briceno\Documents\Plan de acción\Plan Accion 2018\[Plan Accion Integrado ADRES Vigencia 2018 con Cuadro de Mando V6..xlsx]Plan de Accion 2018'!#REF!,Q67&lt;&gt;"N/A"))</xm:f>
            <x14:dxf>
              <fill>
                <patternFill>
                  <bgColor rgb="FF00B050"/>
                </patternFill>
              </fill>
            </x14:dxf>
          </x14:cfRule>
          <x14:cfRule type="expression" priority="14178" stopIfTrue="1" id="{172CCCDA-BC7A-4895-84B3-317B61DF4153}">
            <xm:f>AND(IF(Q67&lt;'F:\Users\norela.briceno\Documents\Plan de acción\Plan Accion 2018\[Plan Accion Integrado ADRES Vigencia 2018 con Cuadro de Mando V6..xlsx]Plan de Accion 2018'!#REF!,Q67&lt;&gt;"N/A"))</xm:f>
            <x14:dxf>
              <fill>
                <patternFill>
                  <bgColor indexed="10"/>
                </patternFill>
              </fill>
            </x14:dxf>
          </x14:cfRule>
          <xm:sqref>Q67</xm:sqref>
        </x14:conditionalFormatting>
        <x14:conditionalFormatting xmlns:xm="http://schemas.microsoft.com/office/excel/2006/main">
          <x14:cfRule type="expression" priority="14173" id="{D9FC9253-8758-4209-8004-22DA1682CA49}">
            <xm:f>AND(IF(X67&gt;'F:\Users\norela.briceno\Documents\Plan de acción\Plan Accion 2018\[Plan Accion Integrado ADRES Vigencia 2018 con Cuadro de Mando V6..xlsx]Plan de Accion 2018'!#REF!,X67&lt;&gt;¨N/A¨))</xm:f>
            <x14:dxf>
              <fill>
                <patternFill>
                  <bgColor theme="1" tint="0.499984740745262"/>
                </patternFill>
              </fill>
            </x14:dxf>
          </x14:cfRule>
          <x14:cfRule type="expression" priority="14174" stopIfTrue="1" id="{5E74A8E6-440C-456C-A703-B1A52A3CFC6E}">
            <xm:f>AND(IF(X67='F:\Users\norela.briceno\Documents\Plan de acción\Plan Accion 2018\[Plan Accion Integrado ADRES Vigencia 2018 con Cuadro de Mando V6..xlsx]Plan de Accion 2018'!#REF!,X67&lt;&gt;"N/A"))</xm:f>
            <x14:dxf>
              <fill>
                <patternFill>
                  <bgColor rgb="FF00B050"/>
                </patternFill>
              </fill>
            </x14:dxf>
          </x14:cfRule>
          <x14:cfRule type="expression" priority="14175" stopIfTrue="1" id="{31BEB808-890A-4B85-A684-A51CA4B30B5C}">
            <xm:f>AND(IF(X67&lt;'F:\Users\norela.briceno\Documents\Plan de acción\Plan Accion 2018\[Plan Accion Integrado ADRES Vigencia 2018 con Cuadro de Mando V6..xlsx]Plan de Accion 2018'!#REF!,X67&lt;&gt;"N/A"))</xm:f>
            <x14:dxf>
              <fill>
                <patternFill>
                  <bgColor indexed="10"/>
                </patternFill>
              </fill>
            </x14:dxf>
          </x14:cfRule>
          <xm:sqref>X67</xm:sqref>
        </x14:conditionalFormatting>
        <x14:conditionalFormatting xmlns:xm="http://schemas.microsoft.com/office/excel/2006/main">
          <x14:cfRule type="expression" priority="14170" id="{7730DE9B-16F5-4E57-BA7E-4F453BD9C86F}">
            <xm:f>AND(IF(AE67&gt;'F:\Users\norela.briceno\Documents\Plan de acción\Plan Accion 2018\[Plan Accion Integrado ADRES Vigencia 2018 con Cuadro de Mando V6..xlsx]Plan de Accion 2018'!#REF!,AE67&lt;&gt;¨N/A¨))</xm:f>
            <x14:dxf>
              <fill>
                <patternFill>
                  <bgColor theme="1" tint="0.499984740745262"/>
                </patternFill>
              </fill>
            </x14:dxf>
          </x14:cfRule>
          <x14:cfRule type="expression" priority="14171" stopIfTrue="1" id="{5C7829B8-74FF-48F2-9603-721B730976EE}">
            <xm:f>AND(IF(AE67='F:\Users\norela.briceno\Documents\Plan de acción\Plan Accion 2018\[Plan Accion Integrado ADRES Vigencia 2018 con Cuadro de Mando V6..xlsx]Plan de Accion 2018'!#REF!,AE67&lt;&gt;"N/A"))</xm:f>
            <x14:dxf>
              <fill>
                <patternFill>
                  <bgColor rgb="FF00B050"/>
                </patternFill>
              </fill>
            </x14:dxf>
          </x14:cfRule>
          <x14:cfRule type="expression" priority="14172" stopIfTrue="1" id="{354CF8C9-7338-499D-919A-416C0C19F41C}">
            <xm:f>AND(IF(AE67&lt;'F:\Users\norela.briceno\Documents\Plan de acción\Plan Accion 2018\[Plan Accion Integrado ADRES Vigencia 2018 con Cuadro de Mando V6..xlsx]Plan de Accion 2018'!#REF!,AE67&lt;&gt;"N/A"))</xm:f>
            <x14:dxf>
              <fill>
                <patternFill>
                  <bgColor indexed="10"/>
                </patternFill>
              </fill>
            </x14:dxf>
          </x14:cfRule>
          <xm:sqref>AE67</xm:sqref>
        </x14:conditionalFormatting>
        <x14:conditionalFormatting xmlns:xm="http://schemas.microsoft.com/office/excel/2006/main">
          <x14:cfRule type="expression" priority="14032" id="{AB076C6C-EB09-4A49-A23E-0715DDAFACDF}">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4033" stopIfTrue="1" id="{77DC3356-677E-4D18-A4DF-D2AFC26247DF}">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4034" stopIfTrue="1" id="{B253DC3C-E10D-4065-9222-48720D956640}">
            <xm:f>AND(IF(J84&lt;'F:\Users\norela.briceno\Documents\Plan de acción\Plan Accion 2018\[Plan Accion Integrado ADRES Vigencia 2018 con Cuadro de Mando V6..xlsx]Plan de Accion 2018'!#REF!,J84&lt;&gt;"N/A"))</xm:f>
            <x14:dxf>
              <fill>
                <patternFill>
                  <bgColor indexed="10"/>
                </patternFill>
              </fill>
            </x14:dxf>
          </x14:cfRule>
          <xm:sqref>J84:J88 Q84:Q87 AE84:AE87 X84:X87</xm:sqref>
        </x14:conditionalFormatting>
        <x14:conditionalFormatting xmlns:xm="http://schemas.microsoft.com/office/excel/2006/main">
          <x14:cfRule type="expression" priority="14029" id="{1F1A6CE1-E506-437C-A387-73DD8B40CBFC}">
            <xm:f>AND(IF(J84&gt;'F:\Users\norela.briceno\Documents\Plan de acción\Plan Accion 2018\[Plan Accion Integrado ADRES Vigencia 2018 con Cuadro de Mando V6..xlsx]Plan de Accion 2018'!#REF!,J84&lt;&gt;¨N/A¨))</xm:f>
            <x14:dxf>
              <fill>
                <patternFill>
                  <bgColor theme="1" tint="0.499984740745262"/>
                </patternFill>
              </fill>
            </x14:dxf>
          </x14:cfRule>
          <x14:cfRule type="expression" priority="14030" stopIfTrue="1" id="{F477455F-DD17-4C56-B87D-E9FE1C9C72DD}">
            <xm:f>AND(IF(J84='F:\Users\norela.briceno\Documents\Plan de acción\Plan Accion 2018\[Plan Accion Integrado ADRES Vigencia 2018 con Cuadro de Mando V6..xlsx]Plan de Accion 2018'!#REF!,J84&lt;&gt;"N/A"))</xm:f>
            <x14:dxf>
              <fill>
                <patternFill>
                  <bgColor rgb="FF00B050"/>
                </patternFill>
              </fill>
            </x14:dxf>
          </x14:cfRule>
          <x14:cfRule type="expression" priority="14031" stopIfTrue="1" id="{3B12C471-2773-424E-80C2-4F87BEA02573}">
            <xm:f>AND(IF(J84&lt;'F:\Users\norela.briceno\Documents\Plan de acción\Plan Accion 2018\[Plan Accion Integrado ADRES Vigencia 2018 con Cuadro de Mando V6..xlsx]Plan de Accion 2018'!#REF!,J84&lt;&gt;"N/A"))</xm:f>
            <x14:dxf>
              <fill>
                <patternFill>
                  <bgColor indexed="10"/>
                </patternFill>
              </fill>
            </x14:dxf>
          </x14:cfRule>
          <xm:sqref>J84:J88</xm:sqref>
        </x14:conditionalFormatting>
        <x14:conditionalFormatting xmlns:xm="http://schemas.microsoft.com/office/excel/2006/main">
          <x14:cfRule type="expression" priority="14026" id="{239455FA-039D-4F0E-99F2-A3B5B2E997EC}">
            <xm:f>AND(IF(Q84&gt;'F:\Users\norela.briceno\Documents\Plan de acción\Plan Accion 2018\[Plan Accion Integrado ADRES Vigencia 2018 con Cuadro de Mando V6..xlsx]Plan de Accion 2018'!#REF!,Q84&lt;&gt;¨N/A¨))</xm:f>
            <x14:dxf>
              <fill>
                <patternFill>
                  <bgColor theme="1" tint="0.499984740745262"/>
                </patternFill>
              </fill>
            </x14:dxf>
          </x14:cfRule>
          <x14:cfRule type="expression" priority="14027" stopIfTrue="1" id="{9E176D54-84A3-43C0-BB10-3106C598706F}">
            <xm:f>AND(IF(Q84='F:\Users\norela.briceno\Documents\Plan de acción\Plan Accion 2018\[Plan Accion Integrado ADRES Vigencia 2018 con Cuadro de Mando V6..xlsx]Plan de Accion 2018'!#REF!,Q84&lt;&gt;"N/A"))</xm:f>
            <x14:dxf>
              <fill>
                <patternFill>
                  <bgColor rgb="FF00B050"/>
                </patternFill>
              </fill>
            </x14:dxf>
          </x14:cfRule>
          <x14:cfRule type="expression" priority="14028" stopIfTrue="1" id="{0EE302BE-377C-42D4-8550-100B95B06863}">
            <xm:f>AND(IF(Q84&lt;'F:\Users\norela.briceno\Documents\Plan de acción\Plan Accion 2018\[Plan Accion Integrado ADRES Vigencia 2018 con Cuadro de Mando V6..xlsx]Plan de Accion 2018'!#REF!,Q84&lt;&gt;"N/A"))</xm:f>
            <x14:dxf>
              <fill>
                <patternFill>
                  <bgColor indexed="10"/>
                </patternFill>
              </fill>
            </x14:dxf>
          </x14:cfRule>
          <xm:sqref>Q84:Q87</xm:sqref>
        </x14:conditionalFormatting>
        <x14:conditionalFormatting xmlns:xm="http://schemas.microsoft.com/office/excel/2006/main">
          <x14:cfRule type="expression" priority="14023" id="{A4F74C1A-1931-4374-982F-AA4D90128176}">
            <xm:f>AND(IF(X84&gt;'F:\Users\norela.briceno\Documents\Plan de acción\Plan Accion 2018\[Plan Accion Integrado ADRES Vigencia 2018 con Cuadro de Mando V6..xlsx]Plan de Accion 2018'!#REF!,X84&lt;&gt;¨N/A¨))</xm:f>
            <x14:dxf>
              <fill>
                <patternFill>
                  <bgColor theme="1" tint="0.499984740745262"/>
                </patternFill>
              </fill>
            </x14:dxf>
          </x14:cfRule>
          <x14:cfRule type="expression" priority="14024" stopIfTrue="1" id="{AF947819-8A75-4ED0-BD4D-0CF75295264E}">
            <xm:f>AND(IF(X84='F:\Users\norela.briceno\Documents\Plan de acción\Plan Accion 2018\[Plan Accion Integrado ADRES Vigencia 2018 con Cuadro de Mando V6..xlsx]Plan de Accion 2018'!#REF!,X84&lt;&gt;"N/A"))</xm:f>
            <x14:dxf>
              <fill>
                <patternFill>
                  <bgColor rgb="FF00B050"/>
                </patternFill>
              </fill>
            </x14:dxf>
          </x14:cfRule>
          <x14:cfRule type="expression" priority="14025" stopIfTrue="1" id="{F4378D0D-BCED-452C-93BB-8E35FA42E6E2}">
            <xm:f>AND(IF(X84&lt;'F:\Users\norela.briceno\Documents\Plan de acción\Plan Accion 2018\[Plan Accion Integrado ADRES Vigencia 2018 con Cuadro de Mando V6..xlsx]Plan de Accion 2018'!#REF!,X84&lt;&gt;"N/A"))</xm:f>
            <x14:dxf>
              <fill>
                <patternFill>
                  <bgColor indexed="10"/>
                </patternFill>
              </fill>
            </x14:dxf>
          </x14:cfRule>
          <xm:sqref>X84:X87</xm:sqref>
        </x14:conditionalFormatting>
        <x14:conditionalFormatting xmlns:xm="http://schemas.microsoft.com/office/excel/2006/main">
          <x14:cfRule type="expression" priority="14020" id="{1DAD549B-EDCC-4E1F-9FAF-D8C90C766EDB}">
            <xm:f>AND(IF(AE84&gt;'F:\Users\norela.briceno\Documents\Plan de acción\Plan Accion 2018\[Plan Accion Integrado ADRES Vigencia 2018 con Cuadro de Mando V6..xlsx]Plan de Accion 2018'!#REF!,AE84&lt;&gt;¨N/A¨))</xm:f>
            <x14:dxf>
              <fill>
                <patternFill>
                  <bgColor theme="1" tint="0.499984740745262"/>
                </patternFill>
              </fill>
            </x14:dxf>
          </x14:cfRule>
          <x14:cfRule type="expression" priority="14021" stopIfTrue="1" id="{41433009-701D-402E-9492-9230D30C415F}">
            <xm:f>AND(IF(AE84='F:\Users\norela.briceno\Documents\Plan de acción\Plan Accion 2018\[Plan Accion Integrado ADRES Vigencia 2018 con Cuadro de Mando V6..xlsx]Plan de Accion 2018'!#REF!,AE84&lt;&gt;"N/A"))</xm:f>
            <x14:dxf>
              <fill>
                <patternFill>
                  <bgColor rgb="FF00B050"/>
                </patternFill>
              </fill>
            </x14:dxf>
          </x14:cfRule>
          <x14:cfRule type="expression" priority="14022" stopIfTrue="1" id="{446EA403-6BB1-4F62-887D-E78FEDF297F5}">
            <xm:f>AND(IF(AE84&lt;'F:\Users\norela.briceno\Documents\Plan de acción\Plan Accion 2018\[Plan Accion Integrado ADRES Vigencia 2018 con Cuadro de Mando V6..xlsx]Plan de Accion 2018'!#REF!,AE84&lt;&gt;"N/A"))</xm:f>
            <x14:dxf>
              <fill>
                <patternFill>
                  <bgColor indexed="10"/>
                </patternFill>
              </fill>
            </x14:dxf>
          </x14:cfRule>
          <xm:sqref>AE84:AE87</xm:sqref>
        </x14:conditionalFormatting>
        <x14:conditionalFormatting xmlns:xm="http://schemas.microsoft.com/office/excel/2006/main">
          <x14:cfRule type="expression" priority="13957" id="{4B9ED026-1F1A-41C1-9E9B-67BF45C81410}">
            <xm:f>AND(IF(Q91&gt;'F:\Users\norela.briceno\Documents\Plan de acción\Plan Accion 2018\[Plan Accion Integrado ADRES Vigencia 2018 con Cuadro de Mando V6..xlsx]Plan de Accion 2018'!#REF!,Q91&lt;&gt;¨N/A¨))</xm:f>
            <x14:dxf>
              <fill>
                <patternFill>
                  <bgColor theme="1" tint="0.499984740745262"/>
                </patternFill>
              </fill>
            </x14:dxf>
          </x14:cfRule>
          <x14:cfRule type="expression" priority="13958" stopIfTrue="1" id="{5F43DDDB-DF00-45EB-819D-FD9CFD68CF3A}">
            <xm:f>AND(IF(Q91='F:\Users\norela.briceno\Documents\Plan de acción\Plan Accion 2018\[Plan Accion Integrado ADRES Vigencia 2018 con Cuadro de Mando V6..xlsx]Plan de Accion 2018'!#REF!,Q91&lt;&gt;"N/A"))</xm:f>
            <x14:dxf>
              <fill>
                <patternFill>
                  <bgColor rgb="FF00B050"/>
                </patternFill>
              </fill>
            </x14:dxf>
          </x14:cfRule>
          <x14:cfRule type="expression" priority="13959" stopIfTrue="1" id="{8AF9E8F0-43DF-4EA9-B1CF-8186F7389145}">
            <xm:f>AND(IF(Q91&lt;'F:\Users\norela.briceno\Documents\Plan de acción\Plan Accion 2018\[Plan Accion Integrado ADRES Vigencia 2018 con Cuadro de Mando V6..xlsx]Plan de Accion 2018'!#REF!,Q91&lt;&gt;"N/A"))</xm:f>
            <x14:dxf>
              <fill>
                <patternFill>
                  <bgColor indexed="10"/>
                </patternFill>
              </fill>
            </x14:dxf>
          </x14:cfRule>
          <xm:sqref>Q91 AE91 X91</xm:sqref>
        </x14:conditionalFormatting>
        <x14:conditionalFormatting xmlns:xm="http://schemas.microsoft.com/office/excel/2006/main">
          <x14:cfRule type="expression" priority="13951" id="{EF22D614-6381-4FBD-8426-9AB90971CDF0}">
            <xm:f>AND(IF(Q91&gt;'F:\Users\norela.briceno\Documents\Plan de acción\Plan Accion 2018\[Plan Accion Integrado ADRES Vigencia 2018 con Cuadro de Mando V6..xlsx]Plan de Accion 2018'!#REF!,Q91&lt;&gt;¨N/A¨))</xm:f>
            <x14:dxf>
              <fill>
                <patternFill>
                  <bgColor theme="1" tint="0.499984740745262"/>
                </patternFill>
              </fill>
            </x14:dxf>
          </x14:cfRule>
          <x14:cfRule type="expression" priority="13952" stopIfTrue="1" id="{C265BC57-0612-4E75-ACD8-86236B30E3AB}">
            <xm:f>AND(IF(Q91='F:\Users\norela.briceno\Documents\Plan de acción\Plan Accion 2018\[Plan Accion Integrado ADRES Vigencia 2018 con Cuadro de Mando V6..xlsx]Plan de Accion 2018'!#REF!,Q91&lt;&gt;"N/A"))</xm:f>
            <x14:dxf>
              <fill>
                <patternFill>
                  <bgColor rgb="FF00B050"/>
                </patternFill>
              </fill>
            </x14:dxf>
          </x14:cfRule>
          <x14:cfRule type="expression" priority="13953" stopIfTrue="1" id="{891B283E-9EDC-4BBC-AE0F-8669302732DE}">
            <xm:f>AND(IF(Q91&lt;'F:\Users\norela.briceno\Documents\Plan de acción\Plan Accion 2018\[Plan Accion Integrado ADRES Vigencia 2018 con Cuadro de Mando V6..xlsx]Plan de Accion 2018'!#REF!,Q91&lt;&gt;"N/A"))</xm:f>
            <x14:dxf>
              <fill>
                <patternFill>
                  <bgColor indexed="10"/>
                </patternFill>
              </fill>
            </x14:dxf>
          </x14:cfRule>
          <xm:sqref>Q91</xm:sqref>
        </x14:conditionalFormatting>
        <x14:conditionalFormatting xmlns:xm="http://schemas.microsoft.com/office/excel/2006/main">
          <x14:cfRule type="expression" priority="13948" id="{75A636CA-7DCE-4EC8-830D-0DF9A0242FCE}">
            <xm:f>AND(IF(X91&gt;'F:\Users\norela.briceno\Documents\Plan de acción\Plan Accion 2018\[Plan Accion Integrado ADRES Vigencia 2018 con Cuadro de Mando V6..xlsx]Plan de Accion 2018'!#REF!,X91&lt;&gt;¨N/A¨))</xm:f>
            <x14:dxf>
              <fill>
                <patternFill>
                  <bgColor theme="1" tint="0.499984740745262"/>
                </patternFill>
              </fill>
            </x14:dxf>
          </x14:cfRule>
          <x14:cfRule type="expression" priority="13949" stopIfTrue="1" id="{D3ED750C-B1FD-4904-829C-B67CF2655DA0}">
            <xm:f>AND(IF(X91='F:\Users\norela.briceno\Documents\Plan de acción\Plan Accion 2018\[Plan Accion Integrado ADRES Vigencia 2018 con Cuadro de Mando V6..xlsx]Plan de Accion 2018'!#REF!,X91&lt;&gt;"N/A"))</xm:f>
            <x14:dxf>
              <fill>
                <patternFill>
                  <bgColor rgb="FF00B050"/>
                </patternFill>
              </fill>
            </x14:dxf>
          </x14:cfRule>
          <x14:cfRule type="expression" priority="13950" stopIfTrue="1" id="{0BF87665-CA1D-424C-94D6-ED7291C96E2C}">
            <xm:f>AND(IF(X91&lt;'F:\Users\norela.briceno\Documents\Plan de acción\Plan Accion 2018\[Plan Accion Integrado ADRES Vigencia 2018 con Cuadro de Mando V6..xlsx]Plan de Accion 2018'!#REF!,X91&lt;&gt;"N/A"))</xm:f>
            <x14:dxf>
              <fill>
                <patternFill>
                  <bgColor indexed="10"/>
                </patternFill>
              </fill>
            </x14:dxf>
          </x14:cfRule>
          <xm:sqref>X91</xm:sqref>
        </x14:conditionalFormatting>
        <x14:conditionalFormatting xmlns:xm="http://schemas.microsoft.com/office/excel/2006/main">
          <x14:cfRule type="expression" priority="13945" id="{37B18A94-A42E-4635-B9C1-1D9DF06DE6BF}">
            <xm:f>AND(IF(AE91&gt;'F:\Users\norela.briceno\Documents\Plan de acción\Plan Accion 2018\[Plan Accion Integrado ADRES Vigencia 2018 con Cuadro de Mando V6..xlsx]Plan de Accion 2018'!#REF!,AE91&lt;&gt;¨N/A¨))</xm:f>
            <x14:dxf>
              <fill>
                <patternFill>
                  <bgColor theme="1" tint="0.499984740745262"/>
                </patternFill>
              </fill>
            </x14:dxf>
          </x14:cfRule>
          <x14:cfRule type="expression" priority="13946" stopIfTrue="1" id="{2CF224C8-E017-4D67-9A5D-4201C95BADDD}">
            <xm:f>AND(IF(AE91='F:\Users\norela.briceno\Documents\Plan de acción\Plan Accion 2018\[Plan Accion Integrado ADRES Vigencia 2018 con Cuadro de Mando V6..xlsx]Plan de Accion 2018'!#REF!,AE91&lt;&gt;"N/A"))</xm:f>
            <x14:dxf>
              <fill>
                <patternFill>
                  <bgColor rgb="FF00B050"/>
                </patternFill>
              </fill>
            </x14:dxf>
          </x14:cfRule>
          <x14:cfRule type="expression" priority="13947" stopIfTrue="1" id="{8B3F7801-A99D-42DA-A52E-A5888E62650C}">
            <xm:f>AND(IF(AE91&lt;'F:\Users\norela.briceno\Documents\Plan de acción\Plan Accion 2018\[Plan Accion Integrado ADRES Vigencia 2018 con Cuadro de Mando V6..xlsx]Plan de Accion 2018'!#REF!,AE91&lt;&gt;"N/A"))</xm:f>
            <x14:dxf>
              <fill>
                <patternFill>
                  <bgColor indexed="10"/>
                </patternFill>
              </fill>
            </x14:dxf>
          </x14:cfRule>
          <xm:sqref>AE91</xm:sqref>
        </x14:conditionalFormatting>
        <x14:conditionalFormatting xmlns:xm="http://schemas.microsoft.com/office/excel/2006/main">
          <x14:cfRule type="expression" priority="13852" id="{53C51005-2A71-437E-81E8-503A9A16D1C6}">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853" stopIfTrue="1" id="{B9A5D313-824E-4E99-AA2F-427D14209561}">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854" stopIfTrue="1" id="{463F36C8-E64A-4D85-B233-A70B91D17A33}">
            <xm:f>AND(IF(J97&lt;'F:\Users\norela.briceno\Documents\Plan de acción\Plan Accion 2018\[Plan Accion Integrado ADRES Vigencia 2018 con Cuadro de Mando V6..xlsx]Plan de Accion 2018'!#REF!,J97&lt;&gt;"N/A"))</xm:f>
            <x14:dxf>
              <fill>
                <patternFill>
                  <bgColor indexed="10"/>
                </patternFill>
              </fill>
            </x14:dxf>
          </x14:cfRule>
          <xm:sqref>J97 Q97 AE97 X97</xm:sqref>
        </x14:conditionalFormatting>
        <x14:conditionalFormatting xmlns:xm="http://schemas.microsoft.com/office/excel/2006/main">
          <x14:cfRule type="expression" priority="13849" id="{F26DE3D4-0C2B-47B3-AFB4-B8BECEF06843}">
            <xm:f>AND(IF(J97&gt;'F:\Users\norela.briceno\Documents\Plan de acción\Plan Accion 2018\[Plan Accion Integrado ADRES Vigencia 2018 con Cuadro de Mando V6..xlsx]Plan de Accion 2018'!#REF!,J97&lt;&gt;¨N/A¨))</xm:f>
            <x14:dxf>
              <fill>
                <patternFill>
                  <bgColor theme="1" tint="0.499984740745262"/>
                </patternFill>
              </fill>
            </x14:dxf>
          </x14:cfRule>
          <x14:cfRule type="expression" priority="13850" stopIfTrue="1" id="{3483F931-0387-4F09-B068-F8529A1E66E4}">
            <xm:f>AND(IF(J97='F:\Users\norela.briceno\Documents\Plan de acción\Plan Accion 2018\[Plan Accion Integrado ADRES Vigencia 2018 con Cuadro de Mando V6..xlsx]Plan de Accion 2018'!#REF!,J97&lt;&gt;"N/A"))</xm:f>
            <x14:dxf>
              <fill>
                <patternFill>
                  <bgColor rgb="FF00B050"/>
                </patternFill>
              </fill>
            </x14:dxf>
          </x14:cfRule>
          <x14:cfRule type="expression" priority="13851" stopIfTrue="1" id="{589BCABB-68CB-4C3D-B5EF-5C9FC02BE327}">
            <xm:f>AND(IF(J97&lt;'F:\Users\norela.briceno\Documents\Plan de acción\Plan Accion 2018\[Plan Accion Integrado ADRES Vigencia 2018 con Cuadro de Mando V6..xlsx]Plan de Accion 2018'!#REF!,J97&lt;&gt;"N/A"))</xm:f>
            <x14:dxf>
              <fill>
                <patternFill>
                  <bgColor indexed="10"/>
                </patternFill>
              </fill>
            </x14:dxf>
          </x14:cfRule>
          <xm:sqref>J97</xm:sqref>
        </x14:conditionalFormatting>
        <x14:conditionalFormatting xmlns:xm="http://schemas.microsoft.com/office/excel/2006/main">
          <x14:cfRule type="expression" priority="13846" id="{065F16C1-E4FB-46DC-B2EE-14E1C551A968}">
            <xm:f>AND(IF(Q97&gt;'F:\Users\norela.briceno\Documents\Plan de acción\Plan Accion 2018\[Plan Accion Integrado ADRES Vigencia 2018 con Cuadro de Mando V6..xlsx]Plan de Accion 2018'!#REF!,Q97&lt;&gt;¨N/A¨))</xm:f>
            <x14:dxf>
              <fill>
                <patternFill>
                  <bgColor theme="1" tint="0.499984740745262"/>
                </patternFill>
              </fill>
            </x14:dxf>
          </x14:cfRule>
          <x14:cfRule type="expression" priority="13847" stopIfTrue="1" id="{7AD4A33F-130A-454F-83CA-E50DC8AFBDB5}">
            <xm:f>AND(IF(Q97='F:\Users\norela.briceno\Documents\Plan de acción\Plan Accion 2018\[Plan Accion Integrado ADRES Vigencia 2018 con Cuadro de Mando V6..xlsx]Plan de Accion 2018'!#REF!,Q97&lt;&gt;"N/A"))</xm:f>
            <x14:dxf>
              <fill>
                <patternFill>
                  <bgColor rgb="FF00B050"/>
                </patternFill>
              </fill>
            </x14:dxf>
          </x14:cfRule>
          <x14:cfRule type="expression" priority="13848" stopIfTrue="1" id="{9378AD81-E052-4DE5-B6A7-211AA5B84A73}">
            <xm:f>AND(IF(Q97&lt;'F:\Users\norela.briceno\Documents\Plan de acción\Plan Accion 2018\[Plan Accion Integrado ADRES Vigencia 2018 con Cuadro de Mando V6..xlsx]Plan de Accion 2018'!#REF!,Q97&lt;&gt;"N/A"))</xm:f>
            <x14:dxf>
              <fill>
                <patternFill>
                  <bgColor indexed="10"/>
                </patternFill>
              </fill>
            </x14:dxf>
          </x14:cfRule>
          <xm:sqref>Q97</xm:sqref>
        </x14:conditionalFormatting>
        <x14:conditionalFormatting xmlns:xm="http://schemas.microsoft.com/office/excel/2006/main">
          <x14:cfRule type="expression" priority="13843" id="{09D9FF6C-6B19-4716-B16B-088BD385C9A0}">
            <xm:f>AND(IF(X97&gt;'F:\Users\norela.briceno\Documents\Plan de acción\Plan Accion 2018\[Plan Accion Integrado ADRES Vigencia 2018 con Cuadro de Mando V6..xlsx]Plan de Accion 2018'!#REF!,X97&lt;&gt;¨N/A¨))</xm:f>
            <x14:dxf>
              <fill>
                <patternFill>
                  <bgColor theme="1" tint="0.499984740745262"/>
                </patternFill>
              </fill>
            </x14:dxf>
          </x14:cfRule>
          <x14:cfRule type="expression" priority="13844" stopIfTrue="1" id="{5B825C0A-EAC1-4308-8266-9970125A5BE2}">
            <xm:f>AND(IF(X97='F:\Users\norela.briceno\Documents\Plan de acción\Plan Accion 2018\[Plan Accion Integrado ADRES Vigencia 2018 con Cuadro de Mando V6..xlsx]Plan de Accion 2018'!#REF!,X97&lt;&gt;"N/A"))</xm:f>
            <x14:dxf>
              <fill>
                <patternFill>
                  <bgColor rgb="FF00B050"/>
                </patternFill>
              </fill>
            </x14:dxf>
          </x14:cfRule>
          <x14:cfRule type="expression" priority="13845" stopIfTrue="1" id="{AC9FE457-6058-4659-8427-959FC8F304AA}">
            <xm:f>AND(IF(X97&lt;'F:\Users\norela.briceno\Documents\Plan de acción\Plan Accion 2018\[Plan Accion Integrado ADRES Vigencia 2018 con Cuadro de Mando V6..xlsx]Plan de Accion 2018'!#REF!,X97&lt;&gt;"N/A"))</xm:f>
            <x14:dxf>
              <fill>
                <patternFill>
                  <bgColor indexed="10"/>
                </patternFill>
              </fill>
            </x14:dxf>
          </x14:cfRule>
          <xm:sqref>X97</xm:sqref>
        </x14:conditionalFormatting>
        <x14:conditionalFormatting xmlns:xm="http://schemas.microsoft.com/office/excel/2006/main">
          <x14:cfRule type="expression" priority="13840" id="{F0EB1602-8F1A-4FCD-B7F0-12D211BF4DFD}">
            <xm:f>AND(IF(AE97&gt;'F:\Users\norela.briceno\Documents\Plan de acción\Plan Accion 2018\[Plan Accion Integrado ADRES Vigencia 2018 con Cuadro de Mando V6..xlsx]Plan de Accion 2018'!#REF!,AE97&lt;&gt;¨N/A¨))</xm:f>
            <x14:dxf>
              <fill>
                <patternFill>
                  <bgColor theme="1" tint="0.499984740745262"/>
                </patternFill>
              </fill>
            </x14:dxf>
          </x14:cfRule>
          <x14:cfRule type="expression" priority="13841" stopIfTrue="1" id="{E3AA2E07-27E8-4FB5-9521-3FE7CDF17403}">
            <xm:f>AND(IF(AE97='F:\Users\norela.briceno\Documents\Plan de acción\Plan Accion 2018\[Plan Accion Integrado ADRES Vigencia 2018 con Cuadro de Mando V6..xlsx]Plan de Accion 2018'!#REF!,AE97&lt;&gt;"N/A"))</xm:f>
            <x14:dxf>
              <fill>
                <patternFill>
                  <bgColor rgb="FF00B050"/>
                </patternFill>
              </fill>
            </x14:dxf>
          </x14:cfRule>
          <x14:cfRule type="expression" priority="13842" stopIfTrue="1" id="{262A5DDF-4685-47D8-AC11-DD86CDF7B07F}">
            <xm:f>AND(IF(AE97&lt;'F:\Users\norela.briceno\Documents\Plan de acción\Plan Accion 2018\[Plan Accion Integrado ADRES Vigencia 2018 con Cuadro de Mando V6..xlsx]Plan de Accion 2018'!#REF!,AE97&lt;&gt;"N/A"))</xm:f>
            <x14:dxf>
              <fill>
                <patternFill>
                  <bgColor indexed="10"/>
                </patternFill>
              </fill>
            </x14:dxf>
          </x14:cfRule>
          <xm:sqref>AE97</xm:sqref>
        </x14:conditionalFormatting>
        <x14:conditionalFormatting xmlns:xm="http://schemas.microsoft.com/office/excel/2006/main">
          <x14:cfRule type="expression" priority="13777" id="{DDA5985C-B503-427C-B961-AA897B874158}">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778" stopIfTrue="1" id="{97DEACE8-306D-44D2-874C-91D185469876}">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779" stopIfTrue="1" id="{8966E3D8-383E-4E38-8A66-A9E750A01A12}">
            <xm:f>AND(IF(Q117&lt;'F:\Users\norela.briceno\Documents\Plan de acción\Plan Accion 2018\[Plan Accion Integrado ADRES Vigencia 2018 con Cuadro de Mando V6..xlsx]Plan de Accion 2018'!#REF!,Q117&lt;&gt;"N/A"))</xm:f>
            <x14:dxf>
              <fill>
                <patternFill>
                  <bgColor indexed="10"/>
                </patternFill>
              </fill>
            </x14:dxf>
          </x14:cfRule>
          <xm:sqref>X117:X118 AE117:AE118 Q117:Q118</xm:sqref>
        </x14:conditionalFormatting>
        <x14:conditionalFormatting xmlns:xm="http://schemas.microsoft.com/office/excel/2006/main">
          <x14:cfRule type="expression" priority="13771" id="{96E84A85-A8D1-4ADF-918E-E441211359CB}">
            <xm:f>AND(IF(Q117&gt;'F:\Users\norela.briceno\Documents\Plan de acción\Plan Accion 2018\[Plan Accion Integrado ADRES Vigencia 2018 con Cuadro de Mando V6..xlsx]Plan de Accion 2018'!#REF!,Q117&lt;&gt;¨N/A¨))</xm:f>
            <x14:dxf>
              <fill>
                <patternFill>
                  <bgColor theme="1" tint="0.499984740745262"/>
                </patternFill>
              </fill>
            </x14:dxf>
          </x14:cfRule>
          <x14:cfRule type="expression" priority="13772" stopIfTrue="1" id="{7F5945B6-C3B8-42BE-BA80-0639CF3782D2}">
            <xm:f>AND(IF(Q117='F:\Users\norela.briceno\Documents\Plan de acción\Plan Accion 2018\[Plan Accion Integrado ADRES Vigencia 2018 con Cuadro de Mando V6..xlsx]Plan de Accion 2018'!#REF!,Q117&lt;&gt;"N/A"))</xm:f>
            <x14:dxf>
              <fill>
                <patternFill>
                  <bgColor rgb="FF00B050"/>
                </patternFill>
              </fill>
            </x14:dxf>
          </x14:cfRule>
          <x14:cfRule type="expression" priority="13773" stopIfTrue="1" id="{B4E8FE5C-EBB5-46F9-B585-68C7606389B1}">
            <xm:f>AND(IF(Q117&lt;'F:\Users\norela.briceno\Documents\Plan de acción\Plan Accion 2018\[Plan Accion Integrado ADRES Vigencia 2018 con Cuadro de Mando V6..xlsx]Plan de Accion 2018'!#REF!,Q117&lt;&gt;"N/A"))</xm:f>
            <x14:dxf>
              <fill>
                <patternFill>
                  <bgColor indexed="10"/>
                </patternFill>
              </fill>
            </x14:dxf>
          </x14:cfRule>
          <xm:sqref>Q117:Q118</xm:sqref>
        </x14:conditionalFormatting>
        <x14:conditionalFormatting xmlns:xm="http://schemas.microsoft.com/office/excel/2006/main">
          <x14:cfRule type="expression" priority="13768" id="{E63EC1C9-7EBD-455E-9DF6-F11742D28D7A}">
            <xm:f>AND(IF(X117&gt;'F:\Users\norela.briceno\Documents\Plan de acción\Plan Accion 2018\[Plan Accion Integrado ADRES Vigencia 2018 con Cuadro de Mando V6..xlsx]Plan de Accion 2018'!#REF!,X117&lt;&gt;¨N/A¨))</xm:f>
            <x14:dxf>
              <fill>
                <patternFill>
                  <bgColor theme="1" tint="0.499984740745262"/>
                </patternFill>
              </fill>
            </x14:dxf>
          </x14:cfRule>
          <x14:cfRule type="expression" priority="13769" stopIfTrue="1" id="{4B907935-CDEF-4703-96A5-D20F4EB6A06F}">
            <xm:f>AND(IF(X117='F:\Users\norela.briceno\Documents\Plan de acción\Plan Accion 2018\[Plan Accion Integrado ADRES Vigencia 2018 con Cuadro de Mando V6..xlsx]Plan de Accion 2018'!#REF!,X117&lt;&gt;"N/A"))</xm:f>
            <x14:dxf>
              <fill>
                <patternFill>
                  <bgColor rgb="FF00B050"/>
                </patternFill>
              </fill>
            </x14:dxf>
          </x14:cfRule>
          <x14:cfRule type="expression" priority="13770" stopIfTrue="1" id="{32AA0DD3-9195-49E4-B4F7-9F4425802FB1}">
            <xm:f>AND(IF(X117&lt;'F:\Users\norela.briceno\Documents\Plan de acción\Plan Accion 2018\[Plan Accion Integrado ADRES Vigencia 2018 con Cuadro de Mando V6..xlsx]Plan de Accion 2018'!#REF!,X117&lt;&gt;"N/A"))</xm:f>
            <x14:dxf>
              <fill>
                <patternFill>
                  <bgColor indexed="10"/>
                </patternFill>
              </fill>
            </x14:dxf>
          </x14:cfRule>
          <xm:sqref>X117:X118</xm:sqref>
        </x14:conditionalFormatting>
        <x14:conditionalFormatting xmlns:xm="http://schemas.microsoft.com/office/excel/2006/main">
          <x14:cfRule type="expression" priority="13765" id="{95AC7BE9-8445-4724-9A2B-1DD720A3828E}">
            <xm:f>AND(IF(AE117&gt;'F:\Users\norela.briceno\Documents\Plan de acción\Plan Accion 2018\[Plan Accion Integrado ADRES Vigencia 2018 con Cuadro de Mando V6..xlsx]Plan de Accion 2018'!#REF!,AE117&lt;&gt;¨N/A¨))</xm:f>
            <x14:dxf>
              <fill>
                <patternFill>
                  <bgColor theme="1" tint="0.499984740745262"/>
                </patternFill>
              </fill>
            </x14:dxf>
          </x14:cfRule>
          <x14:cfRule type="expression" priority="13766" stopIfTrue="1" id="{C8B2E0D7-5A7C-405B-BCB5-9C154BA2197D}">
            <xm:f>AND(IF(AE117='F:\Users\norela.briceno\Documents\Plan de acción\Plan Accion 2018\[Plan Accion Integrado ADRES Vigencia 2018 con Cuadro de Mando V6..xlsx]Plan de Accion 2018'!#REF!,AE117&lt;&gt;"N/A"))</xm:f>
            <x14:dxf>
              <fill>
                <patternFill>
                  <bgColor rgb="FF00B050"/>
                </patternFill>
              </fill>
            </x14:dxf>
          </x14:cfRule>
          <x14:cfRule type="expression" priority="13767" stopIfTrue="1" id="{B54586AB-D094-44AF-9C60-5EAE48D719C6}">
            <xm:f>AND(IF(AE117&lt;'F:\Users\norela.briceno\Documents\Plan de acción\Plan Accion 2018\[Plan Accion Integrado ADRES Vigencia 2018 con Cuadro de Mando V6..xlsx]Plan de Accion 2018'!#REF!,AE117&lt;&gt;"N/A"))</xm:f>
            <x14:dxf>
              <fill>
                <patternFill>
                  <bgColor indexed="10"/>
                </patternFill>
              </fill>
            </x14:dxf>
          </x14:cfRule>
          <xm:sqref>AE117:AE118</xm:sqref>
        </x14:conditionalFormatting>
        <x14:conditionalFormatting xmlns:xm="http://schemas.microsoft.com/office/excel/2006/main">
          <x14:cfRule type="expression" priority="13527" id="{7297B0F6-BE73-4CCC-A042-D26EA8CFE6D2}">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3528" stopIfTrue="1" id="{EFAD7420-55B7-43A2-A1DB-4B76B8D762B5}">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3529" stopIfTrue="1" id="{BE390E43-647D-4F7E-918E-E9E53B34E0A7}">
            <xm:f>AND(IF(J121&lt;'F:\Users\norela.briceno\Documents\Plan de acción\Plan Accion 2018\[Plan Accion Integrado ADRES Vigencia 2018 con Cuadro de Mando V6..xlsx]Plan de Accion 2018'!#REF!,J121&lt;&gt;"N/A"))</xm:f>
            <x14:dxf>
              <fill>
                <patternFill>
                  <bgColor indexed="10"/>
                </patternFill>
              </fill>
            </x14:dxf>
          </x14:cfRule>
          <xm:sqref>J121 Q121 AE121 X121</xm:sqref>
        </x14:conditionalFormatting>
        <x14:conditionalFormatting xmlns:xm="http://schemas.microsoft.com/office/excel/2006/main">
          <x14:cfRule type="expression" priority="13524" id="{205C9F47-AA63-4495-A188-F9F82D1E0CA5}">
            <xm:f>AND(IF(J121&gt;'F:\Users\norela.briceno\Documents\Plan de acción\Plan Accion 2018\[Plan Accion Integrado ADRES Vigencia 2018 con Cuadro de Mando V6..xlsx]Plan de Accion 2018'!#REF!,J121&lt;&gt;¨N/A¨))</xm:f>
            <x14:dxf>
              <fill>
                <patternFill>
                  <bgColor theme="1" tint="0.499984740745262"/>
                </patternFill>
              </fill>
            </x14:dxf>
          </x14:cfRule>
          <x14:cfRule type="expression" priority="13525" stopIfTrue="1" id="{EE349937-4810-4765-A4B7-BCC187867CE2}">
            <xm:f>AND(IF(J121='F:\Users\norela.briceno\Documents\Plan de acción\Plan Accion 2018\[Plan Accion Integrado ADRES Vigencia 2018 con Cuadro de Mando V6..xlsx]Plan de Accion 2018'!#REF!,J121&lt;&gt;"N/A"))</xm:f>
            <x14:dxf>
              <fill>
                <patternFill>
                  <bgColor rgb="FF00B050"/>
                </patternFill>
              </fill>
            </x14:dxf>
          </x14:cfRule>
          <x14:cfRule type="expression" priority="13526" stopIfTrue="1" id="{CC062B61-6CF7-48DD-B327-167048940045}">
            <xm:f>AND(IF(J121&lt;'F:\Users\norela.briceno\Documents\Plan de acción\Plan Accion 2018\[Plan Accion Integrado ADRES Vigencia 2018 con Cuadro de Mando V6..xlsx]Plan de Accion 2018'!#REF!,J121&lt;&gt;"N/A"))</xm:f>
            <x14:dxf>
              <fill>
                <patternFill>
                  <bgColor indexed="10"/>
                </patternFill>
              </fill>
            </x14:dxf>
          </x14:cfRule>
          <xm:sqref>J121</xm:sqref>
        </x14:conditionalFormatting>
        <x14:conditionalFormatting xmlns:xm="http://schemas.microsoft.com/office/excel/2006/main">
          <x14:cfRule type="expression" priority="13521" id="{D3DBD128-39AB-43BA-9DD1-45F01CE378B2}">
            <xm:f>AND(IF(Q121&gt;'F:\Users\norela.briceno\Documents\Plan de acción\Plan Accion 2018\[Plan Accion Integrado ADRES Vigencia 2018 con Cuadro de Mando V6..xlsx]Plan de Accion 2018'!#REF!,Q121&lt;&gt;¨N/A¨))</xm:f>
            <x14:dxf>
              <fill>
                <patternFill>
                  <bgColor theme="1" tint="0.499984740745262"/>
                </patternFill>
              </fill>
            </x14:dxf>
          </x14:cfRule>
          <x14:cfRule type="expression" priority="13522" stopIfTrue="1" id="{67E87854-CA43-48A9-B6B4-E0307AA88FBB}">
            <xm:f>AND(IF(Q121='F:\Users\norela.briceno\Documents\Plan de acción\Plan Accion 2018\[Plan Accion Integrado ADRES Vigencia 2018 con Cuadro de Mando V6..xlsx]Plan de Accion 2018'!#REF!,Q121&lt;&gt;"N/A"))</xm:f>
            <x14:dxf>
              <fill>
                <patternFill>
                  <bgColor rgb="FF00B050"/>
                </patternFill>
              </fill>
            </x14:dxf>
          </x14:cfRule>
          <x14:cfRule type="expression" priority="13523" stopIfTrue="1" id="{09C36372-661A-492B-BC33-54EE731C8066}">
            <xm:f>AND(IF(Q121&lt;'F:\Users\norela.briceno\Documents\Plan de acción\Plan Accion 2018\[Plan Accion Integrado ADRES Vigencia 2018 con Cuadro de Mando V6..xlsx]Plan de Accion 2018'!#REF!,Q121&lt;&gt;"N/A"))</xm:f>
            <x14:dxf>
              <fill>
                <patternFill>
                  <bgColor indexed="10"/>
                </patternFill>
              </fill>
            </x14:dxf>
          </x14:cfRule>
          <xm:sqref>Q121</xm:sqref>
        </x14:conditionalFormatting>
        <x14:conditionalFormatting xmlns:xm="http://schemas.microsoft.com/office/excel/2006/main">
          <x14:cfRule type="expression" priority="13518" id="{44077BD7-1FDC-4B1F-8E7D-826B7DD64937}">
            <xm:f>AND(IF(X121&gt;'F:\Users\norela.briceno\Documents\Plan de acción\Plan Accion 2018\[Plan Accion Integrado ADRES Vigencia 2018 con Cuadro de Mando V6..xlsx]Plan de Accion 2018'!#REF!,X121&lt;&gt;¨N/A¨))</xm:f>
            <x14:dxf>
              <fill>
                <patternFill>
                  <bgColor theme="1" tint="0.499984740745262"/>
                </patternFill>
              </fill>
            </x14:dxf>
          </x14:cfRule>
          <x14:cfRule type="expression" priority="13519" stopIfTrue="1" id="{392DB548-6FB3-4FEA-9CD5-0770C1131164}">
            <xm:f>AND(IF(X121='F:\Users\norela.briceno\Documents\Plan de acción\Plan Accion 2018\[Plan Accion Integrado ADRES Vigencia 2018 con Cuadro de Mando V6..xlsx]Plan de Accion 2018'!#REF!,X121&lt;&gt;"N/A"))</xm:f>
            <x14:dxf>
              <fill>
                <patternFill>
                  <bgColor rgb="FF00B050"/>
                </patternFill>
              </fill>
            </x14:dxf>
          </x14:cfRule>
          <x14:cfRule type="expression" priority="13520" stopIfTrue="1" id="{E2FDE6B0-E42B-4375-9DFC-5370991E9EFF}">
            <xm:f>AND(IF(X121&lt;'F:\Users\norela.briceno\Documents\Plan de acción\Plan Accion 2018\[Plan Accion Integrado ADRES Vigencia 2018 con Cuadro de Mando V6..xlsx]Plan de Accion 2018'!#REF!,X121&lt;&gt;"N/A"))</xm:f>
            <x14:dxf>
              <fill>
                <patternFill>
                  <bgColor indexed="10"/>
                </patternFill>
              </fill>
            </x14:dxf>
          </x14:cfRule>
          <xm:sqref>X121</xm:sqref>
        </x14:conditionalFormatting>
        <x14:conditionalFormatting xmlns:xm="http://schemas.microsoft.com/office/excel/2006/main">
          <x14:cfRule type="expression" priority="13515" id="{B9FE1234-3181-4216-933F-D0062C2974B0}">
            <xm:f>AND(IF(AE121&gt;'F:\Users\norela.briceno\Documents\Plan de acción\Plan Accion 2018\[Plan Accion Integrado ADRES Vigencia 2018 con Cuadro de Mando V6..xlsx]Plan de Accion 2018'!#REF!,AE121&lt;&gt;¨N/A¨))</xm:f>
            <x14:dxf>
              <fill>
                <patternFill>
                  <bgColor theme="1" tint="0.499984740745262"/>
                </patternFill>
              </fill>
            </x14:dxf>
          </x14:cfRule>
          <x14:cfRule type="expression" priority="13516" stopIfTrue="1" id="{469A97B9-2512-4CDC-8056-AA297032EB44}">
            <xm:f>AND(IF(AE121='F:\Users\norela.briceno\Documents\Plan de acción\Plan Accion 2018\[Plan Accion Integrado ADRES Vigencia 2018 con Cuadro de Mando V6..xlsx]Plan de Accion 2018'!#REF!,AE121&lt;&gt;"N/A"))</xm:f>
            <x14:dxf>
              <fill>
                <patternFill>
                  <bgColor rgb="FF00B050"/>
                </patternFill>
              </fill>
            </x14:dxf>
          </x14:cfRule>
          <x14:cfRule type="expression" priority="13517" stopIfTrue="1" id="{FAE651FF-2EEB-4363-82A9-F689BFF982DE}">
            <xm:f>AND(IF(AE121&lt;'F:\Users\norela.briceno\Documents\Plan de acción\Plan Accion 2018\[Plan Accion Integrado ADRES Vigencia 2018 con Cuadro de Mando V6..xlsx]Plan de Accion 2018'!#REF!,AE121&lt;&gt;"N/A"))</xm:f>
            <x14:dxf>
              <fill>
                <patternFill>
                  <bgColor indexed="10"/>
                </patternFill>
              </fill>
            </x14:dxf>
          </x14:cfRule>
          <xm:sqref>AE121</xm:sqref>
        </x14:conditionalFormatting>
        <x14:conditionalFormatting xmlns:xm="http://schemas.microsoft.com/office/excel/2006/main">
          <x14:cfRule type="expression" priority="13432" id="{7926FE22-2995-4E51-B818-A25C7D0AF7B6}">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433" stopIfTrue="1" id="{35E70380-2D43-446A-ACD5-F8B68008283D}">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434" stopIfTrue="1" id="{B2387472-0577-48EC-8832-A3D0EAD0D0F6}">
            <xm:f>AND(IF(J122&lt;'F:\Users\norela.briceno\Documents\Plan de acción\Plan Accion 2018\[Plan Accion Integrado ADRES Vigencia 2018 con Cuadro de Mando V6..xlsx]Plan de Accion 2018'!#REF!,J122&lt;&gt;"N/A"))</xm:f>
            <x14:dxf>
              <fill>
                <patternFill>
                  <bgColor indexed="10"/>
                </patternFill>
              </fill>
            </x14:dxf>
          </x14:cfRule>
          <xm:sqref>J122 Q122 AE122 X122</xm:sqref>
        </x14:conditionalFormatting>
        <x14:conditionalFormatting xmlns:xm="http://schemas.microsoft.com/office/excel/2006/main">
          <x14:cfRule type="expression" priority="13429" id="{4228F7E5-3DE9-43BD-9BFE-997DF0B6FB8A}">
            <xm:f>AND(IF(J122&gt;'F:\Users\norela.briceno\Documents\Plan de acción\Plan Accion 2018\[Plan Accion Integrado ADRES Vigencia 2018 con Cuadro de Mando V6..xlsx]Plan de Accion 2018'!#REF!,J122&lt;&gt;¨N/A¨))</xm:f>
            <x14:dxf>
              <fill>
                <patternFill>
                  <bgColor theme="1" tint="0.499984740745262"/>
                </patternFill>
              </fill>
            </x14:dxf>
          </x14:cfRule>
          <x14:cfRule type="expression" priority="13430" stopIfTrue="1" id="{2CB281CD-6724-4A85-9848-DD5AFB42056D}">
            <xm:f>AND(IF(J122='F:\Users\norela.briceno\Documents\Plan de acción\Plan Accion 2018\[Plan Accion Integrado ADRES Vigencia 2018 con Cuadro de Mando V6..xlsx]Plan de Accion 2018'!#REF!,J122&lt;&gt;"N/A"))</xm:f>
            <x14:dxf>
              <fill>
                <patternFill>
                  <bgColor rgb="FF00B050"/>
                </patternFill>
              </fill>
            </x14:dxf>
          </x14:cfRule>
          <x14:cfRule type="expression" priority="13431" stopIfTrue="1" id="{70D39E03-FFB9-45E7-96F8-AFC091CBAF82}">
            <xm:f>AND(IF(J122&lt;'F:\Users\norela.briceno\Documents\Plan de acción\Plan Accion 2018\[Plan Accion Integrado ADRES Vigencia 2018 con Cuadro de Mando V6..xlsx]Plan de Accion 2018'!#REF!,J122&lt;&gt;"N/A"))</xm:f>
            <x14:dxf>
              <fill>
                <patternFill>
                  <bgColor indexed="10"/>
                </patternFill>
              </fill>
            </x14:dxf>
          </x14:cfRule>
          <xm:sqref>J122</xm:sqref>
        </x14:conditionalFormatting>
        <x14:conditionalFormatting xmlns:xm="http://schemas.microsoft.com/office/excel/2006/main">
          <x14:cfRule type="expression" priority="13426" id="{AD495438-792F-4E30-936E-81E6A8FA5777}">
            <xm:f>AND(IF(Q122&gt;'F:\Users\norela.briceno\Documents\Plan de acción\Plan Accion 2018\[Plan Accion Integrado ADRES Vigencia 2018 con Cuadro de Mando V6..xlsx]Plan de Accion 2018'!#REF!,Q122&lt;&gt;¨N/A¨))</xm:f>
            <x14:dxf>
              <fill>
                <patternFill>
                  <bgColor theme="1" tint="0.499984740745262"/>
                </patternFill>
              </fill>
            </x14:dxf>
          </x14:cfRule>
          <x14:cfRule type="expression" priority="13427" stopIfTrue="1" id="{A16BD7B5-7B44-4268-A65B-BD3DB47752BE}">
            <xm:f>AND(IF(Q122='F:\Users\norela.briceno\Documents\Plan de acción\Plan Accion 2018\[Plan Accion Integrado ADRES Vigencia 2018 con Cuadro de Mando V6..xlsx]Plan de Accion 2018'!#REF!,Q122&lt;&gt;"N/A"))</xm:f>
            <x14:dxf>
              <fill>
                <patternFill>
                  <bgColor rgb="FF00B050"/>
                </patternFill>
              </fill>
            </x14:dxf>
          </x14:cfRule>
          <x14:cfRule type="expression" priority="13428" stopIfTrue="1" id="{AD498195-6575-4CF8-B94F-E9B102E30D3C}">
            <xm:f>AND(IF(Q122&lt;'F:\Users\norela.briceno\Documents\Plan de acción\Plan Accion 2018\[Plan Accion Integrado ADRES Vigencia 2018 con Cuadro de Mando V6..xlsx]Plan de Accion 2018'!#REF!,Q122&lt;&gt;"N/A"))</xm:f>
            <x14:dxf>
              <fill>
                <patternFill>
                  <bgColor indexed="10"/>
                </patternFill>
              </fill>
            </x14:dxf>
          </x14:cfRule>
          <xm:sqref>Q122</xm:sqref>
        </x14:conditionalFormatting>
        <x14:conditionalFormatting xmlns:xm="http://schemas.microsoft.com/office/excel/2006/main">
          <x14:cfRule type="expression" priority="13423" id="{B090EC68-3CE7-43B6-A0D3-0DB636FA4EE6}">
            <xm:f>AND(IF(X122&gt;'F:\Users\norela.briceno\Documents\Plan de acción\Plan Accion 2018\[Plan Accion Integrado ADRES Vigencia 2018 con Cuadro de Mando V6..xlsx]Plan de Accion 2018'!#REF!,X122&lt;&gt;¨N/A¨))</xm:f>
            <x14:dxf>
              <fill>
                <patternFill>
                  <bgColor theme="1" tint="0.499984740745262"/>
                </patternFill>
              </fill>
            </x14:dxf>
          </x14:cfRule>
          <x14:cfRule type="expression" priority="13424" stopIfTrue="1" id="{6F7A52DC-0353-46A0-B336-21A1A7055D31}">
            <xm:f>AND(IF(X122='F:\Users\norela.briceno\Documents\Plan de acción\Plan Accion 2018\[Plan Accion Integrado ADRES Vigencia 2018 con Cuadro de Mando V6..xlsx]Plan de Accion 2018'!#REF!,X122&lt;&gt;"N/A"))</xm:f>
            <x14:dxf>
              <fill>
                <patternFill>
                  <bgColor rgb="FF00B050"/>
                </patternFill>
              </fill>
            </x14:dxf>
          </x14:cfRule>
          <x14:cfRule type="expression" priority="13425" stopIfTrue="1" id="{AA9C5935-C2B2-4C22-85F3-5F798A542C54}">
            <xm:f>AND(IF(X122&lt;'F:\Users\norela.briceno\Documents\Plan de acción\Plan Accion 2018\[Plan Accion Integrado ADRES Vigencia 2018 con Cuadro de Mando V6..xlsx]Plan de Accion 2018'!#REF!,X122&lt;&gt;"N/A"))</xm:f>
            <x14:dxf>
              <fill>
                <patternFill>
                  <bgColor indexed="10"/>
                </patternFill>
              </fill>
            </x14:dxf>
          </x14:cfRule>
          <xm:sqref>X122</xm:sqref>
        </x14:conditionalFormatting>
        <x14:conditionalFormatting xmlns:xm="http://schemas.microsoft.com/office/excel/2006/main">
          <x14:cfRule type="expression" priority="13420" id="{1BD48536-521E-4113-AD73-1A293762BEB8}">
            <xm:f>AND(IF(AE122&gt;'F:\Users\norela.briceno\Documents\Plan de acción\Plan Accion 2018\[Plan Accion Integrado ADRES Vigencia 2018 con Cuadro de Mando V6..xlsx]Plan de Accion 2018'!#REF!,AE122&lt;&gt;¨N/A¨))</xm:f>
            <x14:dxf>
              <fill>
                <patternFill>
                  <bgColor theme="1" tint="0.499984740745262"/>
                </patternFill>
              </fill>
            </x14:dxf>
          </x14:cfRule>
          <x14:cfRule type="expression" priority="13421" stopIfTrue="1" id="{59A3A163-377B-428D-A5AB-85C12F7B3C54}">
            <xm:f>AND(IF(AE122='F:\Users\norela.briceno\Documents\Plan de acción\Plan Accion 2018\[Plan Accion Integrado ADRES Vigencia 2018 con Cuadro de Mando V6..xlsx]Plan de Accion 2018'!#REF!,AE122&lt;&gt;"N/A"))</xm:f>
            <x14:dxf>
              <fill>
                <patternFill>
                  <bgColor rgb="FF00B050"/>
                </patternFill>
              </fill>
            </x14:dxf>
          </x14:cfRule>
          <x14:cfRule type="expression" priority="13422" stopIfTrue="1" id="{6A5D46F7-B0B2-47C9-91C6-215320CA0F3B}">
            <xm:f>AND(IF(AE122&lt;'F:\Users\norela.briceno\Documents\Plan de acción\Plan Accion 2018\[Plan Accion Integrado ADRES Vigencia 2018 con Cuadro de Mando V6..xlsx]Plan de Accion 2018'!#REF!,AE122&lt;&gt;"N/A"))</xm:f>
            <x14:dxf>
              <fill>
                <patternFill>
                  <bgColor indexed="10"/>
                </patternFill>
              </fill>
            </x14:dxf>
          </x14:cfRule>
          <xm:sqref>AE122</xm:sqref>
        </x14:conditionalFormatting>
        <x14:conditionalFormatting xmlns:xm="http://schemas.microsoft.com/office/excel/2006/main">
          <x14:cfRule type="expression" priority="12991" id="{86CE8B8A-777E-4C5C-85FC-4F5199AA7190}">
            <xm:f>AND(IF(Q270&gt;'F:\Users\norela.briceno\Documents\Plan de acción\Plan Accion 2018\[Plan Accion Integrado ADRES Vigencia 2018 con Cuadro de Mando V6..xlsx]Plan de Accion 2018'!#REF!,Q270&lt;&gt;¨N/A¨))</xm:f>
            <x14:dxf>
              <fill>
                <patternFill>
                  <bgColor theme="1" tint="0.499984740745262"/>
                </patternFill>
              </fill>
            </x14:dxf>
          </x14:cfRule>
          <x14:cfRule type="expression" priority="12992" stopIfTrue="1" id="{6C326B98-F85A-4692-A70B-ECE703E760BE}">
            <xm:f>AND(IF(Q270='F:\Users\norela.briceno\Documents\Plan de acción\Plan Accion 2018\[Plan Accion Integrado ADRES Vigencia 2018 con Cuadro de Mando V6..xlsx]Plan de Accion 2018'!#REF!,Q270&lt;&gt;"N/A"))</xm:f>
            <x14:dxf>
              <fill>
                <patternFill>
                  <bgColor rgb="FF00B050"/>
                </patternFill>
              </fill>
            </x14:dxf>
          </x14:cfRule>
          <x14:cfRule type="expression" priority="12993" stopIfTrue="1" id="{75FF7377-4C52-4720-BEA2-2478E701E33A}">
            <xm:f>AND(IF(Q270&lt;'F:\Users\norela.briceno\Documents\Plan de acción\Plan Accion 2018\[Plan Accion Integrado ADRES Vigencia 2018 con Cuadro de Mando V6..xlsx]Plan de Accion 2018'!#REF!,Q270&lt;&gt;"N/A"))</xm:f>
            <x14:dxf>
              <fill>
                <patternFill>
                  <bgColor indexed="10"/>
                </patternFill>
              </fill>
            </x14:dxf>
          </x14:cfRule>
          <xm:sqref>Q270 X270 AE270</xm:sqref>
        </x14:conditionalFormatting>
        <x14:conditionalFormatting xmlns:xm="http://schemas.microsoft.com/office/excel/2006/main">
          <x14:cfRule type="expression" priority="12875" id="{B498F48D-668B-4604-89A3-5535E257CE22}">
            <xm:f>AND(IF(J313&gt;'F:\Users\norela.briceno\Documents\Plan de acción\Plan Accion 2018\[Plan Accion Integrado ADRES Vigencia 2018 con Cuadro de Mando V6..xlsx]Plan de Accion 2018'!#REF!,J313&lt;&gt;¨N/A¨))</xm:f>
            <x14:dxf>
              <fill>
                <patternFill>
                  <bgColor theme="1" tint="0.499984740745262"/>
                </patternFill>
              </fill>
            </x14:dxf>
          </x14:cfRule>
          <x14:cfRule type="expression" priority="12876" stopIfTrue="1" id="{A52FD756-8E80-47BC-8DF5-477E92BDA10F}">
            <xm:f>AND(IF(J313='F:\Users\norela.briceno\Documents\Plan de acción\Plan Accion 2018\[Plan Accion Integrado ADRES Vigencia 2018 con Cuadro de Mando V6..xlsx]Plan de Accion 2018'!#REF!,J313&lt;&gt;"N/A"))</xm:f>
            <x14:dxf>
              <fill>
                <patternFill>
                  <bgColor rgb="FF00B050"/>
                </patternFill>
              </fill>
            </x14:dxf>
          </x14:cfRule>
          <x14:cfRule type="expression" priority="12877" stopIfTrue="1" id="{BD89FB49-3FF4-4CE9-B84B-A8A69E5253CC}">
            <xm:f>AND(IF(J313&lt;'F:\Users\norela.briceno\Documents\Plan de acción\Plan Accion 2018\[Plan Accion Integrado ADRES Vigencia 2018 con Cuadro de Mando V6..xlsx]Plan de Accion 2018'!#REF!,J313&lt;&gt;"N/A"))</xm:f>
            <x14:dxf>
              <fill>
                <patternFill>
                  <bgColor indexed="10"/>
                </patternFill>
              </fill>
            </x14:dxf>
          </x14:cfRule>
          <xm:sqref>J313</xm:sqref>
        </x14:conditionalFormatting>
        <x14:conditionalFormatting xmlns:xm="http://schemas.microsoft.com/office/excel/2006/main">
          <x14:cfRule type="expression" priority="12872" id="{12738314-8AF3-4D43-8A85-62FE81996449}">
            <xm:f>AND(IF(Q313&gt;'F:\Users\norela.briceno\Documents\Plan de acción\Plan Accion 2018\[Plan Accion Integrado ADRES Vigencia 2018 con Cuadro de Mando V6..xlsx]Plan de Accion 2018'!#REF!,Q313&lt;&gt;¨N/A¨))</xm:f>
            <x14:dxf>
              <fill>
                <patternFill>
                  <bgColor theme="1" tint="0.499984740745262"/>
                </patternFill>
              </fill>
            </x14:dxf>
          </x14:cfRule>
          <x14:cfRule type="expression" priority="12873" stopIfTrue="1" id="{330F60C8-FAC7-432D-B7E0-B23DA96894F6}">
            <xm:f>AND(IF(Q313='F:\Users\norela.briceno\Documents\Plan de acción\Plan Accion 2018\[Plan Accion Integrado ADRES Vigencia 2018 con Cuadro de Mando V6..xlsx]Plan de Accion 2018'!#REF!,Q313&lt;&gt;"N/A"))</xm:f>
            <x14:dxf>
              <fill>
                <patternFill>
                  <bgColor rgb="FF00B050"/>
                </patternFill>
              </fill>
            </x14:dxf>
          </x14:cfRule>
          <x14:cfRule type="expression" priority="12874" stopIfTrue="1" id="{02EF9788-F58F-49B5-9653-0F98EF9839D3}">
            <xm:f>AND(IF(Q313&lt;'F:\Users\norela.briceno\Documents\Plan de acción\Plan Accion 2018\[Plan Accion Integrado ADRES Vigencia 2018 con Cuadro de Mando V6..xlsx]Plan de Accion 2018'!#REF!,Q313&lt;&gt;"N/A"))</xm:f>
            <x14:dxf>
              <fill>
                <patternFill>
                  <bgColor indexed="10"/>
                </patternFill>
              </fill>
            </x14:dxf>
          </x14:cfRule>
          <xm:sqref>Q313</xm:sqref>
        </x14:conditionalFormatting>
        <x14:conditionalFormatting xmlns:xm="http://schemas.microsoft.com/office/excel/2006/main">
          <x14:cfRule type="expression" priority="12869" id="{4073E6DA-67EE-4EA3-97CD-6DEC2BBB7BA9}">
            <xm:f>AND(IF(X313&gt;'F:\Users\norela.briceno\Documents\Plan de acción\Plan Accion 2018\[Plan Accion Integrado ADRES Vigencia 2018 con Cuadro de Mando V6..xlsx]Plan de Accion 2018'!#REF!,X313&lt;&gt;¨N/A¨))</xm:f>
            <x14:dxf>
              <fill>
                <patternFill>
                  <bgColor theme="1" tint="0.499984740745262"/>
                </patternFill>
              </fill>
            </x14:dxf>
          </x14:cfRule>
          <x14:cfRule type="expression" priority="12870" stopIfTrue="1" id="{D53CA729-7D72-4521-9852-7BEBF671A1E4}">
            <xm:f>AND(IF(X313='F:\Users\norela.briceno\Documents\Plan de acción\Plan Accion 2018\[Plan Accion Integrado ADRES Vigencia 2018 con Cuadro de Mando V6..xlsx]Plan de Accion 2018'!#REF!,X313&lt;&gt;"N/A"))</xm:f>
            <x14:dxf>
              <fill>
                <patternFill>
                  <bgColor rgb="FF00B050"/>
                </patternFill>
              </fill>
            </x14:dxf>
          </x14:cfRule>
          <x14:cfRule type="expression" priority="12871" stopIfTrue="1" id="{196DAB96-28AF-4C68-8462-A15001A86183}">
            <xm:f>AND(IF(X313&lt;'F:\Users\norela.briceno\Documents\Plan de acción\Plan Accion 2018\[Plan Accion Integrado ADRES Vigencia 2018 con Cuadro de Mando V6..xlsx]Plan de Accion 2018'!#REF!,X313&lt;&gt;"N/A"))</xm:f>
            <x14:dxf>
              <fill>
                <patternFill>
                  <bgColor indexed="10"/>
                </patternFill>
              </fill>
            </x14:dxf>
          </x14:cfRule>
          <xm:sqref>X313</xm:sqref>
        </x14:conditionalFormatting>
        <x14:conditionalFormatting xmlns:xm="http://schemas.microsoft.com/office/excel/2006/main">
          <x14:cfRule type="expression" priority="12866" id="{E3BC53D6-1C11-4304-B0C5-0666D0B2EA7F}">
            <xm:f>AND(IF(AE313&gt;'F:\Users\norela.briceno\Documents\Plan de acción\Plan Accion 2018\[Plan Accion Integrado ADRES Vigencia 2018 con Cuadro de Mando V6..xlsx]Plan de Accion 2018'!#REF!,AE313&lt;&gt;¨N/A¨))</xm:f>
            <x14:dxf>
              <fill>
                <patternFill>
                  <bgColor theme="1" tint="0.499984740745262"/>
                </patternFill>
              </fill>
            </x14:dxf>
          </x14:cfRule>
          <x14:cfRule type="expression" priority="12867" stopIfTrue="1" id="{5D72DDAB-F038-45E0-8125-8DD4E48506E5}">
            <xm:f>AND(IF(AE313='F:\Users\norela.briceno\Documents\Plan de acción\Plan Accion 2018\[Plan Accion Integrado ADRES Vigencia 2018 con Cuadro de Mando V6..xlsx]Plan de Accion 2018'!#REF!,AE313&lt;&gt;"N/A"))</xm:f>
            <x14:dxf>
              <fill>
                <patternFill>
                  <bgColor rgb="FF00B050"/>
                </patternFill>
              </fill>
            </x14:dxf>
          </x14:cfRule>
          <x14:cfRule type="expression" priority="12868" stopIfTrue="1" id="{9A7B0834-7225-4E81-A2B3-74A0446FEA1A}">
            <xm:f>AND(IF(AE313&lt;'F:\Users\norela.briceno\Documents\Plan de acción\Plan Accion 2018\[Plan Accion Integrado ADRES Vigencia 2018 con Cuadro de Mando V6..xlsx]Plan de Accion 2018'!#REF!,AE313&lt;&gt;"N/A"))</xm:f>
            <x14:dxf>
              <fill>
                <patternFill>
                  <bgColor indexed="10"/>
                </patternFill>
              </fill>
            </x14:dxf>
          </x14:cfRule>
          <xm:sqref>AE313</xm:sqref>
        </x14:conditionalFormatting>
        <x14:conditionalFormatting xmlns:xm="http://schemas.microsoft.com/office/excel/2006/main">
          <x14:cfRule type="expression" priority="11915" id="{BB1DEA91-DB21-48BB-971A-F3CD09F84B28}">
            <xm:f>AND(IF(J185&gt;'F:\Users\norela.briceno\Documents\Plan de acción\Plan Accion 2018\[Plan Accion Integrado ADRES Vigencia 2018 con Cuadro de Mando V6..xlsx]Plan de Accion 2018'!#REF!,J185&lt;&gt;¨N/A¨))</xm:f>
            <x14:dxf>
              <fill>
                <patternFill>
                  <bgColor theme="1" tint="0.499984740745262"/>
                </patternFill>
              </fill>
            </x14:dxf>
          </x14:cfRule>
          <x14:cfRule type="expression" priority="11916" stopIfTrue="1" id="{DD27D550-F108-4195-9B2E-715209D249A2}">
            <xm:f>AND(IF(J185='F:\Users\norela.briceno\Documents\Plan de acción\Plan Accion 2018\[Plan Accion Integrado ADRES Vigencia 2018 con Cuadro de Mando V6..xlsx]Plan de Accion 2018'!#REF!,J185&lt;&gt;"N/A"))</xm:f>
            <x14:dxf>
              <fill>
                <patternFill>
                  <bgColor rgb="FF00B050"/>
                </patternFill>
              </fill>
            </x14:dxf>
          </x14:cfRule>
          <x14:cfRule type="expression" priority="11917" stopIfTrue="1" id="{359BA309-402F-47FE-8633-9BEDD44E7F35}">
            <xm:f>AND(IF(J185&lt;'F:\Users\norela.briceno\Documents\Plan de acción\Plan Accion 2018\[Plan Accion Integrado ADRES Vigencia 2018 con Cuadro de Mando V6..xlsx]Plan de Accion 2018'!#REF!,J185&lt;&gt;"N/A"))</xm:f>
            <x14:dxf>
              <fill>
                <patternFill>
                  <bgColor indexed="10"/>
                </patternFill>
              </fill>
            </x14:dxf>
          </x14:cfRule>
          <xm:sqref>J185 Q185 X185 AE185</xm:sqref>
        </x14:conditionalFormatting>
        <x14:conditionalFormatting xmlns:xm="http://schemas.microsoft.com/office/excel/2006/main">
          <x14:cfRule type="expression" priority="11857" id="{2FBA290D-C523-4432-A71B-87A0E866E5E3}">
            <xm:f>AND(IF(J187&gt;'F:\Users\norela.briceno\Documents\Plan de acción\Plan Accion 2018\[Plan Accion Integrado ADRES Vigencia 2018 con Cuadro de Mando V6..xlsx]Plan de Accion 2018'!#REF!,J187&lt;&gt;¨N/A¨))</xm:f>
            <x14:dxf>
              <fill>
                <patternFill>
                  <bgColor theme="1" tint="0.499984740745262"/>
                </patternFill>
              </fill>
            </x14:dxf>
          </x14:cfRule>
          <x14:cfRule type="expression" priority="11858" stopIfTrue="1" id="{5C9CB2C4-BC7D-4DB3-A111-0B0D264C4DB2}">
            <xm:f>AND(IF(J187='F:\Users\norela.briceno\Documents\Plan de acción\Plan Accion 2018\[Plan Accion Integrado ADRES Vigencia 2018 con Cuadro de Mando V6..xlsx]Plan de Accion 2018'!#REF!,J187&lt;&gt;"N/A"))</xm:f>
            <x14:dxf>
              <fill>
                <patternFill>
                  <bgColor rgb="FF00B050"/>
                </patternFill>
              </fill>
            </x14:dxf>
          </x14:cfRule>
          <x14:cfRule type="expression" priority="11859" stopIfTrue="1" id="{4295D51C-4057-42B7-8759-A44E26E2B48B}">
            <xm:f>AND(IF(J187&lt;'F:\Users\norela.briceno\Documents\Plan de acción\Plan Accion 2018\[Plan Accion Integrado ADRES Vigencia 2018 con Cuadro de Mando V6..xlsx]Plan de Accion 2018'!#REF!,J187&lt;&gt;"N/A"))</xm:f>
            <x14:dxf>
              <fill>
                <patternFill>
                  <bgColor indexed="10"/>
                </patternFill>
              </fill>
            </x14:dxf>
          </x14:cfRule>
          <xm:sqref>J187 Q187 X187 AE187</xm:sqref>
        </x14:conditionalFormatting>
        <x14:conditionalFormatting xmlns:xm="http://schemas.microsoft.com/office/excel/2006/main">
          <x14:cfRule type="expression" priority="11754" id="{9633AC76-3A1F-4227-A6BD-A41A6D17BD9E}">
            <xm:f>AND(IF(J188&gt;'F:\Users\norela.briceno\Documents\Plan de acción\Plan Accion 2018\[Plan Accion Integrado ADRES Vigencia 2018 con Cuadro de Mando V6..xlsx]Plan de Accion 2018'!#REF!,J188&lt;&gt;¨N/A¨))</xm:f>
            <x14:dxf>
              <fill>
                <patternFill>
                  <bgColor theme="1" tint="0.499984740745262"/>
                </patternFill>
              </fill>
            </x14:dxf>
          </x14:cfRule>
          <x14:cfRule type="expression" priority="11755" stopIfTrue="1" id="{DC66EB59-7474-4889-B198-D5B72C6485D1}">
            <xm:f>AND(IF(J188='F:\Users\norela.briceno\Documents\Plan de acción\Plan Accion 2018\[Plan Accion Integrado ADRES Vigencia 2018 con Cuadro de Mando V6..xlsx]Plan de Accion 2018'!#REF!,J188&lt;&gt;"N/A"))</xm:f>
            <x14:dxf>
              <fill>
                <patternFill>
                  <bgColor rgb="FF00B050"/>
                </patternFill>
              </fill>
            </x14:dxf>
          </x14:cfRule>
          <x14:cfRule type="expression" priority="11756" stopIfTrue="1" id="{5BBA468C-7ABE-4F2B-AC1D-ECC735FFAADF}">
            <xm:f>AND(IF(J188&lt;'F:\Users\norela.briceno\Documents\Plan de acción\Plan Accion 2018\[Plan Accion Integrado ADRES Vigencia 2018 con Cuadro de Mando V6..xlsx]Plan de Accion 2018'!#REF!,J188&lt;&gt;"N/A"))</xm:f>
            <x14:dxf>
              <fill>
                <patternFill>
                  <bgColor indexed="10"/>
                </patternFill>
              </fill>
            </x14:dxf>
          </x14:cfRule>
          <xm:sqref>J188:J191 Q188:Q191 X188:X191 AE188:AE191 J194:J195 Q194:Q195 X194:X195 AE194:AE195</xm:sqref>
        </x14:conditionalFormatting>
        <x14:conditionalFormatting xmlns:xm="http://schemas.microsoft.com/office/excel/2006/main">
          <x14:cfRule type="expression" priority="11530" id="{A45C105C-2A49-45D3-AE8A-33CEB14F76C0}">
            <xm:f>AND(IF(J283&gt;'F:\Users\norela.briceno\Documents\Plan de acción\Plan Accion 2018\[Plan Accion Integrado ADRES Vigencia 2018 con Cuadro de Mando V6..xlsx]Plan de Accion 2018'!#REF!,J283&lt;&gt;¨N/A¨))</xm:f>
            <x14:dxf>
              <fill>
                <patternFill>
                  <bgColor theme="1" tint="0.499984740745262"/>
                </patternFill>
              </fill>
            </x14:dxf>
          </x14:cfRule>
          <x14:cfRule type="expression" priority="11531" stopIfTrue="1" id="{4C32F10F-A452-420F-83C2-DE7A34FA1A2E}">
            <xm:f>AND(IF(J283='F:\Users\norela.briceno\Documents\Plan de acción\Plan Accion 2018\[Plan Accion Integrado ADRES Vigencia 2018 con Cuadro de Mando V6..xlsx]Plan de Accion 2018'!#REF!,J283&lt;&gt;"N/A"))</xm:f>
            <x14:dxf>
              <fill>
                <patternFill>
                  <bgColor rgb="FF00B050"/>
                </patternFill>
              </fill>
            </x14:dxf>
          </x14:cfRule>
          <x14:cfRule type="expression" priority="11532" stopIfTrue="1" id="{4FF9BA86-B65B-42F3-A0D1-D62FBE2FA709}">
            <xm:f>AND(IF(J283&lt;'F:\Users\norela.briceno\Documents\Plan de acción\Plan Accion 2018\[Plan Accion Integrado ADRES Vigencia 2018 con Cuadro de Mando V6..xlsx]Plan de Accion 2018'!#REF!,J283&lt;&gt;"N/A"))</xm:f>
            <x14:dxf>
              <fill>
                <patternFill>
                  <bgColor indexed="10"/>
                </patternFill>
              </fill>
            </x14:dxf>
          </x14:cfRule>
          <xm:sqref>J283:J284 Q283:Q284 X283:X284 AE283:AE284 AE287 X287 Q287 J287</xm:sqref>
        </x14:conditionalFormatting>
        <x14:conditionalFormatting xmlns:xm="http://schemas.microsoft.com/office/excel/2006/main">
          <x14:cfRule type="expression" priority="11467" id="{CF2C4B7F-A253-4790-8F65-5E84A4F75B46}">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1468" stopIfTrue="1" id="{033B4C75-25E4-4D6F-88AD-D9BAA3DF720A}">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1469" stopIfTrue="1" id="{659F863F-AA4C-498C-B66C-66E7CE2A2370}">
            <xm:f>AND(IF(J126&lt;'F:\Users\norela.briceno\Documents\Plan de acción\Plan Accion 2018\[Plan Accion Integrado ADRES Vigencia 2018 con Cuadro de Mando V6..xlsx]Plan de Accion 2018'!#REF!,J126&lt;&gt;"N/A"))</xm:f>
            <x14:dxf>
              <fill>
                <patternFill>
                  <bgColor indexed="10"/>
                </patternFill>
              </fill>
            </x14:dxf>
          </x14:cfRule>
          <xm:sqref>J126 Q126 AE126 X126</xm:sqref>
        </x14:conditionalFormatting>
        <x14:conditionalFormatting xmlns:xm="http://schemas.microsoft.com/office/excel/2006/main">
          <x14:cfRule type="expression" priority="11464" id="{3658FB8C-28BC-4401-B0F2-B796185BAC2F}">
            <xm:f>AND(IF(J126&gt;'F:\Users\norela.briceno\Documents\Plan de acción\Plan Accion 2018\[Plan Accion Integrado ADRES Vigencia 2018 con Cuadro de Mando V6..xlsx]Plan de Accion 2018'!#REF!,J126&lt;&gt;¨N/A¨))</xm:f>
            <x14:dxf>
              <fill>
                <patternFill>
                  <bgColor theme="1" tint="0.499984740745262"/>
                </patternFill>
              </fill>
            </x14:dxf>
          </x14:cfRule>
          <x14:cfRule type="expression" priority="11465" stopIfTrue="1" id="{E0C5F6DD-084B-4CD2-A042-2DE6EB29D7A0}">
            <xm:f>AND(IF(J126='F:\Users\norela.briceno\Documents\Plan de acción\Plan Accion 2018\[Plan Accion Integrado ADRES Vigencia 2018 con Cuadro de Mando V6..xlsx]Plan de Accion 2018'!#REF!,J126&lt;&gt;"N/A"))</xm:f>
            <x14:dxf>
              <fill>
                <patternFill>
                  <bgColor rgb="FF00B050"/>
                </patternFill>
              </fill>
            </x14:dxf>
          </x14:cfRule>
          <x14:cfRule type="expression" priority="11466" stopIfTrue="1" id="{7228D932-5428-4901-AB21-2A6E859C9DED}">
            <xm:f>AND(IF(J126&lt;'F:\Users\norela.briceno\Documents\Plan de acción\Plan Accion 2018\[Plan Accion Integrado ADRES Vigencia 2018 con Cuadro de Mando V6..xlsx]Plan de Accion 2018'!#REF!,J126&lt;&gt;"N/A"))</xm:f>
            <x14:dxf>
              <fill>
                <patternFill>
                  <bgColor indexed="10"/>
                </patternFill>
              </fill>
            </x14:dxf>
          </x14:cfRule>
          <xm:sqref>J126</xm:sqref>
        </x14:conditionalFormatting>
        <x14:conditionalFormatting xmlns:xm="http://schemas.microsoft.com/office/excel/2006/main">
          <x14:cfRule type="expression" priority="11461" id="{91E37C97-931C-4089-BE0F-8560F36AF848}">
            <xm:f>AND(IF(Q126&gt;'F:\Users\norela.briceno\Documents\Plan de acción\Plan Accion 2018\[Plan Accion Integrado ADRES Vigencia 2018 con Cuadro de Mando V6..xlsx]Plan de Accion 2018'!#REF!,Q126&lt;&gt;¨N/A¨))</xm:f>
            <x14:dxf>
              <fill>
                <patternFill>
                  <bgColor theme="1" tint="0.499984740745262"/>
                </patternFill>
              </fill>
            </x14:dxf>
          </x14:cfRule>
          <x14:cfRule type="expression" priority="11462" stopIfTrue="1" id="{F477F5C4-53F0-441E-AD10-76545EE9BEB4}">
            <xm:f>AND(IF(Q126='F:\Users\norela.briceno\Documents\Plan de acción\Plan Accion 2018\[Plan Accion Integrado ADRES Vigencia 2018 con Cuadro de Mando V6..xlsx]Plan de Accion 2018'!#REF!,Q126&lt;&gt;"N/A"))</xm:f>
            <x14:dxf>
              <fill>
                <patternFill>
                  <bgColor rgb="FF00B050"/>
                </patternFill>
              </fill>
            </x14:dxf>
          </x14:cfRule>
          <x14:cfRule type="expression" priority="11463" stopIfTrue="1" id="{A4C60913-8BA8-4335-9E9D-9EFCAEC73959}">
            <xm:f>AND(IF(Q126&lt;'F:\Users\norela.briceno\Documents\Plan de acción\Plan Accion 2018\[Plan Accion Integrado ADRES Vigencia 2018 con Cuadro de Mando V6..xlsx]Plan de Accion 2018'!#REF!,Q126&lt;&gt;"N/A"))</xm:f>
            <x14:dxf>
              <fill>
                <patternFill>
                  <bgColor indexed="10"/>
                </patternFill>
              </fill>
            </x14:dxf>
          </x14:cfRule>
          <xm:sqref>Q126</xm:sqref>
        </x14:conditionalFormatting>
        <x14:conditionalFormatting xmlns:xm="http://schemas.microsoft.com/office/excel/2006/main">
          <x14:cfRule type="expression" priority="11458" id="{ED5381FD-FD88-4D09-BF60-1B32DA93C9D9}">
            <xm:f>AND(IF(X126&gt;'F:\Users\norela.briceno\Documents\Plan de acción\Plan Accion 2018\[Plan Accion Integrado ADRES Vigencia 2018 con Cuadro de Mando V6..xlsx]Plan de Accion 2018'!#REF!,X126&lt;&gt;¨N/A¨))</xm:f>
            <x14:dxf>
              <fill>
                <patternFill>
                  <bgColor theme="1" tint="0.499984740745262"/>
                </patternFill>
              </fill>
            </x14:dxf>
          </x14:cfRule>
          <x14:cfRule type="expression" priority="11459" stopIfTrue="1" id="{BD68C0CA-3440-495A-8473-4B125D670725}">
            <xm:f>AND(IF(X126='F:\Users\norela.briceno\Documents\Plan de acción\Plan Accion 2018\[Plan Accion Integrado ADRES Vigencia 2018 con Cuadro de Mando V6..xlsx]Plan de Accion 2018'!#REF!,X126&lt;&gt;"N/A"))</xm:f>
            <x14:dxf>
              <fill>
                <patternFill>
                  <bgColor rgb="FF00B050"/>
                </patternFill>
              </fill>
            </x14:dxf>
          </x14:cfRule>
          <x14:cfRule type="expression" priority="11460" stopIfTrue="1" id="{E1EDF770-F129-46D0-9EFE-25532079EEDA}">
            <xm:f>AND(IF(X126&lt;'F:\Users\norela.briceno\Documents\Plan de acción\Plan Accion 2018\[Plan Accion Integrado ADRES Vigencia 2018 con Cuadro de Mando V6..xlsx]Plan de Accion 2018'!#REF!,X126&lt;&gt;"N/A"))</xm:f>
            <x14:dxf>
              <fill>
                <patternFill>
                  <bgColor indexed="10"/>
                </patternFill>
              </fill>
            </x14:dxf>
          </x14:cfRule>
          <xm:sqref>X126</xm:sqref>
        </x14:conditionalFormatting>
        <x14:conditionalFormatting xmlns:xm="http://schemas.microsoft.com/office/excel/2006/main">
          <x14:cfRule type="expression" priority="11455" id="{A454F945-8A2D-40E2-8A76-0A7AD3BE76AC}">
            <xm:f>AND(IF(AE126&gt;'F:\Users\norela.briceno\Documents\Plan de acción\Plan Accion 2018\[Plan Accion Integrado ADRES Vigencia 2018 con Cuadro de Mando V6..xlsx]Plan de Accion 2018'!#REF!,AE126&lt;&gt;¨N/A¨))</xm:f>
            <x14:dxf>
              <fill>
                <patternFill>
                  <bgColor theme="1" tint="0.499984740745262"/>
                </patternFill>
              </fill>
            </x14:dxf>
          </x14:cfRule>
          <x14:cfRule type="expression" priority="11456" stopIfTrue="1" id="{72FE9218-C7CD-4BBD-AF52-8A8BCE52486D}">
            <xm:f>AND(IF(AE126='F:\Users\norela.briceno\Documents\Plan de acción\Plan Accion 2018\[Plan Accion Integrado ADRES Vigencia 2018 con Cuadro de Mando V6..xlsx]Plan de Accion 2018'!#REF!,AE126&lt;&gt;"N/A"))</xm:f>
            <x14:dxf>
              <fill>
                <patternFill>
                  <bgColor rgb="FF00B050"/>
                </patternFill>
              </fill>
            </x14:dxf>
          </x14:cfRule>
          <x14:cfRule type="expression" priority="11457" stopIfTrue="1" id="{FC9C61A6-DB59-47ED-97E2-90F3C10A2A2C}">
            <xm:f>AND(IF(AE126&lt;'F:\Users\norela.briceno\Documents\Plan de acción\Plan Accion 2018\[Plan Accion Integrado ADRES Vigencia 2018 con Cuadro de Mando V6..xlsx]Plan de Accion 2018'!#REF!,AE126&lt;&gt;"N/A"))</xm:f>
            <x14:dxf>
              <fill>
                <patternFill>
                  <bgColor indexed="10"/>
                </patternFill>
              </fill>
            </x14:dxf>
          </x14:cfRule>
          <xm:sqref>AE126</xm:sqref>
        </x14:conditionalFormatting>
        <x14:conditionalFormatting xmlns:xm="http://schemas.microsoft.com/office/excel/2006/main">
          <x14:cfRule type="expression" priority="11392" id="{782E4834-7DAD-4C16-AF51-B22D8EF0562A}">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393" stopIfTrue="1" id="{89C95779-BD3D-4879-AD12-551957F0370C}">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394" stopIfTrue="1" id="{945FF42D-3F93-4FDB-94B3-638DB42A7CB8}">
            <xm:f>AND(IF(J127&lt;'F:\Users\norela.briceno\Documents\Plan de acción\Plan Accion 2018\[Plan Accion Integrado ADRES Vigencia 2018 con Cuadro de Mando V6..xlsx]Plan de Accion 2018'!#REF!,J127&lt;&gt;"N/A"))</xm:f>
            <x14:dxf>
              <fill>
                <patternFill>
                  <bgColor indexed="10"/>
                </patternFill>
              </fill>
            </x14:dxf>
          </x14:cfRule>
          <xm:sqref>J127 Q127 AE127 X127</xm:sqref>
        </x14:conditionalFormatting>
        <x14:conditionalFormatting xmlns:xm="http://schemas.microsoft.com/office/excel/2006/main">
          <x14:cfRule type="expression" priority="11389" id="{88A62AFE-5533-4106-AFDF-E11DF18E1782}">
            <xm:f>AND(IF(J127&gt;'F:\Users\norela.briceno\Documents\Plan de acción\Plan Accion 2018\[Plan Accion Integrado ADRES Vigencia 2018 con Cuadro de Mando V6..xlsx]Plan de Accion 2018'!#REF!,J127&lt;&gt;¨N/A¨))</xm:f>
            <x14:dxf>
              <fill>
                <patternFill>
                  <bgColor theme="1" tint="0.499984740745262"/>
                </patternFill>
              </fill>
            </x14:dxf>
          </x14:cfRule>
          <x14:cfRule type="expression" priority="11390" stopIfTrue="1" id="{4877D6F2-2231-4987-B7E8-EE9D25EC4827}">
            <xm:f>AND(IF(J127='F:\Users\norela.briceno\Documents\Plan de acción\Plan Accion 2018\[Plan Accion Integrado ADRES Vigencia 2018 con Cuadro de Mando V6..xlsx]Plan de Accion 2018'!#REF!,J127&lt;&gt;"N/A"))</xm:f>
            <x14:dxf>
              <fill>
                <patternFill>
                  <bgColor rgb="FF00B050"/>
                </patternFill>
              </fill>
            </x14:dxf>
          </x14:cfRule>
          <x14:cfRule type="expression" priority="11391" stopIfTrue="1" id="{2251D3BE-A8FC-4E9B-8662-D08EA88D9C75}">
            <xm:f>AND(IF(J127&lt;'F:\Users\norela.briceno\Documents\Plan de acción\Plan Accion 2018\[Plan Accion Integrado ADRES Vigencia 2018 con Cuadro de Mando V6..xlsx]Plan de Accion 2018'!#REF!,J127&lt;&gt;"N/A"))</xm:f>
            <x14:dxf>
              <fill>
                <patternFill>
                  <bgColor indexed="10"/>
                </patternFill>
              </fill>
            </x14:dxf>
          </x14:cfRule>
          <xm:sqref>J127</xm:sqref>
        </x14:conditionalFormatting>
        <x14:conditionalFormatting xmlns:xm="http://schemas.microsoft.com/office/excel/2006/main">
          <x14:cfRule type="expression" priority="11386" id="{A413909D-5572-43AA-B2CF-B194DE0E8D9F}">
            <xm:f>AND(IF(Q127&gt;'F:\Users\norela.briceno\Documents\Plan de acción\Plan Accion 2018\[Plan Accion Integrado ADRES Vigencia 2018 con Cuadro de Mando V6..xlsx]Plan de Accion 2018'!#REF!,Q127&lt;&gt;¨N/A¨))</xm:f>
            <x14:dxf>
              <fill>
                <patternFill>
                  <bgColor theme="1" tint="0.499984740745262"/>
                </patternFill>
              </fill>
            </x14:dxf>
          </x14:cfRule>
          <x14:cfRule type="expression" priority="11387" stopIfTrue="1" id="{B462D742-5C36-4BB4-8D74-916143FBA5E0}">
            <xm:f>AND(IF(Q127='F:\Users\norela.briceno\Documents\Plan de acción\Plan Accion 2018\[Plan Accion Integrado ADRES Vigencia 2018 con Cuadro de Mando V6..xlsx]Plan de Accion 2018'!#REF!,Q127&lt;&gt;"N/A"))</xm:f>
            <x14:dxf>
              <fill>
                <patternFill>
                  <bgColor rgb="FF00B050"/>
                </patternFill>
              </fill>
            </x14:dxf>
          </x14:cfRule>
          <x14:cfRule type="expression" priority="11388" stopIfTrue="1" id="{BFD5C913-1E75-4250-8EA7-8DFA11019B87}">
            <xm:f>AND(IF(Q127&lt;'F:\Users\norela.briceno\Documents\Plan de acción\Plan Accion 2018\[Plan Accion Integrado ADRES Vigencia 2018 con Cuadro de Mando V6..xlsx]Plan de Accion 2018'!#REF!,Q127&lt;&gt;"N/A"))</xm:f>
            <x14:dxf>
              <fill>
                <patternFill>
                  <bgColor indexed="10"/>
                </patternFill>
              </fill>
            </x14:dxf>
          </x14:cfRule>
          <xm:sqref>Q127</xm:sqref>
        </x14:conditionalFormatting>
        <x14:conditionalFormatting xmlns:xm="http://schemas.microsoft.com/office/excel/2006/main">
          <x14:cfRule type="expression" priority="11383" id="{2DCFCAAA-0FA4-4F5E-AFDB-0833478A196C}">
            <xm:f>AND(IF(X127&gt;'F:\Users\norela.briceno\Documents\Plan de acción\Plan Accion 2018\[Plan Accion Integrado ADRES Vigencia 2018 con Cuadro de Mando V6..xlsx]Plan de Accion 2018'!#REF!,X127&lt;&gt;¨N/A¨))</xm:f>
            <x14:dxf>
              <fill>
                <patternFill>
                  <bgColor theme="1" tint="0.499984740745262"/>
                </patternFill>
              </fill>
            </x14:dxf>
          </x14:cfRule>
          <x14:cfRule type="expression" priority="11384" stopIfTrue="1" id="{F1E7EB48-06AB-411A-81A3-EFFA073BB575}">
            <xm:f>AND(IF(X127='F:\Users\norela.briceno\Documents\Plan de acción\Plan Accion 2018\[Plan Accion Integrado ADRES Vigencia 2018 con Cuadro de Mando V6..xlsx]Plan de Accion 2018'!#REF!,X127&lt;&gt;"N/A"))</xm:f>
            <x14:dxf>
              <fill>
                <patternFill>
                  <bgColor rgb="FF00B050"/>
                </patternFill>
              </fill>
            </x14:dxf>
          </x14:cfRule>
          <x14:cfRule type="expression" priority="11385" stopIfTrue="1" id="{1831E6AA-4D78-4899-B4E1-7C4935AE9FA8}">
            <xm:f>AND(IF(X127&lt;'F:\Users\norela.briceno\Documents\Plan de acción\Plan Accion 2018\[Plan Accion Integrado ADRES Vigencia 2018 con Cuadro de Mando V6..xlsx]Plan de Accion 2018'!#REF!,X127&lt;&gt;"N/A"))</xm:f>
            <x14:dxf>
              <fill>
                <patternFill>
                  <bgColor indexed="10"/>
                </patternFill>
              </fill>
            </x14:dxf>
          </x14:cfRule>
          <xm:sqref>X127</xm:sqref>
        </x14:conditionalFormatting>
        <x14:conditionalFormatting xmlns:xm="http://schemas.microsoft.com/office/excel/2006/main">
          <x14:cfRule type="expression" priority="11380" id="{9B265DC5-D75A-46B9-AD53-3EEB3B9E79D8}">
            <xm:f>AND(IF(AE127&gt;'F:\Users\norela.briceno\Documents\Plan de acción\Plan Accion 2018\[Plan Accion Integrado ADRES Vigencia 2018 con Cuadro de Mando V6..xlsx]Plan de Accion 2018'!#REF!,AE127&lt;&gt;¨N/A¨))</xm:f>
            <x14:dxf>
              <fill>
                <patternFill>
                  <bgColor theme="1" tint="0.499984740745262"/>
                </patternFill>
              </fill>
            </x14:dxf>
          </x14:cfRule>
          <x14:cfRule type="expression" priority="11381" stopIfTrue="1" id="{BF80F981-1497-4122-8258-CBCE0F9EE5A5}">
            <xm:f>AND(IF(AE127='F:\Users\norela.briceno\Documents\Plan de acción\Plan Accion 2018\[Plan Accion Integrado ADRES Vigencia 2018 con Cuadro de Mando V6..xlsx]Plan de Accion 2018'!#REF!,AE127&lt;&gt;"N/A"))</xm:f>
            <x14:dxf>
              <fill>
                <patternFill>
                  <bgColor rgb="FF00B050"/>
                </patternFill>
              </fill>
            </x14:dxf>
          </x14:cfRule>
          <x14:cfRule type="expression" priority="11382" stopIfTrue="1" id="{C9560BBE-2BDB-40C5-9026-599B8ACE2597}">
            <xm:f>AND(IF(AE127&lt;'F:\Users\norela.briceno\Documents\Plan de acción\Plan Accion 2018\[Plan Accion Integrado ADRES Vigencia 2018 con Cuadro de Mando V6..xlsx]Plan de Accion 2018'!#REF!,AE127&lt;&gt;"N/A"))</xm:f>
            <x14:dxf>
              <fill>
                <patternFill>
                  <bgColor indexed="10"/>
                </patternFill>
              </fill>
            </x14:dxf>
          </x14:cfRule>
          <xm:sqref>AE127</xm:sqref>
        </x14:conditionalFormatting>
        <x14:conditionalFormatting xmlns:xm="http://schemas.microsoft.com/office/excel/2006/main">
          <x14:cfRule type="expression" priority="11317" id="{8CF43DB3-0218-4140-B29D-A00C83ABD463}">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318" stopIfTrue="1" id="{CD212740-506B-46C9-B941-9FA42EC40827}">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319" stopIfTrue="1" id="{126313E7-74AA-4BAC-9AC9-F4C7D13D03D8}">
            <xm:f>AND(IF(J128&lt;'F:\Users\norela.briceno\Documents\Plan de acción\Plan Accion 2018\[Plan Accion Integrado ADRES Vigencia 2018 con Cuadro de Mando V6..xlsx]Plan de Accion 2018'!#REF!,J128&lt;&gt;"N/A"))</xm:f>
            <x14:dxf>
              <fill>
                <patternFill>
                  <bgColor indexed="10"/>
                </patternFill>
              </fill>
            </x14:dxf>
          </x14:cfRule>
          <xm:sqref>J128 Q128 AE128 X128</xm:sqref>
        </x14:conditionalFormatting>
        <x14:conditionalFormatting xmlns:xm="http://schemas.microsoft.com/office/excel/2006/main">
          <x14:cfRule type="expression" priority="11314" id="{8D23BECE-BA99-456B-A1B4-7915472D07E0}">
            <xm:f>AND(IF(J128&gt;'F:\Users\norela.briceno\Documents\Plan de acción\Plan Accion 2018\[Plan Accion Integrado ADRES Vigencia 2018 con Cuadro de Mando V6..xlsx]Plan de Accion 2018'!#REF!,J128&lt;&gt;¨N/A¨))</xm:f>
            <x14:dxf>
              <fill>
                <patternFill>
                  <bgColor theme="1" tint="0.499984740745262"/>
                </patternFill>
              </fill>
            </x14:dxf>
          </x14:cfRule>
          <x14:cfRule type="expression" priority="11315" stopIfTrue="1" id="{5F521D38-815F-4BDF-ADC3-723A59209A5D}">
            <xm:f>AND(IF(J128='F:\Users\norela.briceno\Documents\Plan de acción\Plan Accion 2018\[Plan Accion Integrado ADRES Vigencia 2018 con Cuadro de Mando V6..xlsx]Plan de Accion 2018'!#REF!,J128&lt;&gt;"N/A"))</xm:f>
            <x14:dxf>
              <fill>
                <patternFill>
                  <bgColor rgb="FF00B050"/>
                </patternFill>
              </fill>
            </x14:dxf>
          </x14:cfRule>
          <x14:cfRule type="expression" priority="11316" stopIfTrue="1" id="{27F484E9-0630-4D7F-B2BC-DCF1D2644D42}">
            <xm:f>AND(IF(J128&lt;'F:\Users\norela.briceno\Documents\Plan de acción\Plan Accion 2018\[Plan Accion Integrado ADRES Vigencia 2018 con Cuadro de Mando V6..xlsx]Plan de Accion 2018'!#REF!,J128&lt;&gt;"N/A"))</xm:f>
            <x14:dxf>
              <fill>
                <patternFill>
                  <bgColor indexed="10"/>
                </patternFill>
              </fill>
            </x14:dxf>
          </x14:cfRule>
          <xm:sqref>J128</xm:sqref>
        </x14:conditionalFormatting>
        <x14:conditionalFormatting xmlns:xm="http://schemas.microsoft.com/office/excel/2006/main">
          <x14:cfRule type="expression" priority="11311" id="{2706EC46-81E0-4666-901F-32180D731BAC}">
            <xm:f>AND(IF(Q128&gt;'F:\Users\norela.briceno\Documents\Plan de acción\Plan Accion 2018\[Plan Accion Integrado ADRES Vigencia 2018 con Cuadro de Mando V6..xlsx]Plan de Accion 2018'!#REF!,Q128&lt;&gt;¨N/A¨))</xm:f>
            <x14:dxf>
              <fill>
                <patternFill>
                  <bgColor theme="1" tint="0.499984740745262"/>
                </patternFill>
              </fill>
            </x14:dxf>
          </x14:cfRule>
          <x14:cfRule type="expression" priority="11312" stopIfTrue="1" id="{0546FBE7-E65A-4B5B-8CE2-5FF0EAED6814}">
            <xm:f>AND(IF(Q128='F:\Users\norela.briceno\Documents\Plan de acción\Plan Accion 2018\[Plan Accion Integrado ADRES Vigencia 2018 con Cuadro de Mando V6..xlsx]Plan de Accion 2018'!#REF!,Q128&lt;&gt;"N/A"))</xm:f>
            <x14:dxf>
              <fill>
                <patternFill>
                  <bgColor rgb="FF00B050"/>
                </patternFill>
              </fill>
            </x14:dxf>
          </x14:cfRule>
          <x14:cfRule type="expression" priority="11313" stopIfTrue="1" id="{FCDCB31E-292E-47BF-AC2A-A06AA30656A9}">
            <xm:f>AND(IF(Q128&lt;'F:\Users\norela.briceno\Documents\Plan de acción\Plan Accion 2018\[Plan Accion Integrado ADRES Vigencia 2018 con Cuadro de Mando V6..xlsx]Plan de Accion 2018'!#REF!,Q128&lt;&gt;"N/A"))</xm:f>
            <x14:dxf>
              <fill>
                <patternFill>
                  <bgColor indexed="10"/>
                </patternFill>
              </fill>
            </x14:dxf>
          </x14:cfRule>
          <xm:sqref>Q128</xm:sqref>
        </x14:conditionalFormatting>
        <x14:conditionalFormatting xmlns:xm="http://schemas.microsoft.com/office/excel/2006/main">
          <x14:cfRule type="expression" priority="11308" id="{B7CE00CC-CA22-418C-B434-8295573BC15A}">
            <xm:f>AND(IF(X128&gt;'F:\Users\norela.briceno\Documents\Plan de acción\Plan Accion 2018\[Plan Accion Integrado ADRES Vigencia 2018 con Cuadro de Mando V6..xlsx]Plan de Accion 2018'!#REF!,X128&lt;&gt;¨N/A¨))</xm:f>
            <x14:dxf>
              <fill>
                <patternFill>
                  <bgColor theme="1" tint="0.499984740745262"/>
                </patternFill>
              </fill>
            </x14:dxf>
          </x14:cfRule>
          <x14:cfRule type="expression" priority="11309" stopIfTrue="1" id="{C0CC77B7-A1FE-4F3A-B7D9-C1A0F72D916E}">
            <xm:f>AND(IF(X128='F:\Users\norela.briceno\Documents\Plan de acción\Plan Accion 2018\[Plan Accion Integrado ADRES Vigencia 2018 con Cuadro de Mando V6..xlsx]Plan de Accion 2018'!#REF!,X128&lt;&gt;"N/A"))</xm:f>
            <x14:dxf>
              <fill>
                <patternFill>
                  <bgColor rgb="FF00B050"/>
                </patternFill>
              </fill>
            </x14:dxf>
          </x14:cfRule>
          <x14:cfRule type="expression" priority="11310" stopIfTrue="1" id="{CC7299D0-8CC8-4592-A3E9-9C70AABB5367}">
            <xm:f>AND(IF(X128&lt;'F:\Users\norela.briceno\Documents\Plan de acción\Plan Accion 2018\[Plan Accion Integrado ADRES Vigencia 2018 con Cuadro de Mando V6..xlsx]Plan de Accion 2018'!#REF!,X128&lt;&gt;"N/A"))</xm:f>
            <x14:dxf>
              <fill>
                <patternFill>
                  <bgColor indexed="10"/>
                </patternFill>
              </fill>
            </x14:dxf>
          </x14:cfRule>
          <xm:sqref>X128</xm:sqref>
        </x14:conditionalFormatting>
        <x14:conditionalFormatting xmlns:xm="http://schemas.microsoft.com/office/excel/2006/main">
          <x14:cfRule type="expression" priority="11305" id="{9D8207DC-7655-4CBA-8EE2-20F12F4D7595}">
            <xm:f>AND(IF(AE128&gt;'F:\Users\norela.briceno\Documents\Plan de acción\Plan Accion 2018\[Plan Accion Integrado ADRES Vigencia 2018 con Cuadro de Mando V6..xlsx]Plan de Accion 2018'!#REF!,AE128&lt;&gt;¨N/A¨))</xm:f>
            <x14:dxf>
              <fill>
                <patternFill>
                  <bgColor theme="1" tint="0.499984740745262"/>
                </patternFill>
              </fill>
            </x14:dxf>
          </x14:cfRule>
          <x14:cfRule type="expression" priority="11306" stopIfTrue="1" id="{3C6F4E30-1FDE-494E-B2FA-FD183E861252}">
            <xm:f>AND(IF(AE128='F:\Users\norela.briceno\Documents\Plan de acción\Plan Accion 2018\[Plan Accion Integrado ADRES Vigencia 2018 con Cuadro de Mando V6..xlsx]Plan de Accion 2018'!#REF!,AE128&lt;&gt;"N/A"))</xm:f>
            <x14:dxf>
              <fill>
                <patternFill>
                  <bgColor rgb="FF00B050"/>
                </patternFill>
              </fill>
            </x14:dxf>
          </x14:cfRule>
          <x14:cfRule type="expression" priority="11307" stopIfTrue="1" id="{D9734DE6-8A3B-46A4-82EC-C4C79B8F3773}">
            <xm:f>AND(IF(AE128&lt;'F:\Users\norela.briceno\Documents\Plan de acción\Plan Accion 2018\[Plan Accion Integrado ADRES Vigencia 2018 con Cuadro de Mando V6..xlsx]Plan de Accion 2018'!#REF!,AE128&lt;&gt;"N/A"))</xm:f>
            <x14:dxf>
              <fill>
                <patternFill>
                  <bgColor indexed="10"/>
                </patternFill>
              </fill>
            </x14:dxf>
          </x14:cfRule>
          <xm:sqref>AE128</xm:sqref>
        </x14:conditionalFormatting>
        <x14:conditionalFormatting xmlns:xm="http://schemas.microsoft.com/office/excel/2006/main">
          <x14:cfRule type="expression" priority="11242" id="{BAFB9ACE-05FD-4BC1-86A2-A312858DA5C8}">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243" stopIfTrue="1" id="{688FA089-0210-4CB0-B3F6-4CC0CAC31297}">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244" stopIfTrue="1" id="{71182BEC-C747-4FF1-B2A0-8194192D9E2E}">
            <xm:f>AND(IF(J129&lt;'F:\Users\norela.briceno\Documents\Plan de acción\Plan Accion 2018\[Plan Accion Integrado ADRES Vigencia 2018 con Cuadro de Mando V6..xlsx]Plan de Accion 2018'!#REF!,J129&lt;&gt;"N/A"))</xm:f>
            <x14:dxf>
              <fill>
                <patternFill>
                  <bgColor indexed="10"/>
                </patternFill>
              </fill>
            </x14:dxf>
          </x14:cfRule>
          <xm:sqref>J129 Q129 AE129 X129</xm:sqref>
        </x14:conditionalFormatting>
        <x14:conditionalFormatting xmlns:xm="http://schemas.microsoft.com/office/excel/2006/main">
          <x14:cfRule type="expression" priority="11239" id="{C4566868-652E-4E27-9C22-32AC9F56595B}">
            <xm:f>AND(IF(J129&gt;'F:\Users\norela.briceno\Documents\Plan de acción\Plan Accion 2018\[Plan Accion Integrado ADRES Vigencia 2018 con Cuadro de Mando V6..xlsx]Plan de Accion 2018'!#REF!,J129&lt;&gt;¨N/A¨))</xm:f>
            <x14:dxf>
              <fill>
                <patternFill>
                  <bgColor theme="1" tint="0.499984740745262"/>
                </patternFill>
              </fill>
            </x14:dxf>
          </x14:cfRule>
          <x14:cfRule type="expression" priority="11240" stopIfTrue="1" id="{4E411B8E-5635-4A8D-97BD-6CA0D13C59A6}">
            <xm:f>AND(IF(J129='F:\Users\norela.briceno\Documents\Plan de acción\Plan Accion 2018\[Plan Accion Integrado ADRES Vigencia 2018 con Cuadro de Mando V6..xlsx]Plan de Accion 2018'!#REF!,J129&lt;&gt;"N/A"))</xm:f>
            <x14:dxf>
              <fill>
                <patternFill>
                  <bgColor rgb="FF00B050"/>
                </patternFill>
              </fill>
            </x14:dxf>
          </x14:cfRule>
          <x14:cfRule type="expression" priority="11241" stopIfTrue="1" id="{3BB6E145-B0CD-4E3E-B679-35F7ACEA31AE}">
            <xm:f>AND(IF(J129&lt;'F:\Users\norela.briceno\Documents\Plan de acción\Plan Accion 2018\[Plan Accion Integrado ADRES Vigencia 2018 con Cuadro de Mando V6..xlsx]Plan de Accion 2018'!#REF!,J129&lt;&gt;"N/A"))</xm:f>
            <x14:dxf>
              <fill>
                <patternFill>
                  <bgColor indexed="10"/>
                </patternFill>
              </fill>
            </x14:dxf>
          </x14:cfRule>
          <xm:sqref>J129</xm:sqref>
        </x14:conditionalFormatting>
        <x14:conditionalFormatting xmlns:xm="http://schemas.microsoft.com/office/excel/2006/main">
          <x14:cfRule type="expression" priority="11236" id="{68D47C45-0DC0-4437-B276-52250C62DDF0}">
            <xm:f>AND(IF(Q129&gt;'F:\Users\norela.briceno\Documents\Plan de acción\Plan Accion 2018\[Plan Accion Integrado ADRES Vigencia 2018 con Cuadro de Mando V6..xlsx]Plan de Accion 2018'!#REF!,Q129&lt;&gt;¨N/A¨))</xm:f>
            <x14:dxf>
              <fill>
                <patternFill>
                  <bgColor theme="1" tint="0.499984740745262"/>
                </patternFill>
              </fill>
            </x14:dxf>
          </x14:cfRule>
          <x14:cfRule type="expression" priority="11237" stopIfTrue="1" id="{616966DB-96AB-4B85-9BA1-8FA54CF95ECE}">
            <xm:f>AND(IF(Q129='F:\Users\norela.briceno\Documents\Plan de acción\Plan Accion 2018\[Plan Accion Integrado ADRES Vigencia 2018 con Cuadro de Mando V6..xlsx]Plan de Accion 2018'!#REF!,Q129&lt;&gt;"N/A"))</xm:f>
            <x14:dxf>
              <fill>
                <patternFill>
                  <bgColor rgb="FF00B050"/>
                </patternFill>
              </fill>
            </x14:dxf>
          </x14:cfRule>
          <x14:cfRule type="expression" priority="11238" stopIfTrue="1" id="{DC5C5C1C-EE4E-4795-886F-6516D8C478F6}">
            <xm:f>AND(IF(Q129&lt;'F:\Users\norela.briceno\Documents\Plan de acción\Plan Accion 2018\[Plan Accion Integrado ADRES Vigencia 2018 con Cuadro de Mando V6..xlsx]Plan de Accion 2018'!#REF!,Q129&lt;&gt;"N/A"))</xm:f>
            <x14:dxf>
              <fill>
                <patternFill>
                  <bgColor indexed="10"/>
                </patternFill>
              </fill>
            </x14:dxf>
          </x14:cfRule>
          <xm:sqref>Q129</xm:sqref>
        </x14:conditionalFormatting>
        <x14:conditionalFormatting xmlns:xm="http://schemas.microsoft.com/office/excel/2006/main">
          <x14:cfRule type="expression" priority="11233" id="{22FA5A24-0892-482D-8E00-A0E4E8073A07}">
            <xm:f>AND(IF(X129&gt;'F:\Users\norela.briceno\Documents\Plan de acción\Plan Accion 2018\[Plan Accion Integrado ADRES Vigencia 2018 con Cuadro de Mando V6..xlsx]Plan de Accion 2018'!#REF!,X129&lt;&gt;¨N/A¨))</xm:f>
            <x14:dxf>
              <fill>
                <patternFill>
                  <bgColor theme="1" tint="0.499984740745262"/>
                </patternFill>
              </fill>
            </x14:dxf>
          </x14:cfRule>
          <x14:cfRule type="expression" priority="11234" stopIfTrue="1" id="{3C62B3FF-50A5-4433-8226-7A96F1DD4C2D}">
            <xm:f>AND(IF(X129='F:\Users\norela.briceno\Documents\Plan de acción\Plan Accion 2018\[Plan Accion Integrado ADRES Vigencia 2018 con Cuadro de Mando V6..xlsx]Plan de Accion 2018'!#REF!,X129&lt;&gt;"N/A"))</xm:f>
            <x14:dxf>
              <fill>
                <patternFill>
                  <bgColor rgb="FF00B050"/>
                </patternFill>
              </fill>
            </x14:dxf>
          </x14:cfRule>
          <x14:cfRule type="expression" priority="11235" stopIfTrue="1" id="{8C74935A-5F08-4FCC-94A2-120856131D70}">
            <xm:f>AND(IF(X129&lt;'F:\Users\norela.briceno\Documents\Plan de acción\Plan Accion 2018\[Plan Accion Integrado ADRES Vigencia 2018 con Cuadro de Mando V6..xlsx]Plan de Accion 2018'!#REF!,X129&lt;&gt;"N/A"))</xm:f>
            <x14:dxf>
              <fill>
                <patternFill>
                  <bgColor indexed="10"/>
                </patternFill>
              </fill>
            </x14:dxf>
          </x14:cfRule>
          <xm:sqref>X129</xm:sqref>
        </x14:conditionalFormatting>
        <x14:conditionalFormatting xmlns:xm="http://schemas.microsoft.com/office/excel/2006/main">
          <x14:cfRule type="expression" priority="11230" id="{B1475039-7F9A-4172-88F2-46717A7A709E}">
            <xm:f>AND(IF(AE129&gt;'F:\Users\norela.briceno\Documents\Plan de acción\Plan Accion 2018\[Plan Accion Integrado ADRES Vigencia 2018 con Cuadro de Mando V6..xlsx]Plan de Accion 2018'!#REF!,AE129&lt;&gt;¨N/A¨))</xm:f>
            <x14:dxf>
              <fill>
                <patternFill>
                  <bgColor theme="1" tint="0.499984740745262"/>
                </patternFill>
              </fill>
            </x14:dxf>
          </x14:cfRule>
          <x14:cfRule type="expression" priority="11231" stopIfTrue="1" id="{A5932076-8B86-45D2-A953-A361B8DF46E1}">
            <xm:f>AND(IF(AE129='F:\Users\norela.briceno\Documents\Plan de acción\Plan Accion 2018\[Plan Accion Integrado ADRES Vigencia 2018 con Cuadro de Mando V6..xlsx]Plan de Accion 2018'!#REF!,AE129&lt;&gt;"N/A"))</xm:f>
            <x14:dxf>
              <fill>
                <patternFill>
                  <bgColor rgb="FF00B050"/>
                </patternFill>
              </fill>
            </x14:dxf>
          </x14:cfRule>
          <x14:cfRule type="expression" priority="11232" stopIfTrue="1" id="{7A78EF05-7C62-4AA2-91AD-BE116291B4EC}">
            <xm:f>AND(IF(AE129&lt;'F:\Users\norela.briceno\Documents\Plan de acción\Plan Accion 2018\[Plan Accion Integrado ADRES Vigencia 2018 con Cuadro de Mando V6..xlsx]Plan de Accion 2018'!#REF!,AE129&lt;&gt;"N/A"))</xm:f>
            <x14:dxf>
              <fill>
                <patternFill>
                  <bgColor indexed="10"/>
                </patternFill>
              </fill>
            </x14:dxf>
          </x14:cfRule>
          <xm:sqref>AE129</xm:sqref>
        </x14:conditionalFormatting>
        <x14:conditionalFormatting xmlns:xm="http://schemas.microsoft.com/office/excel/2006/main">
          <x14:cfRule type="expression" priority="11167" id="{345FDADD-7F8F-482C-A6CD-A7D6CC1EFDCB}">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168" stopIfTrue="1" id="{EA2517A4-FB06-4548-8593-E8EF7D3BCD83}">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169" stopIfTrue="1" id="{45515485-A3E2-4761-8337-DCE0F77294F2}">
            <xm:f>AND(IF(J130&lt;'F:\Users\norela.briceno\Documents\Plan de acción\Plan Accion 2018\[Plan Accion Integrado ADRES Vigencia 2018 con Cuadro de Mando V6..xlsx]Plan de Accion 2018'!#REF!,J130&lt;&gt;"N/A"))</xm:f>
            <x14:dxf>
              <fill>
                <patternFill>
                  <bgColor indexed="10"/>
                </patternFill>
              </fill>
            </x14:dxf>
          </x14:cfRule>
          <xm:sqref>J130 Q130 AE130 X130</xm:sqref>
        </x14:conditionalFormatting>
        <x14:conditionalFormatting xmlns:xm="http://schemas.microsoft.com/office/excel/2006/main">
          <x14:cfRule type="expression" priority="11164" id="{4EDD34F0-4064-4E35-925A-1E6A03959CEA}">
            <xm:f>AND(IF(J130&gt;'F:\Users\norela.briceno\Documents\Plan de acción\Plan Accion 2018\[Plan Accion Integrado ADRES Vigencia 2018 con Cuadro de Mando V6..xlsx]Plan de Accion 2018'!#REF!,J130&lt;&gt;¨N/A¨))</xm:f>
            <x14:dxf>
              <fill>
                <patternFill>
                  <bgColor theme="1" tint="0.499984740745262"/>
                </patternFill>
              </fill>
            </x14:dxf>
          </x14:cfRule>
          <x14:cfRule type="expression" priority="11165" stopIfTrue="1" id="{8D1DC3C2-8550-421B-BEDB-D7AC87A06BD8}">
            <xm:f>AND(IF(J130='F:\Users\norela.briceno\Documents\Plan de acción\Plan Accion 2018\[Plan Accion Integrado ADRES Vigencia 2018 con Cuadro de Mando V6..xlsx]Plan de Accion 2018'!#REF!,J130&lt;&gt;"N/A"))</xm:f>
            <x14:dxf>
              <fill>
                <patternFill>
                  <bgColor rgb="FF00B050"/>
                </patternFill>
              </fill>
            </x14:dxf>
          </x14:cfRule>
          <x14:cfRule type="expression" priority="11166" stopIfTrue="1" id="{320B4BAA-2542-47A9-9D77-51AC705062BA}">
            <xm:f>AND(IF(J130&lt;'F:\Users\norela.briceno\Documents\Plan de acción\Plan Accion 2018\[Plan Accion Integrado ADRES Vigencia 2018 con Cuadro de Mando V6..xlsx]Plan de Accion 2018'!#REF!,J130&lt;&gt;"N/A"))</xm:f>
            <x14:dxf>
              <fill>
                <patternFill>
                  <bgColor indexed="10"/>
                </patternFill>
              </fill>
            </x14:dxf>
          </x14:cfRule>
          <xm:sqref>J130</xm:sqref>
        </x14:conditionalFormatting>
        <x14:conditionalFormatting xmlns:xm="http://schemas.microsoft.com/office/excel/2006/main">
          <x14:cfRule type="expression" priority="11161" id="{74446AF8-2983-4A7F-9007-0A1C02CBF0BF}">
            <xm:f>AND(IF(Q130&gt;'F:\Users\norela.briceno\Documents\Plan de acción\Plan Accion 2018\[Plan Accion Integrado ADRES Vigencia 2018 con Cuadro de Mando V6..xlsx]Plan de Accion 2018'!#REF!,Q130&lt;&gt;¨N/A¨))</xm:f>
            <x14:dxf>
              <fill>
                <patternFill>
                  <bgColor theme="1" tint="0.499984740745262"/>
                </patternFill>
              </fill>
            </x14:dxf>
          </x14:cfRule>
          <x14:cfRule type="expression" priority="11162" stopIfTrue="1" id="{A9E34C62-635E-4344-B123-D799AC94ABAC}">
            <xm:f>AND(IF(Q130='F:\Users\norela.briceno\Documents\Plan de acción\Plan Accion 2018\[Plan Accion Integrado ADRES Vigencia 2018 con Cuadro de Mando V6..xlsx]Plan de Accion 2018'!#REF!,Q130&lt;&gt;"N/A"))</xm:f>
            <x14:dxf>
              <fill>
                <patternFill>
                  <bgColor rgb="FF00B050"/>
                </patternFill>
              </fill>
            </x14:dxf>
          </x14:cfRule>
          <x14:cfRule type="expression" priority="11163" stopIfTrue="1" id="{B29F14C2-D20D-4E53-B6BA-BB950632B9B0}">
            <xm:f>AND(IF(Q130&lt;'F:\Users\norela.briceno\Documents\Plan de acción\Plan Accion 2018\[Plan Accion Integrado ADRES Vigencia 2018 con Cuadro de Mando V6..xlsx]Plan de Accion 2018'!#REF!,Q130&lt;&gt;"N/A"))</xm:f>
            <x14:dxf>
              <fill>
                <patternFill>
                  <bgColor indexed="10"/>
                </patternFill>
              </fill>
            </x14:dxf>
          </x14:cfRule>
          <xm:sqref>Q130</xm:sqref>
        </x14:conditionalFormatting>
        <x14:conditionalFormatting xmlns:xm="http://schemas.microsoft.com/office/excel/2006/main">
          <x14:cfRule type="expression" priority="11158" id="{650931FF-D608-439A-BE9B-24636D01892B}">
            <xm:f>AND(IF(X130&gt;'F:\Users\norela.briceno\Documents\Plan de acción\Plan Accion 2018\[Plan Accion Integrado ADRES Vigencia 2018 con Cuadro de Mando V6..xlsx]Plan de Accion 2018'!#REF!,X130&lt;&gt;¨N/A¨))</xm:f>
            <x14:dxf>
              <fill>
                <patternFill>
                  <bgColor theme="1" tint="0.499984740745262"/>
                </patternFill>
              </fill>
            </x14:dxf>
          </x14:cfRule>
          <x14:cfRule type="expression" priority="11159" stopIfTrue="1" id="{5741FDAB-E186-4657-85A8-0C0699D80AC3}">
            <xm:f>AND(IF(X130='F:\Users\norela.briceno\Documents\Plan de acción\Plan Accion 2018\[Plan Accion Integrado ADRES Vigencia 2018 con Cuadro de Mando V6..xlsx]Plan de Accion 2018'!#REF!,X130&lt;&gt;"N/A"))</xm:f>
            <x14:dxf>
              <fill>
                <patternFill>
                  <bgColor rgb="FF00B050"/>
                </patternFill>
              </fill>
            </x14:dxf>
          </x14:cfRule>
          <x14:cfRule type="expression" priority="11160" stopIfTrue="1" id="{FCEEF355-FF58-4EFC-8FCF-6CBDBA27273C}">
            <xm:f>AND(IF(X130&lt;'F:\Users\norela.briceno\Documents\Plan de acción\Plan Accion 2018\[Plan Accion Integrado ADRES Vigencia 2018 con Cuadro de Mando V6..xlsx]Plan de Accion 2018'!#REF!,X130&lt;&gt;"N/A"))</xm:f>
            <x14:dxf>
              <fill>
                <patternFill>
                  <bgColor indexed="10"/>
                </patternFill>
              </fill>
            </x14:dxf>
          </x14:cfRule>
          <xm:sqref>X130</xm:sqref>
        </x14:conditionalFormatting>
        <x14:conditionalFormatting xmlns:xm="http://schemas.microsoft.com/office/excel/2006/main">
          <x14:cfRule type="expression" priority="11155" id="{E2EA5FDB-54F0-4BD5-A2D2-8859486BD2FE}">
            <xm:f>AND(IF(AE130&gt;'F:\Users\norela.briceno\Documents\Plan de acción\Plan Accion 2018\[Plan Accion Integrado ADRES Vigencia 2018 con Cuadro de Mando V6..xlsx]Plan de Accion 2018'!#REF!,AE130&lt;&gt;¨N/A¨))</xm:f>
            <x14:dxf>
              <fill>
                <patternFill>
                  <bgColor theme="1" tint="0.499984740745262"/>
                </patternFill>
              </fill>
            </x14:dxf>
          </x14:cfRule>
          <x14:cfRule type="expression" priority="11156" stopIfTrue="1" id="{382AE90A-4427-472D-97ED-51B37B20C0B0}">
            <xm:f>AND(IF(AE130='F:\Users\norela.briceno\Documents\Plan de acción\Plan Accion 2018\[Plan Accion Integrado ADRES Vigencia 2018 con Cuadro de Mando V6..xlsx]Plan de Accion 2018'!#REF!,AE130&lt;&gt;"N/A"))</xm:f>
            <x14:dxf>
              <fill>
                <patternFill>
                  <bgColor rgb="FF00B050"/>
                </patternFill>
              </fill>
            </x14:dxf>
          </x14:cfRule>
          <x14:cfRule type="expression" priority="11157" stopIfTrue="1" id="{02E45371-9C5D-4E28-A09B-8C243E013616}">
            <xm:f>AND(IF(AE130&lt;'F:\Users\norela.briceno\Documents\Plan de acción\Plan Accion 2018\[Plan Accion Integrado ADRES Vigencia 2018 con Cuadro de Mando V6..xlsx]Plan de Accion 2018'!#REF!,AE130&lt;&gt;"N/A"))</xm:f>
            <x14:dxf>
              <fill>
                <patternFill>
                  <bgColor indexed="10"/>
                </patternFill>
              </fill>
            </x14:dxf>
          </x14:cfRule>
          <xm:sqref>AE130</xm:sqref>
        </x14:conditionalFormatting>
        <x14:conditionalFormatting xmlns:xm="http://schemas.microsoft.com/office/excel/2006/main">
          <x14:cfRule type="expression" priority="11092" id="{10B74661-DECF-4DA0-A6EB-0ACC5BC9A9FB}">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093" stopIfTrue="1" id="{13F241C3-0439-4FDB-B321-E557CF6C5B76}">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094" stopIfTrue="1" id="{BA2CAEA7-6800-4190-9ABD-1909AFBCD330}">
            <xm:f>AND(IF(J131&lt;'F:\Users\norela.briceno\Documents\Plan de acción\Plan Accion 2018\[Plan Accion Integrado ADRES Vigencia 2018 con Cuadro de Mando V6..xlsx]Plan de Accion 2018'!#REF!,J131&lt;&gt;"N/A"))</xm:f>
            <x14:dxf>
              <fill>
                <patternFill>
                  <bgColor indexed="10"/>
                </patternFill>
              </fill>
            </x14:dxf>
          </x14:cfRule>
          <xm:sqref>J131 Q131 AE131 X131</xm:sqref>
        </x14:conditionalFormatting>
        <x14:conditionalFormatting xmlns:xm="http://schemas.microsoft.com/office/excel/2006/main">
          <x14:cfRule type="expression" priority="11089" id="{DA4764F5-DEDC-4005-86DB-0991DC5AE45F}">
            <xm:f>AND(IF(J131&gt;'F:\Users\norela.briceno\Documents\Plan de acción\Plan Accion 2018\[Plan Accion Integrado ADRES Vigencia 2018 con Cuadro de Mando V6..xlsx]Plan de Accion 2018'!#REF!,J131&lt;&gt;¨N/A¨))</xm:f>
            <x14:dxf>
              <fill>
                <patternFill>
                  <bgColor theme="1" tint="0.499984740745262"/>
                </patternFill>
              </fill>
            </x14:dxf>
          </x14:cfRule>
          <x14:cfRule type="expression" priority="11090" stopIfTrue="1" id="{BD86F5C8-294D-41F9-8F21-A132BE1CE4FC}">
            <xm:f>AND(IF(J131='F:\Users\norela.briceno\Documents\Plan de acción\Plan Accion 2018\[Plan Accion Integrado ADRES Vigencia 2018 con Cuadro de Mando V6..xlsx]Plan de Accion 2018'!#REF!,J131&lt;&gt;"N/A"))</xm:f>
            <x14:dxf>
              <fill>
                <patternFill>
                  <bgColor rgb="FF00B050"/>
                </patternFill>
              </fill>
            </x14:dxf>
          </x14:cfRule>
          <x14:cfRule type="expression" priority="11091" stopIfTrue="1" id="{6D6BE3B4-E2B3-427A-8465-968AC720CED4}">
            <xm:f>AND(IF(J131&lt;'F:\Users\norela.briceno\Documents\Plan de acción\Plan Accion 2018\[Plan Accion Integrado ADRES Vigencia 2018 con Cuadro de Mando V6..xlsx]Plan de Accion 2018'!#REF!,J131&lt;&gt;"N/A"))</xm:f>
            <x14:dxf>
              <fill>
                <patternFill>
                  <bgColor indexed="10"/>
                </patternFill>
              </fill>
            </x14:dxf>
          </x14:cfRule>
          <xm:sqref>J131</xm:sqref>
        </x14:conditionalFormatting>
        <x14:conditionalFormatting xmlns:xm="http://schemas.microsoft.com/office/excel/2006/main">
          <x14:cfRule type="expression" priority="11086" id="{6ECC91BD-5A51-4821-A85E-323E4B0F35A6}">
            <xm:f>AND(IF(Q131&gt;'F:\Users\norela.briceno\Documents\Plan de acción\Plan Accion 2018\[Plan Accion Integrado ADRES Vigencia 2018 con Cuadro de Mando V6..xlsx]Plan de Accion 2018'!#REF!,Q131&lt;&gt;¨N/A¨))</xm:f>
            <x14:dxf>
              <fill>
                <patternFill>
                  <bgColor theme="1" tint="0.499984740745262"/>
                </patternFill>
              </fill>
            </x14:dxf>
          </x14:cfRule>
          <x14:cfRule type="expression" priority="11087" stopIfTrue="1" id="{CAA6DECE-62B4-4FBE-B02C-8E6DE640F97A}">
            <xm:f>AND(IF(Q131='F:\Users\norela.briceno\Documents\Plan de acción\Plan Accion 2018\[Plan Accion Integrado ADRES Vigencia 2018 con Cuadro de Mando V6..xlsx]Plan de Accion 2018'!#REF!,Q131&lt;&gt;"N/A"))</xm:f>
            <x14:dxf>
              <fill>
                <patternFill>
                  <bgColor rgb="FF00B050"/>
                </patternFill>
              </fill>
            </x14:dxf>
          </x14:cfRule>
          <x14:cfRule type="expression" priority="11088" stopIfTrue="1" id="{3A83D889-8706-4DE3-956D-89156E686470}">
            <xm:f>AND(IF(Q131&lt;'F:\Users\norela.briceno\Documents\Plan de acción\Plan Accion 2018\[Plan Accion Integrado ADRES Vigencia 2018 con Cuadro de Mando V6..xlsx]Plan de Accion 2018'!#REF!,Q131&lt;&gt;"N/A"))</xm:f>
            <x14:dxf>
              <fill>
                <patternFill>
                  <bgColor indexed="10"/>
                </patternFill>
              </fill>
            </x14:dxf>
          </x14:cfRule>
          <xm:sqref>Q131</xm:sqref>
        </x14:conditionalFormatting>
        <x14:conditionalFormatting xmlns:xm="http://schemas.microsoft.com/office/excel/2006/main">
          <x14:cfRule type="expression" priority="11083" id="{B0C872D9-EB57-4455-966E-ADCF3340E2F7}">
            <xm:f>AND(IF(X131&gt;'F:\Users\norela.briceno\Documents\Plan de acción\Plan Accion 2018\[Plan Accion Integrado ADRES Vigencia 2018 con Cuadro de Mando V6..xlsx]Plan de Accion 2018'!#REF!,X131&lt;&gt;¨N/A¨))</xm:f>
            <x14:dxf>
              <fill>
                <patternFill>
                  <bgColor theme="1" tint="0.499984740745262"/>
                </patternFill>
              </fill>
            </x14:dxf>
          </x14:cfRule>
          <x14:cfRule type="expression" priority="11084" stopIfTrue="1" id="{09A8D678-B386-46FA-806C-8315863C8204}">
            <xm:f>AND(IF(X131='F:\Users\norela.briceno\Documents\Plan de acción\Plan Accion 2018\[Plan Accion Integrado ADRES Vigencia 2018 con Cuadro de Mando V6..xlsx]Plan de Accion 2018'!#REF!,X131&lt;&gt;"N/A"))</xm:f>
            <x14:dxf>
              <fill>
                <patternFill>
                  <bgColor rgb="FF00B050"/>
                </patternFill>
              </fill>
            </x14:dxf>
          </x14:cfRule>
          <x14:cfRule type="expression" priority="11085" stopIfTrue="1" id="{37D62358-E5D0-4946-8216-BDF22682BD7B}">
            <xm:f>AND(IF(X131&lt;'F:\Users\norela.briceno\Documents\Plan de acción\Plan Accion 2018\[Plan Accion Integrado ADRES Vigencia 2018 con Cuadro de Mando V6..xlsx]Plan de Accion 2018'!#REF!,X131&lt;&gt;"N/A"))</xm:f>
            <x14:dxf>
              <fill>
                <patternFill>
                  <bgColor indexed="10"/>
                </patternFill>
              </fill>
            </x14:dxf>
          </x14:cfRule>
          <xm:sqref>X131</xm:sqref>
        </x14:conditionalFormatting>
        <x14:conditionalFormatting xmlns:xm="http://schemas.microsoft.com/office/excel/2006/main">
          <x14:cfRule type="expression" priority="11080" id="{33DB1820-9E39-42EE-A288-56AFD16C2A0C}">
            <xm:f>AND(IF(AE131&gt;'F:\Users\norela.briceno\Documents\Plan de acción\Plan Accion 2018\[Plan Accion Integrado ADRES Vigencia 2018 con Cuadro de Mando V6..xlsx]Plan de Accion 2018'!#REF!,AE131&lt;&gt;¨N/A¨))</xm:f>
            <x14:dxf>
              <fill>
                <patternFill>
                  <bgColor theme="1" tint="0.499984740745262"/>
                </patternFill>
              </fill>
            </x14:dxf>
          </x14:cfRule>
          <x14:cfRule type="expression" priority="11081" stopIfTrue="1" id="{3D8DBBB0-283B-42EF-BC8C-C00F5F2A8FE2}">
            <xm:f>AND(IF(AE131='F:\Users\norela.briceno\Documents\Plan de acción\Plan Accion 2018\[Plan Accion Integrado ADRES Vigencia 2018 con Cuadro de Mando V6..xlsx]Plan de Accion 2018'!#REF!,AE131&lt;&gt;"N/A"))</xm:f>
            <x14:dxf>
              <fill>
                <patternFill>
                  <bgColor rgb="FF00B050"/>
                </patternFill>
              </fill>
            </x14:dxf>
          </x14:cfRule>
          <x14:cfRule type="expression" priority="11082" stopIfTrue="1" id="{416C0F02-6A67-4560-B2E9-8E65F4B12CA8}">
            <xm:f>AND(IF(AE131&lt;'F:\Users\norela.briceno\Documents\Plan de acción\Plan Accion 2018\[Plan Accion Integrado ADRES Vigencia 2018 con Cuadro de Mando V6..xlsx]Plan de Accion 2018'!#REF!,AE131&lt;&gt;"N/A"))</xm:f>
            <x14:dxf>
              <fill>
                <patternFill>
                  <bgColor indexed="10"/>
                </patternFill>
              </fill>
            </x14:dxf>
          </x14:cfRule>
          <xm:sqref>AE131</xm:sqref>
        </x14:conditionalFormatting>
        <x14:conditionalFormatting xmlns:xm="http://schemas.microsoft.com/office/excel/2006/main">
          <x14:cfRule type="expression" priority="11017" id="{95E31C7C-BFB5-431B-98E2-787EB1E03027}">
            <xm:f>AND(IF(J196&gt;'F:\Users\norela.briceno\Documents\Plan de acción\Plan Accion 2018\[Plan Accion Integrado ADRES Vigencia 2018 con Cuadro de Mando V6..xlsx]Plan de Accion 2018'!#REF!,J196&lt;&gt;¨N/A¨))</xm:f>
            <x14:dxf>
              <fill>
                <patternFill>
                  <bgColor theme="1" tint="0.499984740745262"/>
                </patternFill>
              </fill>
            </x14:dxf>
          </x14:cfRule>
          <x14:cfRule type="expression" priority="11018" stopIfTrue="1" id="{A9B2D0FF-8D2A-4C3E-A3CD-868E70C9F84E}">
            <xm:f>AND(IF(J196='F:\Users\norela.briceno\Documents\Plan de acción\Plan Accion 2018\[Plan Accion Integrado ADRES Vigencia 2018 con Cuadro de Mando V6..xlsx]Plan de Accion 2018'!#REF!,J196&lt;&gt;"N/A"))</xm:f>
            <x14:dxf>
              <fill>
                <patternFill>
                  <bgColor rgb="FF00B050"/>
                </patternFill>
              </fill>
            </x14:dxf>
          </x14:cfRule>
          <x14:cfRule type="expression" priority="11019" stopIfTrue="1" id="{EE45E443-5FB9-4506-896E-8022BB59AA38}">
            <xm:f>AND(IF(J196&lt;'F:\Users\norela.briceno\Documents\Plan de acción\Plan Accion 2018\[Plan Accion Integrado ADRES Vigencia 2018 con Cuadro de Mando V6..xlsx]Plan de Accion 2018'!#REF!,J196&lt;&gt;"N/A"))</xm:f>
            <x14:dxf>
              <fill>
                <patternFill>
                  <bgColor indexed="10"/>
                </patternFill>
              </fill>
            </x14:dxf>
          </x14:cfRule>
          <xm:sqref>J196 Q196 X196 AE196</xm:sqref>
        </x14:conditionalFormatting>
        <x14:conditionalFormatting xmlns:xm="http://schemas.microsoft.com/office/excel/2006/main">
          <x14:cfRule type="expression" priority="10914" id="{3FA35CF8-1E0A-42C8-9397-A39A41AF6741}">
            <xm:f>AND(IF(J288&gt;'F:\Users\norela.briceno\Documents\Plan de acción\Plan Accion 2018\[Plan Accion Integrado ADRES Vigencia 2018 con Cuadro de Mando V6..xlsx]Plan de Accion 2018'!#REF!,J288&lt;&gt;¨N/A¨))</xm:f>
            <x14:dxf>
              <fill>
                <patternFill>
                  <bgColor theme="1" tint="0.499984740745262"/>
                </patternFill>
              </fill>
            </x14:dxf>
          </x14:cfRule>
          <x14:cfRule type="expression" priority="10915" stopIfTrue="1" id="{E07CA0F3-60AD-4A30-9B30-C62EE5DC2373}">
            <xm:f>AND(IF(J288='F:\Users\norela.briceno\Documents\Plan de acción\Plan Accion 2018\[Plan Accion Integrado ADRES Vigencia 2018 con Cuadro de Mando V6..xlsx]Plan de Accion 2018'!#REF!,J288&lt;&gt;"N/A"))</xm:f>
            <x14:dxf>
              <fill>
                <patternFill>
                  <bgColor rgb="FF00B050"/>
                </patternFill>
              </fill>
            </x14:dxf>
          </x14:cfRule>
          <x14:cfRule type="expression" priority="10916" stopIfTrue="1" id="{1A4E7518-EAE7-46E1-946C-FB2DED991932}">
            <xm:f>AND(IF(J288&lt;'F:\Users\norela.briceno\Documents\Plan de acción\Plan Accion 2018\[Plan Accion Integrado ADRES Vigencia 2018 con Cuadro de Mando V6..xlsx]Plan de Accion 2018'!#REF!,J288&lt;&gt;"N/A"))</xm:f>
            <x14:dxf>
              <fill>
                <patternFill>
                  <bgColor indexed="10"/>
                </patternFill>
              </fill>
            </x14:dxf>
          </x14:cfRule>
          <xm:sqref>J288 Q288 X288 AE288</xm:sqref>
        </x14:conditionalFormatting>
        <x14:conditionalFormatting xmlns:xm="http://schemas.microsoft.com/office/excel/2006/main">
          <x14:cfRule type="expression" priority="10851" id="{945D5B08-7867-4D7A-9593-19735A2D5490}">
            <xm:f>AND(IF(J291&gt;'F:\Users\norela.briceno\Documents\Plan de acción\Plan Accion 2018\[Plan Accion Integrado ADRES Vigencia 2018 con Cuadro de Mando V6..xlsx]Plan de Accion 2018'!#REF!,J291&lt;&gt;¨N/A¨))</xm:f>
            <x14:dxf>
              <fill>
                <patternFill>
                  <bgColor theme="1" tint="0.499984740745262"/>
                </patternFill>
              </fill>
            </x14:dxf>
          </x14:cfRule>
          <x14:cfRule type="expression" priority="10852" stopIfTrue="1" id="{BAE454C2-7892-49E4-B334-1DD65ED62880}">
            <xm:f>AND(IF(J291='F:\Users\norela.briceno\Documents\Plan de acción\Plan Accion 2018\[Plan Accion Integrado ADRES Vigencia 2018 con Cuadro de Mando V6..xlsx]Plan de Accion 2018'!#REF!,J291&lt;&gt;"N/A"))</xm:f>
            <x14:dxf>
              <fill>
                <patternFill>
                  <bgColor rgb="FF00B050"/>
                </patternFill>
              </fill>
            </x14:dxf>
          </x14:cfRule>
          <x14:cfRule type="expression" priority="10853" stopIfTrue="1" id="{1C167587-FD4E-449F-9F13-FAE22FEC69C6}">
            <xm:f>AND(IF(J291&lt;'F:\Users\norela.briceno\Documents\Plan de acción\Plan Accion 2018\[Plan Accion Integrado ADRES Vigencia 2018 con Cuadro de Mando V6..xlsx]Plan de Accion 2018'!#REF!,J291&lt;&gt;"N/A"))</xm:f>
            <x14:dxf>
              <fill>
                <patternFill>
                  <bgColor indexed="10"/>
                </patternFill>
              </fill>
            </x14:dxf>
          </x14:cfRule>
          <xm:sqref>J291 Q291 X291 AE291</xm:sqref>
        </x14:conditionalFormatting>
        <x14:conditionalFormatting xmlns:xm="http://schemas.microsoft.com/office/excel/2006/main">
          <x14:cfRule type="expression" priority="10788" id="{EE5E8DBF-3EC7-465A-892C-58DADDEB7293}">
            <xm:f>AND(IF(J296&gt;'F:\Users\norela.briceno\Documents\Plan de acción\Plan Accion 2018\[Plan Accion Integrado ADRES Vigencia 2018 con Cuadro de Mando V6..xlsx]Plan de Accion 2018'!#REF!,J296&lt;&gt;¨N/A¨))</xm:f>
            <x14:dxf>
              <fill>
                <patternFill>
                  <bgColor theme="1" tint="0.499984740745262"/>
                </patternFill>
              </fill>
            </x14:dxf>
          </x14:cfRule>
          <x14:cfRule type="expression" priority="10789" stopIfTrue="1" id="{CEABEA3A-8438-45C0-A6C3-128BD24B73C3}">
            <xm:f>AND(IF(J296='F:\Users\norela.briceno\Documents\Plan de acción\Plan Accion 2018\[Plan Accion Integrado ADRES Vigencia 2018 con Cuadro de Mando V6..xlsx]Plan de Accion 2018'!#REF!,J296&lt;&gt;"N/A"))</xm:f>
            <x14:dxf>
              <fill>
                <patternFill>
                  <bgColor rgb="FF00B050"/>
                </patternFill>
              </fill>
            </x14:dxf>
          </x14:cfRule>
          <x14:cfRule type="expression" priority="10790" stopIfTrue="1" id="{A9C4F5D4-6437-430C-9169-FEF92E0F5526}">
            <xm:f>AND(IF(J296&lt;'F:\Users\norela.briceno\Documents\Plan de acción\Plan Accion 2018\[Plan Accion Integrado ADRES Vigencia 2018 con Cuadro de Mando V6..xlsx]Plan de Accion 2018'!#REF!,J296&lt;&gt;"N/A"))</xm:f>
            <x14:dxf>
              <fill>
                <patternFill>
                  <bgColor indexed="10"/>
                </patternFill>
              </fill>
            </x14:dxf>
          </x14:cfRule>
          <xm:sqref>J296 Q296 X296 AE296</xm:sqref>
        </x14:conditionalFormatting>
        <x14:conditionalFormatting xmlns:xm="http://schemas.microsoft.com/office/excel/2006/main">
          <x14:cfRule type="expression" priority="10662" id="{3DB16393-4112-40C2-ACB4-C5DBF3C1C15E}">
            <xm:f>AND(IF(J297&gt;'F:\Users\norela.briceno\Documents\Plan de acción\Plan Accion 2018\[Plan Accion Integrado ADRES Vigencia 2018 con Cuadro de Mando V6..xlsx]Plan de Accion 2018'!#REF!,J297&lt;&gt;¨N/A¨))</xm:f>
            <x14:dxf>
              <fill>
                <patternFill>
                  <bgColor theme="1" tint="0.499984740745262"/>
                </patternFill>
              </fill>
            </x14:dxf>
          </x14:cfRule>
          <x14:cfRule type="expression" priority="10663" stopIfTrue="1" id="{4ABFA1EC-1377-43AE-9592-A3E3FC115AAC}">
            <xm:f>AND(IF(J297='F:\Users\norela.briceno\Documents\Plan de acción\Plan Accion 2018\[Plan Accion Integrado ADRES Vigencia 2018 con Cuadro de Mando V6..xlsx]Plan de Accion 2018'!#REF!,J297&lt;&gt;"N/A"))</xm:f>
            <x14:dxf>
              <fill>
                <patternFill>
                  <bgColor rgb="FF00B050"/>
                </patternFill>
              </fill>
            </x14:dxf>
          </x14:cfRule>
          <x14:cfRule type="expression" priority="10664" stopIfTrue="1" id="{AC8E1CDE-380B-4F2A-943B-766F6666EC75}">
            <xm:f>AND(IF(J297&lt;'F:\Users\norela.briceno\Documents\Plan de acción\Plan Accion 2018\[Plan Accion Integrado ADRES Vigencia 2018 con Cuadro de Mando V6..xlsx]Plan de Accion 2018'!#REF!,J297&lt;&gt;"N/A"))</xm:f>
            <x14:dxf>
              <fill>
                <patternFill>
                  <bgColor indexed="10"/>
                </patternFill>
              </fill>
            </x14:dxf>
          </x14:cfRule>
          <xm:sqref>J297 Q297 X297 AE297</xm:sqref>
        </x14:conditionalFormatting>
        <x14:conditionalFormatting xmlns:xm="http://schemas.microsoft.com/office/excel/2006/main">
          <x14:cfRule type="expression" priority="10345" id="{DA9804C3-F419-4F03-8472-CEF23CF6863C}">
            <xm:f>AND(IF(Q301&gt;'F:\Users\norela.briceno\Documents\Plan de acción\Plan Accion 2018\[Plan Accion Integrado ADRES Vigencia 2018 con Cuadro de Mando V6..xlsx]Plan de Accion 2018'!#REF!,Q301&lt;&gt;¨N/A¨))</xm:f>
            <x14:dxf>
              <fill>
                <patternFill>
                  <bgColor theme="1" tint="0.499984740745262"/>
                </patternFill>
              </fill>
            </x14:dxf>
          </x14:cfRule>
          <x14:cfRule type="expression" priority="10346" stopIfTrue="1" id="{33FF15E7-8C6E-4073-A86E-6182ADC67501}">
            <xm:f>AND(IF(Q301='F:\Users\norela.briceno\Documents\Plan de acción\Plan Accion 2018\[Plan Accion Integrado ADRES Vigencia 2018 con Cuadro de Mando V6..xlsx]Plan de Accion 2018'!#REF!,Q301&lt;&gt;"N/A"))</xm:f>
            <x14:dxf>
              <fill>
                <patternFill>
                  <bgColor rgb="FF00B050"/>
                </patternFill>
              </fill>
            </x14:dxf>
          </x14:cfRule>
          <x14:cfRule type="expression" priority="10347" stopIfTrue="1" id="{12EA96DF-AB98-413F-9170-6142D1EE7770}">
            <xm:f>AND(IF(Q301&lt;'F:\Users\norela.briceno\Documents\Plan de acción\Plan Accion 2018\[Plan Accion Integrado ADRES Vigencia 2018 con Cuadro de Mando V6..xlsx]Plan de Accion 2018'!#REF!,Q301&lt;&gt;"N/A"))</xm:f>
            <x14:dxf>
              <fill>
                <patternFill>
                  <bgColor indexed="10"/>
                </patternFill>
              </fill>
            </x14:dxf>
          </x14:cfRule>
          <xm:sqref>Q301 X301 AE301</xm:sqref>
        </x14:conditionalFormatting>
        <x14:conditionalFormatting xmlns:xm="http://schemas.microsoft.com/office/excel/2006/main">
          <x14:cfRule type="expression" priority="9455" id="{7FBC66E1-80BF-4EC2-846C-CEF70A797407}">
            <xm:f>AND(IF(J303&gt;'F:\Users\norela.briceno\Documents\Plan de acción\Plan Accion 2018\[Plan Accion Integrado ADRES Vigencia 2018 con Cuadro de Mando V6..xlsx]Plan de Accion 2018'!#REF!,J303&lt;&gt;¨N/A¨))</xm:f>
            <x14:dxf>
              <fill>
                <patternFill>
                  <bgColor theme="1" tint="0.499984740745262"/>
                </patternFill>
              </fill>
            </x14:dxf>
          </x14:cfRule>
          <x14:cfRule type="expression" priority="9456" stopIfTrue="1" id="{B6DBF9F6-2D89-425D-80A7-9FB2AF09A9BC}">
            <xm:f>AND(IF(J303='F:\Users\norela.briceno\Documents\Plan de acción\Plan Accion 2018\[Plan Accion Integrado ADRES Vigencia 2018 con Cuadro de Mando V6..xlsx]Plan de Accion 2018'!#REF!,J303&lt;&gt;"N/A"))</xm:f>
            <x14:dxf>
              <fill>
                <patternFill>
                  <bgColor rgb="FF00B050"/>
                </patternFill>
              </fill>
            </x14:dxf>
          </x14:cfRule>
          <x14:cfRule type="expression" priority="9457" stopIfTrue="1" id="{CB724BC3-B644-4DD7-BDD4-1EDC670D319A}">
            <xm:f>AND(IF(J303&lt;'F:\Users\norela.briceno\Documents\Plan de acción\Plan Accion 2018\[Plan Accion Integrado ADRES Vigencia 2018 con Cuadro de Mando V6..xlsx]Plan de Accion 2018'!#REF!,J303&lt;&gt;"N/A"))</xm:f>
            <x14:dxf>
              <fill>
                <patternFill>
                  <bgColor indexed="10"/>
                </patternFill>
              </fill>
            </x14:dxf>
          </x14:cfRule>
          <xm:sqref>J303 Q303 X303 AE303</xm:sqref>
        </x14:conditionalFormatting>
        <x14:conditionalFormatting xmlns:xm="http://schemas.microsoft.com/office/excel/2006/main">
          <x14:cfRule type="expression" priority="9367" id="{E6815D59-EC6B-469B-BA39-F4832B6FAB07}">
            <xm:f>AND(IF(J305&gt;'F:\Users\norela.briceno\Documents\Plan de acción\Plan Accion 2018\[Plan Accion Integrado ADRES Vigencia 2018 con Cuadro de Mando V6..xlsx]Plan de Accion 2018'!#REF!,J305&lt;&gt;¨N/A¨))</xm:f>
            <x14:dxf>
              <fill>
                <patternFill>
                  <bgColor theme="1" tint="0.499984740745262"/>
                </patternFill>
              </fill>
            </x14:dxf>
          </x14:cfRule>
          <x14:cfRule type="expression" priority="9368" stopIfTrue="1" id="{6B638114-E0DA-4E6F-BA05-A0224FB60265}">
            <xm:f>AND(IF(J305='F:\Users\norela.briceno\Documents\Plan de acción\Plan Accion 2018\[Plan Accion Integrado ADRES Vigencia 2018 con Cuadro de Mando V6..xlsx]Plan de Accion 2018'!#REF!,J305&lt;&gt;"N/A"))</xm:f>
            <x14:dxf>
              <fill>
                <patternFill>
                  <bgColor rgb="FF00B050"/>
                </patternFill>
              </fill>
            </x14:dxf>
          </x14:cfRule>
          <x14:cfRule type="expression" priority="9369" stopIfTrue="1" id="{F9583275-9359-4C02-ABBC-65F156299A99}">
            <xm:f>AND(IF(J305&lt;'F:\Users\norela.briceno\Documents\Plan de acción\Plan Accion 2018\[Plan Accion Integrado ADRES Vigencia 2018 con Cuadro de Mando V6..xlsx]Plan de Accion 2018'!#REF!,J305&lt;&gt;"N/A"))</xm:f>
            <x14:dxf>
              <fill>
                <patternFill>
                  <bgColor indexed="10"/>
                </patternFill>
              </fill>
            </x14:dxf>
          </x14:cfRule>
          <xm:sqref>J305 Q305 X305 AE305</xm:sqref>
        </x14:conditionalFormatting>
        <x14:conditionalFormatting xmlns:xm="http://schemas.microsoft.com/office/excel/2006/main">
          <x14:cfRule type="expression" priority="9221" id="{7E34D8BF-FB72-4755-942F-CA87596B1D7C}">
            <xm:f>AND(IF(J204&gt;'F:\Users\norela.briceno\Documents\Plan de acción\Plan Accion 2018\[Plan Accion Integrado ADRES Vigencia 2018 con Cuadro de Mando V6..xlsx]Plan de Accion 2018'!#REF!,J204&lt;&gt;¨N/A¨))</xm:f>
            <x14:dxf>
              <fill>
                <patternFill>
                  <bgColor theme="1" tint="0.499984740745262"/>
                </patternFill>
              </fill>
            </x14:dxf>
          </x14:cfRule>
          <x14:cfRule type="expression" priority="9222" stopIfTrue="1" id="{16E8DCA2-C25C-482B-AD38-1E8A172A093E}">
            <xm:f>AND(IF(J204='F:\Users\norela.briceno\Documents\Plan de acción\Plan Accion 2018\[Plan Accion Integrado ADRES Vigencia 2018 con Cuadro de Mando V6..xlsx]Plan de Accion 2018'!#REF!,J204&lt;&gt;"N/A"))</xm:f>
            <x14:dxf>
              <fill>
                <patternFill>
                  <bgColor rgb="FF00B050"/>
                </patternFill>
              </fill>
            </x14:dxf>
          </x14:cfRule>
          <x14:cfRule type="expression" priority="9223" stopIfTrue="1" id="{A531E29E-7E36-4CFD-A7DE-B98A7F6CDAA2}">
            <xm:f>AND(IF(J204&lt;'F:\Users\norela.briceno\Documents\Plan de acción\Plan Accion 2018\[Plan Accion Integrado ADRES Vigencia 2018 con Cuadro de Mando V6..xlsx]Plan de Accion 2018'!#REF!,J204&lt;&gt;"N/A"))</xm:f>
            <x14:dxf>
              <fill>
                <patternFill>
                  <bgColor indexed="10"/>
                </patternFill>
              </fill>
            </x14:dxf>
          </x14:cfRule>
          <xm:sqref>J204 X204 Q204 AE204</xm:sqref>
        </x14:conditionalFormatting>
        <x14:conditionalFormatting xmlns:xm="http://schemas.microsoft.com/office/excel/2006/main">
          <x14:cfRule type="expression" priority="8732" id="{244013CA-38AE-4D52-9489-69B43CEFDBCD}">
            <xm:f>AND(IF(J151&gt;'F:\Users\norela.briceno\Documents\Plan de acción\Plan Accion 2018\[Plan Accion Integrado ADRES Vigencia 2018 con Cuadro de Mando V6..xlsx]Plan de Accion 2018'!#REF!,J151&lt;&gt;¨N/A¨))</xm:f>
            <x14:dxf>
              <fill>
                <patternFill>
                  <bgColor theme="1" tint="0.499984740745262"/>
                </patternFill>
              </fill>
            </x14:dxf>
          </x14:cfRule>
          <x14:cfRule type="expression" priority="8733" stopIfTrue="1" id="{D3E6DFF6-8AEA-4050-BAA5-CE675D2FA083}">
            <xm:f>AND(IF(J151='F:\Users\norela.briceno\Documents\Plan de acción\Plan Accion 2018\[Plan Accion Integrado ADRES Vigencia 2018 con Cuadro de Mando V6..xlsx]Plan de Accion 2018'!#REF!,J151&lt;&gt;"N/A"))</xm:f>
            <x14:dxf>
              <fill>
                <patternFill>
                  <bgColor rgb="FF00B050"/>
                </patternFill>
              </fill>
            </x14:dxf>
          </x14:cfRule>
          <x14:cfRule type="expression" priority="8734" stopIfTrue="1" id="{302F416C-3D19-48F1-81F6-1B946C3503E0}">
            <xm:f>AND(IF(J151&lt;'F:\Users\norela.briceno\Documents\Plan de acción\Plan Accion 2018\[Plan Accion Integrado ADRES Vigencia 2018 con Cuadro de Mando V6..xlsx]Plan de Accion 2018'!#REF!,J151&lt;&gt;"N/A"))</xm:f>
            <x14:dxf>
              <fill>
                <patternFill>
                  <bgColor indexed="10"/>
                </patternFill>
              </fill>
            </x14:dxf>
          </x14:cfRule>
          <xm:sqref>J151</xm:sqref>
        </x14:conditionalFormatting>
        <x14:conditionalFormatting xmlns:xm="http://schemas.microsoft.com/office/excel/2006/main">
          <x14:cfRule type="expression" priority="8729" id="{0A44516A-C574-4507-BDA0-780D8F369963}">
            <xm:f>AND(IF(J152&gt;'F:\Users\norela.briceno\Documents\Plan de acción\Plan Accion 2018\[Plan Accion Integrado ADRES Vigencia 2018 con Cuadro de Mando V6..xlsx]Plan de Accion 2018'!#REF!,J152&lt;&gt;¨N/A¨))</xm:f>
            <x14:dxf>
              <fill>
                <patternFill>
                  <bgColor theme="1" tint="0.499984740745262"/>
                </patternFill>
              </fill>
            </x14:dxf>
          </x14:cfRule>
          <x14:cfRule type="expression" priority="8730" stopIfTrue="1" id="{7278FCE0-F109-4F2A-97F5-7CF72E3E5BDA}">
            <xm:f>AND(IF(J152='F:\Users\norela.briceno\Documents\Plan de acción\Plan Accion 2018\[Plan Accion Integrado ADRES Vigencia 2018 con Cuadro de Mando V6..xlsx]Plan de Accion 2018'!#REF!,J152&lt;&gt;"N/A"))</xm:f>
            <x14:dxf>
              <fill>
                <patternFill>
                  <bgColor rgb="FF00B050"/>
                </patternFill>
              </fill>
            </x14:dxf>
          </x14:cfRule>
          <x14:cfRule type="expression" priority="8731" stopIfTrue="1" id="{8F1E022E-ED9A-476A-86CE-7A6073AAEBA7}">
            <xm:f>AND(IF(J152&lt;'F:\Users\norela.briceno\Documents\Plan de acción\Plan Accion 2018\[Plan Accion Integrado ADRES Vigencia 2018 con Cuadro de Mando V6..xlsx]Plan de Accion 2018'!#REF!,J152&lt;&gt;"N/A"))</xm:f>
            <x14:dxf>
              <fill>
                <patternFill>
                  <bgColor indexed="10"/>
                </patternFill>
              </fill>
            </x14:dxf>
          </x14:cfRule>
          <xm:sqref>J152</xm:sqref>
        </x14:conditionalFormatting>
        <x14:conditionalFormatting xmlns:xm="http://schemas.microsoft.com/office/excel/2006/main">
          <x14:cfRule type="expression" priority="8726" id="{6F5D7FE3-5B01-41C5-9787-3AEF31C470EB}">
            <xm:f>AND(IF(J157&gt;'F:\Users\norela.briceno\Documents\Plan de acción\Plan Accion 2018\[Plan Accion Integrado ADRES Vigencia 2018 con Cuadro de Mando V6..xlsx]Plan de Accion 2018'!#REF!,J157&lt;&gt;¨N/A¨))</xm:f>
            <x14:dxf>
              <fill>
                <patternFill>
                  <bgColor theme="1" tint="0.499984740745262"/>
                </patternFill>
              </fill>
            </x14:dxf>
          </x14:cfRule>
          <x14:cfRule type="expression" priority="8727" stopIfTrue="1" id="{B5466192-6917-4AE5-8BC0-81BABE0A119F}">
            <xm:f>AND(IF(J157='F:\Users\norela.briceno\Documents\Plan de acción\Plan Accion 2018\[Plan Accion Integrado ADRES Vigencia 2018 con Cuadro de Mando V6..xlsx]Plan de Accion 2018'!#REF!,J157&lt;&gt;"N/A"))</xm:f>
            <x14:dxf>
              <fill>
                <patternFill>
                  <bgColor rgb="FF00B050"/>
                </patternFill>
              </fill>
            </x14:dxf>
          </x14:cfRule>
          <x14:cfRule type="expression" priority="8728" stopIfTrue="1" id="{5F9AC662-6C05-475E-ADF2-EC4D887A5B93}">
            <xm:f>AND(IF(J157&lt;'F:\Users\norela.briceno\Documents\Plan de acción\Plan Accion 2018\[Plan Accion Integrado ADRES Vigencia 2018 con Cuadro de Mando V6..xlsx]Plan de Accion 2018'!#REF!,J157&lt;&gt;"N/A"))</xm:f>
            <x14:dxf>
              <fill>
                <patternFill>
                  <bgColor indexed="10"/>
                </patternFill>
              </fill>
            </x14:dxf>
          </x14:cfRule>
          <xm:sqref>J157</xm:sqref>
        </x14:conditionalFormatting>
        <x14:conditionalFormatting xmlns:xm="http://schemas.microsoft.com/office/excel/2006/main">
          <x14:cfRule type="expression" priority="8723" id="{C194BB4B-286D-44AB-AE2D-36F8F89FD8D8}">
            <xm:f>AND(IF(J158&gt;'F:\Users\norela.briceno\Documents\Plan de acción\Plan Accion 2018\[Plan Accion Integrado ADRES Vigencia 2018 con Cuadro de Mando V6..xlsx]Plan de Accion 2018'!#REF!,J158&lt;&gt;¨N/A¨))</xm:f>
            <x14:dxf>
              <fill>
                <patternFill>
                  <bgColor theme="1" tint="0.499984740745262"/>
                </patternFill>
              </fill>
            </x14:dxf>
          </x14:cfRule>
          <x14:cfRule type="expression" priority="8724" stopIfTrue="1" id="{49513C92-228F-4E81-A3F3-5D3F1D4FAA58}">
            <xm:f>AND(IF(J158='F:\Users\norela.briceno\Documents\Plan de acción\Plan Accion 2018\[Plan Accion Integrado ADRES Vigencia 2018 con Cuadro de Mando V6..xlsx]Plan de Accion 2018'!#REF!,J158&lt;&gt;"N/A"))</xm:f>
            <x14:dxf>
              <fill>
                <patternFill>
                  <bgColor rgb="FF00B050"/>
                </patternFill>
              </fill>
            </x14:dxf>
          </x14:cfRule>
          <x14:cfRule type="expression" priority="8725" stopIfTrue="1" id="{D6A6ECFB-0D27-47AA-866E-7BBF297E30CC}">
            <xm:f>AND(IF(J158&lt;'F:\Users\norela.briceno\Documents\Plan de acción\Plan Accion 2018\[Plan Accion Integrado ADRES Vigencia 2018 con Cuadro de Mando V6..xlsx]Plan de Accion 2018'!#REF!,J158&lt;&gt;"N/A"))</xm:f>
            <x14:dxf>
              <fill>
                <patternFill>
                  <bgColor indexed="10"/>
                </patternFill>
              </fill>
            </x14:dxf>
          </x14:cfRule>
          <xm:sqref>J158</xm:sqref>
        </x14:conditionalFormatting>
        <x14:conditionalFormatting xmlns:xm="http://schemas.microsoft.com/office/excel/2006/main">
          <x14:cfRule type="expression" priority="8720" id="{B4933F25-B068-4196-BDF4-EE650820DF1F}">
            <xm:f>AND(IF(J160&gt;'F:\Users\norela.briceno\Documents\Plan de acción\Plan Accion 2018\[Plan Accion Integrado ADRES Vigencia 2018 con Cuadro de Mando V6..xlsx]Plan de Accion 2018'!#REF!,J160&lt;&gt;¨N/A¨))</xm:f>
            <x14:dxf>
              <fill>
                <patternFill>
                  <bgColor theme="1" tint="0.499984740745262"/>
                </patternFill>
              </fill>
            </x14:dxf>
          </x14:cfRule>
          <x14:cfRule type="expression" priority="8721" stopIfTrue="1" id="{E1544D23-1B1B-4972-B28D-863AB422394F}">
            <xm:f>AND(IF(J160='F:\Users\norela.briceno\Documents\Plan de acción\Plan Accion 2018\[Plan Accion Integrado ADRES Vigencia 2018 con Cuadro de Mando V6..xlsx]Plan de Accion 2018'!#REF!,J160&lt;&gt;"N/A"))</xm:f>
            <x14:dxf>
              <fill>
                <patternFill>
                  <bgColor rgb="FF00B050"/>
                </patternFill>
              </fill>
            </x14:dxf>
          </x14:cfRule>
          <x14:cfRule type="expression" priority="8722" stopIfTrue="1" id="{DC4ABF4E-4363-4BBE-B0FD-472C4254AD8E}">
            <xm:f>AND(IF(J160&lt;'F:\Users\norela.briceno\Documents\Plan de acción\Plan Accion 2018\[Plan Accion Integrado ADRES Vigencia 2018 con Cuadro de Mando V6..xlsx]Plan de Accion 2018'!#REF!,J160&lt;&gt;"N/A"))</xm:f>
            <x14:dxf>
              <fill>
                <patternFill>
                  <bgColor indexed="10"/>
                </patternFill>
              </fill>
            </x14:dxf>
          </x14:cfRule>
          <xm:sqref>J160</xm:sqref>
        </x14:conditionalFormatting>
        <x14:conditionalFormatting xmlns:xm="http://schemas.microsoft.com/office/excel/2006/main">
          <x14:cfRule type="expression" priority="8714" id="{1EDA1875-2D11-427A-98E9-D7CF349CC6A8}">
            <xm:f>AND(IF(J171&gt;'F:\Users\norela.briceno\Documents\Plan de acción\Plan Accion 2018\[Plan Accion Integrado ADRES Vigencia 2018 con Cuadro de Mando V6..xlsx]Plan de Accion 2018'!#REF!,J171&lt;&gt;¨N/A¨))</xm:f>
            <x14:dxf>
              <fill>
                <patternFill>
                  <bgColor theme="1" tint="0.499984740745262"/>
                </patternFill>
              </fill>
            </x14:dxf>
          </x14:cfRule>
          <x14:cfRule type="expression" priority="8715" stopIfTrue="1" id="{EFD92D8E-7B10-4E44-AA5C-E82F2C0B6243}">
            <xm:f>AND(IF(J171='F:\Users\norela.briceno\Documents\Plan de acción\Plan Accion 2018\[Plan Accion Integrado ADRES Vigencia 2018 con Cuadro de Mando V6..xlsx]Plan de Accion 2018'!#REF!,J171&lt;&gt;"N/A"))</xm:f>
            <x14:dxf>
              <fill>
                <patternFill>
                  <bgColor rgb="FF00B050"/>
                </patternFill>
              </fill>
            </x14:dxf>
          </x14:cfRule>
          <x14:cfRule type="expression" priority="8716" stopIfTrue="1" id="{7CB10EFF-6E9F-4C80-947D-DD1E16C420DE}">
            <xm:f>AND(IF(J171&lt;'F:\Users\norela.briceno\Documents\Plan de acción\Plan Accion 2018\[Plan Accion Integrado ADRES Vigencia 2018 con Cuadro de Mando V6..xlsx]Plan de Accion 2018'!#REF!,J171&lt;&gt;"N/A"))</xm:f>
            <x14:dxf>
              <fill>
                <patternFill>
                  <bgColor indexed="10"/>
                </patternFill>
              </fill>
            </x14:dxf>
          </x14:cfRule>
          <xm:sqref>J171</xm:sqref>
        </x14:conditionalFormatting>
        <x14:conditionalFormatting xmlns:xm="http://schemas.microsoft.com/office/excel/2006/main">
          <x14:cfRule type="expression" priority="8711" id="{2F1763D9-FDB3-4275-BAF9-E07CA7D8B7D6}">
            <xm:f>AND(IF(J174&gt;'F:\Users\norela.briceno\Documents\Plan de acción\Plan Accion 2018\[Plan Accion Integrado ADRES Vigencia 2018 con Cuadro de Mando V6..xlsx]Plan de Accion 2018'!#REF!,J174&lt;&gt;¨N/A¨))</xm:f>
            <x14:dxf>
              <fill>
                <patternFill>
                  <bgColor theme="1" tint="0.499984740745262"/>
                </patternFill>
              </fill>
            </x14:dxf>
          </x14:cfRule>
          <x14:cfRule type="expression" priority="8712" stopIfTrue="1" id="{2CDD399C-58CF-4CB6-9D17-2374E6718AB7}">
            <xm:f>AND(IF(J174='F:\Users\norela.briceno\Documents\Plan de acción\Plan Accion 2018\[Plan Accion Integrado ADRES Vigencia 2018 con Cuadro de Mando V6..xlsx]Plan de Accion 2018'!#REF!,J174&lt;&gt;"N/A"))</xm:f>
            <x14:dxf>
              <fill>
                <patternFill>
                  <bgColor rgb="FF00B050"/>
                </patternFill>
              </fill>
            </x14:dxf>
          </x14:cfRule>
          <x14:cfRule type="expression" priority="8713" stopIfTrue="1" id="{086F201D-692D-412C-9620-1A18F2381C17}">
            <xm:f>AND(IF(J174&lt;'F:\Users\norela.briceno\Documents\Plan de acción\Plan Accion 2018\[Plan Accion Integrado ADRES Vigencia 2018 con Cuadro de Mando V6..xlsx]Plan de Accion 2018'!#REF!,J174&lt;&gt;"N/A"))</xm:f>
            <x14:dxf>
              <fill>
                <patternFill>
                  <bgColor indexed="10"/>
                </patternFill>
              </fill>
            </x14:dxf>
          </x14:cfRule>
          <xm:sqref>J174</xm:sqref>
        </x14:conditionalFormatting>
        <x14:conditionalFormatting xmlns:xm="http://schemas.microsoft.com/office/excel/2006/main">
          <x14:cfRule type="expression" priority="8708" id="{65B84C80-6790-4144-834D-520DF6521BD9}">
            <xm:f>AND(IF(J175&gt;'F:\Users\norela.briceno\Documents\Plan de acción\Plan Accion 2018\[Plan Accion Integrado ADRES Vigencia 2018 con Cuadro de Mando V6..xlsx]Plan de Accion 2018'!#REF!,J175&lt;&gt;¨N/A¨))</xm:f>
            <x14:dxf>
              <fill>
                <patternFill>
                  <bgColor theme="1" tint="0.499984740745262"/>
                </patternFill>
              </fill>
            </x14:dxf>
          </x14:cfRule>
          <x14:cfRule type="expression" priority="8709" stopIfTrue="1" id="{2FB14098-50B8-45B9-A316-CF83EC7AD9BF}">
            <xm:f>AND(IF(J175='F:\Users\norela.briceno\Documents\Plan de acción\Plan Accion 2018\[Plan Accion Integrado ADRES Vigencia 2018 con Cuadro de Mando V6..xlsx]Plan de Accion 2018'!#REF!,J175&lt;&gt;"N/A"))</xm:f>
            <x14:dxf>
              <fill>
                <patternFill>
                  <bgColor rgb="FF00B050"/>
                </patternFill>
              </fill>
            </x14:dxf>
          </x14:cfRule>
          <x14:cfRule type="expression" priority="8710" stopIfTrue="1" id="{4CB19694-C269-4C9A-9C18-E4B7F7B57920}">
            <xm:f>AND(IF(J175&lt;'F:\Users\norela.briceno\Documents\Plan de acción\Plan Accion 2018\[Plan Accion Integrado ADRES Vigencia 2018 con Cuadro de Mando V6..xlsx]Plan de Accion 2018'!#REF!,J175&lt;&gt;"N/A"))</xm:f>
            <x14:dxf>
              <fill>
                <patternFill>
                  <bgColor indexed="10"/>
                </patternFill>
              </fill>
            </x14:dxf>
          </x14:cfRule>
          <xm:sqref>J175</xm:sqref>
        </x14:conditionalFormatting>
        <x14:conditionalFormatting xmlns:xm="http://schemas.microsoft.com/office/excel/2006/main">
          <x14:cfRule type="expression" priority="8705" id="{0FC0680F-D424-4763-AF68-63D1BB0C3523}">
            <xm:f>AND(IF(J176&gt;'F:\Users\norela.briceno\Documents\Plan de acción\Plan Accion 2018\[Plan Accion Integrado ADRES Vigencia 2018 con Cuadro de Mando V6..xlsx]Plan de Accion 2018'!#REF!,J176&lt;&gt;¨N/A¨))</xm:f>
            <x14:dxf>
              <fill>
                <patternFill>
                  <bgColor theme="1" tint="0.499984740745262"/>
                </patternFill>
              </fill>
            </x14:dxf>
          </x14:cfRule>
          <x14:cfRule type="expression" priority="8706" stopIfTrue="1" id="{B3270AAE-A6F8-47AA-943D-BB727CF4D9BE}">
            <xm:f>AND(IF(J176='F:\Users\norela.briceno\Documents\Plan de acción\Plan Accion 2018\[Plan Accion Integrado ADRES Vigencia 2018 con Cuadro de Mando V6..xlsx]Plan de Accion 2018'!#REF!,J176&lt;&gt;"N/A"))</xm:f>
            <x14:dxf>
              <fill>
                <patternFill>
                  <bgColor rgb="FF00B050"/>
                </patternFill>
              </fill>
            </x14:dxf>
          </x14:cfRule>
          <x14:cfRule type="expression" priority="8707" stopIfTrue="1" id="{19DF8F0C-AA38-4248-88C8-2ED596856E25}">
            <xm:f>AND(IF(J176&lt;'F:\Users\norela.briceno\Documents\Plan de acción\Plan Accion 2018\[Plan Accion Integrado ADRES Vigencia 2018 con Cuadro de Mando V6..xlsx]Plan de Accion 2018'!#REF!,J176&lt;&gt;"N/A"))</xm:f>
            <x14:dxf>
              <fill>
                <patternFill>
                  <bgColor indexed="10"/>
                </patternFill>
              </fill>
            </x14:dxf>
          </x14:cfRule>
          <xm:sqref>J176</xm:sqref>
        </x14:conditionalFormatting>
        <x14:conditionalFormatting xmlns:xm="http://schemas.microsoft.com/office/excel/2006/main">
          <x14:cfRule type="expression" priority="8702" id="{84ED6F0B-63EC-4F98-938D-6B1E3EB58A3D}">
            <xm:f>AND(IF(J177&gt;'F:\Users\norela.briceno\Documents\Plan de acción\Plan Accion 2018\[Plan Accion Integrado ADRES Vigencia 2018 con Cuadro de Mando V6..xlsx]Plan de Accion 2018'!#REF!,J177&lt;&gt;¨N/A¨))</xm:f>
            <x14:dxf>
              <fill>
                <patternFill>
                  <bgColor theme="1" tint="0.499984740745262"/>
                </patternFill>
              </fill>
            </x14:dxf>
          </x14:cfRule>
          <x14:cfRule type="expression" priority="8703" stopIfTrue="1" id="{437270FF-9920-4007-A600-AE2F375DF56E}">
            <xm:f>AND(IF(J177='F:\Users\norela.briceno\Documents\Plan de acción\Plan Accion 2018\[Plan Accion Integrado ADRES Vigencia 2018 con Cuadro de Mando V6..xlsx]Plan de Accion 2018'!#REF!,J177&lt;&gt;"N/A"))</xm:f>
            <x14:dxf>
              <fill>
                <patternFill>
                  <bgColor rgb="FF00B050"/>
                </patternFill>
              </fill>
            </x14:dxf>
          </x14:cfRule>
          <x14:cfRule type="expression" priority="8704" stopIfTrue="1" id="{549206F0-6038-403D-8993-45C30A683179}">
            <xm:f>AND(IF(J177&lt;'F:\Users\norela.briceno\Documents\Plan de acción\Plan Accion 2018\[Plan Accion Integrado ADRES Vigencia 2018 con Cuadro de Mando V6..xlsx]Plan de Accion 2018'!#REF!,J177&lt;&gt;"N/A"))</xm:f>
            <x14:dxf>
              <fill>
                <patternFill>
                  <bgColor indexed="10"/>
                </patternFill>
              </fill>
            </x14:dxf>
          </x14:cfRule>
          <xm:sqref>J177</xm:sqref>
        </x14:conditionalFormatting>
        <x14:conditionalFormatting xmlns:xm="http://schemas.microsoft.com/office/excel/2006/main">
          <x14:cfRule type="expression" priority="8699" id="{8B07F2E8-E93A-4291-BE82-631F8A3B54E1}">
            <xm:f>AND(IF(J179&gt;'F:\Users\norela.briceno\Documents\Plan de acción\Plan Accion 2018\[Plan Accion Integrado ADRES Vigencia 2018 con Cuadro de Mando V6..xlsx]Plan de Accion 2018'!#REF!,J179&lt;&gt;¨N/A¨))</xm:f>
            <x14:dxf>
              <fill>
                <patternFill>
                  <bgColor theme="1" tint="0.499984740745262"/>
                </patternFill>
              </fill>
            </x14:dxf>
          </x14:cfRule>
          <x14:cfRule type="expression" priority="8700" stopIfTrue="1" id="{AEFDDF29-B3A6-464A-83CE-D315D909C2B1}">
            <xm:f>AND(IF(J179='F:\Users\norela.briceno\Documents\Plan de acción\Plan Accion 2018\[Plan Accion Integrado ADRES Vigencia 2018 con Cuadro de Mando V6..xlsx]Plan de Accion 2018'!#REF!,J179&lt;&gt;"N/A"))</xm:f>
            <x14:dxf>
              <fill>
                <patternFill>
                  <bgColor rgb="FF00B050"/>
                </patternFill>
              </fill>
            </x14:dxf>
          </x14:cfRule>
          <x14:cfRule type="expression" priority="8701" stopIfTrue="1" id="{21603C01-0586-4D5C-9F5A-754484D86EEF}">
            <xm:f>AND(IF(J179&lt;'F:\Users\norela.briceno\Documents\Plan de acción\Plan Accion 2018\[Plan Accion Integrado ADRES Vigencia 2018 con Cuadro de Mando V6..xlsx]Plan de Accion 2018'!#REF!,J179&lt;&gt;"N/A"))</xm:f>
            <x14:dxf>
              <fill>
                <patternFill>
                  <bgColor indexed="10"/>
                </patternFill>
              </fill>
            </x14:dxf>
          </x14:cfRule>
          <xm:sqref>J179</xm:sqref>
        </x14:conditionalFormatting>
        <x14:conditionalFormatting xmlns:xm="http://schemas.microsoft.com/office/excel/2006/main">
          <x14:cfRule type="expression" priority="8696" id="{64C921EC-F54E-4029-804D-F123D9C46AE0}">
            <xm:f>AND(IF(J181&gt;'F:\Users\norela.briceno\Documents\Plan de acción\Plan Accion 2018\[Plan Accion Integrado ADRES Vigencia 2018 con Cuadro de Mando V6..xlsx]Plan de Accion 2018'!#REF!,J181&lt;&gt;¨N/A¨))</xm:f>
            <x14:dxf>
              <fill>
                <patternFill>
                  <bgColor theme="1" tint="0.499984740745262"/>
                </patternFill>
              </fill>
            </x14:dxf>
          </x14:cfRule>
          <x14:cfRule type="expression" priority="8697" stopIfTrue="1" id="{996275F5-3136-4EDD-B9C1-B1C637787B84}">
            <xm:f>AND(IF(J181='F:\Users\norela.briceno\Documents\Plan de acción\Plan Accion 2018\[Plan Accion Integrado ADRES Vigencia 2018 con Cuadro de Mando V6..xlsx]Plan de Accion 2018'!#REF!,J181&lt;&gt;"N/A"))</xm:f>
            <x14:dxf>
              <fill>
                <patternFill>
                  <bgColor rgb="FF00B050"/>
                </patternFill>
              </fill>
            </x14:dxf>
          </x14:cfRule>
          <x14:cfRule type="expression" priority="8698" stopIfTrue="1" id="{7176D2C9-B69A-4F1E-997B-ADE22BC352A0}">
            <xm:f>AND(IF(J181&lt;'F:\Users\norela.briceno\Documents\Plan de acción\Plan Accion 2018\[Plan Accion Integrado ADRES Vigencia 2018 con Cuadro de Mando V6..xlsx]Plan de Accion 2018'!#REF!,J181&lt;&gt;"N/A"))</xm:f>
            <x14:dxf>
              <fill>
                <patternFill>
                  <bgColor indexed="10"/>
                </patternFill>
              </fill>
            </x14:dxf>
          </x14:cfRule>
          <xm:sqref>J181</xm:sqref>
        </x14:conditionalFormatting>
        <x14:conditionalFormatting xmlns:xm="http://schemas.microsoft.com/office/excel/2006/main">
          <x14:cfRule type="expression" priority="8693" id="{B36A1453-8E22-47E9-9B03-131F3CB505BB}">
            <xm:f>AND(IF(J182&gt;'F:\Users\norela.briceno\Documents\Plan de acción\Plan Accion 2018\[Plan Accion Integrado ADRES Vigencia 2018 con Cuadro de Mando V6..xlsx]Plan de Accion 2018'!#REF!,J182&lt;&gt;¨N/A¨))</xm:f>
            <x14:dxf>
              <fill>
                <patternFill>
                  <bgColor theme="1" tint="0.499984740745262"/>
                </patternFill>
              </fill>
            </x14:dxf>
          </x14:cfRule>
          <x14:cfRule type="expression" priority="8694" stopIfTrue="1" id="{496A2E86-9B20-4282-B03A-42EFF1856F99}">
            <xm:f>AND(IF(J182='F:\Users\norela.briceno\Documents\Plan de acción\Plan Accion 2018\[Plan Accion Integrado ADRES Vigencia 2018 con Cuadro de Mando V6..xlsx]Plan de Accion 2018'!#REF!,J182&lt;&gt;"N/A"))</xm:f>
            <x14:dxf>
              <fill>
                <patternFill>
                  <bgColor rgb="FF00B050"/>
                </patternFill>
              </fill>
            </x14:dxf>
          </x14:cfRule>
          <x14:cfRule type="expression" priority="8695" stopIfTrue="1" id="{8994FDBD-3099-40CB-AE4F-8FDADFC50BC3}">
            <xm:f>AND(IF(J182&lt;'F:\Users\norela.briceno\Documents\Plan de acción\Plan Accion 2018\[Plan Accion Integrado ADRES Vigencia 2018 con Cuadro de Mando V6..xlsx]Plan de Accion 2018'!#REF!,J182&lt;&gt;"N/A"))</xm:f>
            <x14:dxf>
              <fill>
                <patternFill>
                  <bgColor indexed="10"/>
                </patternFill>
              </fill>
            </x14:dxf>
          </x14:cfRule>
          <xm:sqref>J182</xm:sqref>
        </x14:conditionalFormatting>
        <x14:conditionalFormatting xmlns:xm="http://schemas.microsoft.com/office/excel/2006/main">
          <x14:cfRule type="expression" priority="8690" id="{EE8E346B-16B3-40B7-BD2C-14F68D12069C}">
            <xm:f>AND(IF(J183&gt;'F:\Users\norela.briceno\Documents\Plan de acción\Plan Accion 2018\[Plan Accion Integrado ADRES Vigencia 2018 con Cuadro de Mando V6..xlsx]Plan de Accion 2018'!#REF!,J183&lt;&gt;¨N/A¨))</xm:f>
            <x14:dxf>
              <fill>
                <patternFill>
                  <bgColor theme="1" tint="0.499984740745262"/>
                </patternFill>
              </fill>
            </x14:dxf>
          </x14:cfRule>
          <x14:cfRule type="expression" priority="8691" stopIfTrue="1" id="{73406613-DC1D-4A13-9C0E-047B7285729C}">
            <xm:f>AND(IF(J183='F:\Users\norela.briceno\Documents\Plan de acción\Plan Accion 2018\[Plan Accion Integrado ADRES Vigencia 2018 con Cuadro de Mando V6..xlsx]Plan de Accion 2018'!#REF!,J183&lt;&gt;"N/A"))</xm:f>
            <x14:dxf>
              <fill>
                <patternFill>
                  <bgColor rgb="FF00B050"/>
                </patternFill>
              </fill>
            </x14:dxf>
          </x14:cfRule>
          <x14:cfRule type="expression" priority="8692" stopIfTrue="1" id="{1E56FBAB-59F0-4DA1-A38B-758E57D23242}">
            <xm:f>AND(IF(J183&lt;'F:\Users\norela.briceno\Documents\Plan de acción\Plan Accion 2018\[Plan Accion Integrado ADRES Vigencia 2018 con Cuadro de Mando V6..xlsx]Plan de Accion 2018'!#REF!,J183&lt;&gt;"N/A"))</xm:f>
            <x14:dxf>
              <fill>
                <patternFill>
                  <bgColor indexed="10"/>
                </patternFill>
              </fill>
            </x14:dxf>
          </x14:cfRule>
          <xm:sqref>J183</xm:sqref>
        </x14:conditionalFormatting>
        <x14:conditionalFormatting xmlns:xm="http://schemas.microsoft.com/office/excel/2006/main">
          <x14:cfRule type="expression" priority="8687" id="{10D8C890-F4A9-43CA-B9EE-C6554B0216A9}">
            <xm:f>AND(IF(J184&gt;'F:\Users\norela.briceno\Documents\Plan de acción\Plan Accion 2018\[Plan Accion Integrado ADRES Vigencia 2018 con Cuadro de Mando V6..xlsx]Plan de Accion 2018'!#REF!,J184&lt;&gt;¨N/A¨))</xm:f>
            <x14:dxf>
              <fill>
                <patternFill>
                  <bgColor theme="1" tint="0.499984740745262"/>
                </patternFill>
              </fill>
            </x14:dxf>
          </x14:cfRule>
          <x14:cfRule type="expression" priority="8688" stopIfTrue="1" id="{34961AB4-A1BB-4D51-BE8D-3BBF1455B7B9}">
            <xm:f>AND(IF(J184='F:\Users\norela.briceno\Documents\Plan de acción\Plan Accion 2018\[Plan Accion Integrado ADRES Vigencia 2018 con Cuadro de Mando V6..xlsx]Plan de Accion 2018'!#REF!,J184&lt;&gt;"N/A"))</xm:f>
            <x14:dxf>
              <fill>
                <patternFill>
                  <bgColor rgb="FF00B050"/>
                </patternFill>
              </fill>
            </x14:dxf>
          </x14:cfRule>
          <x14:cfRule type="expression" priority="8689" stopIfTrue="1" id="{E266C23A-AFF1-407D-AD35-A223FBA5D24D}">
            <xm:f>AND(IF(J184&lt;'F:\Users\norela.briceno\Documents\Plan de acción\Plan Accion 2018\[Plan Accion Integrado ADRES Vigencia 2018 con Cuadro de Mando V6..xlsx]Plan de Accion 2018'!#REF!,J184&lt;&gt;"N/A"))</xm:f>
            <x14:dxf>
              <fill>
                <patternFill>
                  <bgColor indexed="10"/>
                </patternFill>
              </fill>
            </x14:dxf>
          </x14:cfRule>
          <xm:sqref>J184</xm:sqref>
        </x14:conditionalFormatting>
        <x14:conditionalFormatting xmlns:xm="http://schemas.microsoft.com/office/excel/2006/main">
          <x14:cfRule type="expression" priority="8684" id="{A5349E4B-3664-41DE-A700-A4F3BCB05536}">
            <xm:f>AND(IF(J192&gt;'F:\Users\norela.briceno\Documents\Plan de acción\Plan Accion 2018\[Plan Accion Integrado ADRES Vigencia 2018 con Cuadro de Mando V6..xlsx]Plan de Accion 2018'!#REF!,J192&lt;&gt;¨N/A¨))</xm:f>
            <x14:dxf>
              <fill>
                <patternFill>
                  <bgColor theme="1" tint="0.499984740745262"/>
                </patternFill>
              </fill>
            </x14:dxf>
          </x14:cfRule>
          <x14:cfRule type="expression" priority="8685" stopIfTrue="1" id="{92F09422-AE9E-42A5-BD66-EE1343FB7DB5}">
            <xm:f>AND(IF(J192='F:\Users\norela.briceno\Documents\Plan de acción\Plan Accion 2018\[Plan Accion Integrado ADRES Vigencia 2018 con Cuadro de Mando V6..xlsx]Plan de Accion 2018'!#REF!,J192&lt;&gt;"N/A"))</xm:f>
            <x14:dxf>
              <fill>
                <patternFill>
                  <bgColor rgb="FF00B050"/>
                </patternFill>
              </fill>
            </x14:dxf>
          </x14:cfRule>
          <x14:cfRule type="expression" priority="8686" stopIfTrue="1" id="{F833357B-64A4-4C75-A907-09760FE6491C}">
            <xm:f>AND(IF(J192&lt;'F:\Users\norela.briceno\Documents\Plan de acción\Plan Accion 2018\[Plan Accion Integrado ADRES Vigencia 2018 con Cuadro de Mando V6..xlsx]Plan de Accion 2018'!#REF!,J192&lt;&gt;"N/A"))</xm:f>
            <x14:dxf>
              <fill>
                <patternFill>
                  <bgColor indexed="10"/>
                </patternFill>
              </fill>
            </x14:dxf>
          </x14:cfRule>
          <xm:sqref>J192</xm:sqref>
        </x14:conditionalFormatting>
        <x14:conditionalFormatting xmlns:xm="http://schemas.microsoft.com/office/excel/2006/main">
          <x14:cfRule type="expression" priority="8681" id="{585AC0E8-3FCA-4FFC-A396-98BC0BDB950F}">
            <xm:f>AND(IF(J193&gt;'F:\Users\norela.briceno\Documents\Plan de acción\Plan Accion 2018\[Plan Accion Integrado ADRES Vigencia 2018 con Cuadro de Mando V6..xlsx]Plan de Accion 2018'!#REF!,J193&lt;&gt;¨N/A¨))</xm:f>
            <x14:dxf>
              <fill>
                <patternFill>
                  <bgColor theme="1" tint="0.499984740745262"/>
                </patternFill>
              </fill>
            </x14:dxf>
          </x14:cfRule>
          <x14:cfRule type="expression" priority="8682" stopIfTrue="1" id="{5562F5A7-1CA3-49EB-A762-C54BA51E1685}">
            <xm:f>AND(IF(J193='F:\Users\norela.briceno\Documents\Plan de acción\Plan Accion 2018\[Plan Accion Integrado ADRES Vigencia 2018 con Cuadro de Mando V6..xlsx]Plan de Accion 2018'!#REF!,J193&lt;&gt;"N/A"))</xm:f>
            <x14:dxf>
              <fill>
                <patternFill>
                  <bgColor rgb="FF00B050"/>
                </patternFill>
              </fill>
            </x14:dxf>
          </x14:cfRule>
          <x14:cfRule type="expression" priority="8683" stopIfTrue="1" id="{D66B451A-925D-41D1-B7D1-01B9913D3107}">
            <xm:f>AND(IF(J193&lt;'F:\Users\norela.briceno\Documents\Plan de acción\Plan Accion 2018\[Plan Accion Integrado ADRES Vigencia 2018 con Cuadro de Mando V6..xlsx]Plan de Accion 2018'!#REF!,J193&lt;&gt;"N/A"))</xm:f>
            <x14:dxf>
              <fill>
                <patternFill>
                  <bgColor indexed="10"/>
                </patternFill>
              </fill>
            </x14:dxf>
          </x14:cfRule>
          <xm:sqref>J193</xm:sqref>
        </x14:conditionalFormatting>
        <x14:conditionalFormatting xmlns:xm="http://schemas.microsoft.com/office/excel/2006/main">
          <x14:cfRule type="expression" priority="8678" id="{89034EA8-9503-465B-8BD5-DB047D610FAE}">
            <xm:f>AND(IF(J198&gt;'F:\Users\norela.briceno\Documents\Plan de acción\Plan Accion 2018\[Plan Accion Integrado ADRES Vigencia 2018 con Cuadro de Mando V6..xlsx]Plan de Accion 2018'!#REF!,J198&lt;&gt;¨N/A¨))</xm:f>
            <x14:dxf>
              <fill>
                <patternFill>
                  <bgColor theme="1" tint="0.499984740745262"/>
                </patternFill>
              </fill>
            </x14:dxf>
          </x14:cfRule>
          <x14:cfRule type="expression" priority="8679" stopIfTrue="1" id="{6EE1873C-2283-4FC8-845D-6E5D0A2F684D}">
            <xm:f>AND(IF(J198='F:\Users\norela.briceno\Documents\Plan de acción\Plan Accion 2018\[Plan Accion Integrado ADRES Vigencia 2018 con Cuadro de Mando V6..xlsx]Plan de Accion 2018'!#REF!,J198&lt;&gt;"N/A"))</xm:f>
            <x14:dxf>
              <fill>
                <patternFill>
                  <bgColor rgb="FF00B050"/>
                </patternFill>
              </fill>
            </x14:dxf>
          </x14:cfRule>
          <x14:cfRule type="expression" priority="8680" stopIfTrue="1" id="{F273B2EF-CBCA-4A66-AFBF-33F99FEFD4F5}">
            <xm:f>AND(IF(J198&lt;'F:\Users\norela.briceno\Documents\Plan de acción\Plan Accion 2018\[Plan Accion Integrado ADRES Vigencia 2018 con Cuadro de Mando V6..xlsx]Plan de Accion 2018'!#REF!,J198&lt;&gt;"N/A"))</xm:f>
            <x14:dxf>
              <fill>
                <patternFill>
                  <bgColor indexed="10"/>
                </patternFill>
              </fill>
            </x14:dxf>
          </x14:cfRule>
          <xm:sqref>J198</xm:sqref>
        </x14:conditionalFormatting>
        <x14:conditionalFormatting xmlns:xm="http://schemas.microsoft.com/office/excel/2006/main">
          <x14:cfRule type="expression" priority="8675" id="{31681521-7FA8-48D7-9D37-C0F23410B847}">
            <xm:f>AND(IF(J199&gt;'F:\Users\norela.briceno\Documents\Plan de acción\Plan Accion 2018\[Plan Accion Integrado ADRES Vigencia 2018 con Cuadro de Mando V6..xlsx]Plan de Accion 2018'!#REF!,J199&lt;&gt;¨N/A¨))</xm:f>
            <x14:dxf>
              <fill>
                <patternFill>
                  <bgColor theme="1" tint="0.499984740745262"/>
                </patternFill>
              </fill>
            </x14:dxf>
          </x14:cfRule>
          <x14:cfRule type="expression" priority="8676" stopIfTrue="1" id="{E9CCC827-383C-4511-802B-4B925772C57D}">
            <xm:f>AND(IF(J199='F:\Users\norela.briceno\Documents\Plan de acción\Plan Accion 2018\[Plan Accion Integrado ADRES Vigencia 2018 con Cuadro de Mando V6..xlsx]Plan de Accion 2018'!#REF!,J199&lt;&gt;"N/A"))</xm:f>
            <x14:dxf>
              <fill>
                <patternFill>
                  <bgColor rgb="FF00B050"/>
                </patternFill>
              </fill>
            </x14:dxf>
          </x14:cfRule>
          <x14:cfRule type="expression" priority="8677" stopIfTrue="1" id="{2362E2D8-2DF2-4757-9E8C-13BCC5B7A434}">
            <xm:f>AND(IF(J199&lt;'F:\Users\norela.briceno\Documents\Plan de acción\Plan Accion 2018\[Plan Accion Integrado ADRES Vigencia 2018 con Cuadro de Mando V6..xlsx]Plan de Accion 2018'!#REF!,J199&lt;&gt;"N/A"))</xm:f>
            <x14:dxf>
              <fill>
                <patternFill>
                  <bgColor indexed="10"/>
                </patternFill>
              </fill>
            </x14:dxf>
          </x14:cfRule>
          <xm:sqref>J199</xm:sqref>
        </x14:conditionalFormatting>
        <x14:conditionalFormatting xmlns:xm="http://schemas.microsoft.com/office/excel/2006/main">
          <x14:cfRule type="expression" priority="8672" id="{61C4930D-CEC1-4D25-956E-2D2222D36C6E}">
            <xm:f>AND(IF(J200&gt;'F:\Users\norela.briceno\Documents\Plan de acción\Plan Accion 2018\[Plan Accion Integrado ADRES Vigencia 2018 con Cuadro de Mando V6..xlsx]Plan de Accion 2018'!#REF!,J200&lt;&gt;¨N/A¨))</xm:f>
            <x14:dxf>
              <fill>
                <patternFill>
                  <bgColor theme="1" tint="0.499984740745262"/>
                </patternFill>
              </fill>
            </x14:dxf>
          </x14:cfRule>
          <x14:cfRule type="expression" priority="8673" stopIfTrue="1" id="{71C6CCC5-439E-4378-9E0D-FED69954626A}">
            <xm:f>AND(IF(J200='F:\Users\norela.briceno\Documents\Plan de acción\Plan Accion 2018\[Plan Accion Integrado ADRES Vigencia 2018 con Cuadro de Mando V6..xlsx]Plan de Accion 2018'!#REF!,J200&lt;&gt;"N/A"))</xm:f>
            <x14:dxf>
              <fill>
                <patternFill>
                  <bgColor rgb="FF00B050"/>
                </patternFill>
              </fill>
            </x14:dxf>
          </x14:cfRule>
          <x14:cfRule type="expression" priority="8674" stopIfTrue="1" id="{2C8A8C9E-226A-49FA-9D91-1DA2EAC3D185}">
            <xm:f>AND(IF(J200&lt;'F:\Users\norela.briceno\Documents\Plan de acción\Plan Accion 2018\[Plan Accion Integrado ADRES Vigencia 2018 con Cuadro de Mando V6..xlsx]Plan de Accion 2018'!#REF!,J200&lt;&gt;"N/A"))</xm:f>
            <x14:dxf>
              <fill>
                <patternFill>
                  <bgColor indexed="10"/>
                </patternFill>
              </fill>
            </x14:dxf>
          </x14:cfRule>
          <xm:sqref>J200</xm:sqref>
        </x14:conditionalFormatting>
        <x14:conditionalFormatting xmlns:xm="http://schemas.microsoft.com/office/excel/2006/main">
          <x14:cfRule type="expression" priority="8669" id="{2F07A60A-1441-46E4-ACCB-D7E93F49A422}">
            <xm:f>AND(IF(J201&gt;'F:\Users\norela.briceno\Documents\Plan de acción\Plan Accion 2018\[Plan Accion Integrado ADRES Vigencia 2018 con Cuadro de Mando V6..xlsx]Plan de Accion 2018'!#REF!,J201&lt;&gt;¨N/A¨))</xm:f>
            <x14:dxf>
              <fill>
                <patternFill>
                  <bgColor theme="1" tint="0.499984740745262"/>
                </patternFill>
              </fill>
            </x14:dxf>
          </x14:cfRule>
          <x14:cfRule type="expression" priority="8670" stopIfTrue="1" id="{7963294B-329E-40F0-B529-6C5F1811F3CF}">
            <xm:f>AND(IF(J201='F:\Users\norela.briceno\Documents\Plan de acción\Plan Accion 2018\[Plan Accion Integrado ADRES Vigencia 2018 con Cuadro de Mando V6..xlsx]Plan de Accion 2018'!#REF!,J201&lt;&gt;"N/A"))</xm:f>
            <x14:dxf>
              <fill>
                <patternFill>
                  <bgColor rgb="FF00B050"/>
                </patternFill>
              </fill>
            </x14:dxf>
          </x14:cfRule>
          <x14:cfRule type="expression" priority="8671" stopIfTrue="1" id="{A7EA67DE-555A-46D2-BEE1-22A9F34602A5}">
            <xm:f>AND(IF(J201&lt;'F:\Users\norela.briceno\Documents\Plan de acción\Plan Accion 2018\[Plan Accion Integrado ADRES Vigencia 2018 con Cuadro de Mando V6..xlsx]Plan de Accion 2018'!#REF!,J201&lt;&gt;"N/A"))</xm:f>
            <x14:dxf>
              <fill>
                <patternFill>
                  <bgColor indexed="10"/>
                </patternFill>
              </fill>
            </x14:dxf>
          </x14:cfRule>
          <xm:sqref>J201</xm:sqref>
        </x14:conditionalFormatting>
        <x14:conditionalFormatting xmlns:xm="http://schemas.microsoft.com/office/excel/2006/main">
          <x14:cfRule type="expression" priority="8666" id="{F8BB5107-78AE-4302-B9D0-42830F2B6582}">
            <xm:f>AND(IF(J202&gt;'F:\Users\norela.briceno\Documents\Plan de acción\Plan Accion 2018\[Plan Accion Integrado ADRES Vigencia 2018 con Cuadro de Mando V6..xlsx]Plan de Accion 2018'!#REF!,J202&lt;&gt;¨N/A¨))</xm:f>
            <x14:dxf>
              <fill>
                <patternFill>
                  <bgColor theme="1" tint="0.499984740745262"/>
                </patternFill>
              </fill>
            </x14:dxf>
          </x14:cfRule>
          <x14:cfRule type="expression" priority="8667" stopIfTrue="1" id="{B3A6AFF9-3727-4624-BA89-2B435AB992B7}">
            <xm:f>AND(IF(J202='F:\Users\norela.briceno\Documents\Plan de acción\Plan Accion 2018\[Plan Accion Integrado ADRES Vigencia 2018 con Cuadro de Mando V6..xlsx]Plan de Accion 2018'!#REF!,J202&lt;&gt;"N/A"))</xm:f>
            <x14:dxf>
              <fill>
                <patternFill>
                  <bgColor rgb="FF00B050"/>
                </patternFill>
              </fill>
            </x14:dxf>
          </x14:cfRule>
          <x14:cfRule type="expression" priority="8668" stopIfTrue="1" id="{CD9C17C3-24EC-4725-A9BB-AB349F0C0762}">
            <xm:f>AND(IF(J202&lt;'F:\Users\norela.briceno\Documents\Plan de acción\Plan Accion 2018\[Plan Accion Integrado ADRES Vigencia 2018 con Cuadro de Mando V6..xlsx]Plan de Accion 2018'!#REF!,J202&lt;&gt;"N/A"))</xm:f>
            <x14:dxf>
              <fill>
                <patternFill>
                  <bgColor indexed="10"/>
                </patternFill>
              </fill>
            </x14:dxf>
          </x14:cfRule>
          <xm:sqref>J202</xm:sqref>
        </x14:conditionalFormatting>
        <x14:conditionalFormatting xmlns:xm="http://schemas.microsoft.com/office/excel/2006/main">
          <x14:cfRule type="expression" priority="8663" id="{8E826F21-DA72-4A9F-A17B-DBB11454E562}">
            <xm:f>AND(IF(J203&gt;'F:\Users\norela.briceno\Documents\Plan de acción\Plan Accion 2018\[Plan Accion Integrado ADRES Vigencia 2018 con Cuadro de Mando V6..xlsx]Plan de Accion 2018'!#REF!,J203&lt;&gt;¨N/A¨))</xm:f>
            <x14:dxf>
              <fill>
                <patternFill>
                  <bgColor theme="1" tint="0.499984740745262"/>
                </patternFill>
              </fill>
            </x14:dxf>
          </x14:cfRule>
          <x14:cfRule type="expression" priority="8664" stopIfTrue="1" id="{F352A7F7-17C8-4575-9E6D-6E1578DC4772}">
            <xm:f>AND(IF(J203='F:\Users\norela.briceno\Documents\Plan de acción\Plan Accion 2018\[Plan Accion Integrado ADRES Vigencia 2018 con Cuadro de Mando V6..xlsx]Plan de Accion 2018'!#REF!,J203&lt;&gt;"N/A"))</xm:f>
            <x14:dxf>
              <fill>
                <patternFill>
                  <bgColor rgb="FF00B050"/>
                </patternFill>
              </fill>
            </x14:dxf>
          </x14:cfRule>
          <x14:cfRule type="expression" priority="8665" stopIfTrue="1" id="{349B967F-CF0F-4A62-95BD-66D906C57C61}">
            <xm:f>AND(IF(J203&lt;'F:\Users\norela.briceno\Documents\Plan de acción\Plan Accion 2018\[Plan Accion Integrado ADRES Vigencia 2018 con Cuadro de Mando V6..xlsx]Plan de Accion 2018'!#REF!,J203&lt;&gt;"N/A"))</xm:f>
            <x14:dxf>
              <fill>
                <patternFill>
                  <bgColor indexed="10"/>
                </patternFill>
              </fill>
            </x14:dxf>
          </x14:cfRule>
          <xm:sqref>J203</xm:sqref>
        </x14:conditionalFormatting>
        <x14:conditionalFormatting xmlns:xm="http://schemas.microsoft.com/office/excel/2006/main">
          <x14:cfRule type="expression" priority="8660" id="{39502C9D-EF1F-48C9-96A7-FDD1F086A0B6}">
            <xm:f>AND(IF(J205&gt;'F:\Users\norela.briceno\Documents\Plan de acción\Plan Accion 2018\[Plan Accion Integrado ADRES Vigencia 2018 con Cuadro de Mando V6..xlsx]Plan de Accion 2018'!#REF!,J205&lt;&gt;¨N/A¨))</xm:f>
            <x14:dxf>
              <fill>
                <patternFill>
                  <bgColor theme="1" tint="0.499984740745262"/>
                </patternFill>
              </fill>
            </x14:dxf>
          </x14:cfRule>
          <x14:cfRule type="expression" priority="8661" stopIfTrue="1" id="{1B8462EA-5E6D-47F8-9A71-8EB59B52A672}">
            <xm:f>AND(IF(J205='F:\Users\norela.briceno\Documents\Plan de acción\Plan Accion 2018\[Plan Accion Integrado ADRES Vigencia 2018 con Cuadro de Mando V6..xlsx]Plan de Accion 2018'!#REF!,J205&lt;&gt;"N/A"))</xm:f>
            <x14:dxf>
              <fill>
                <patternFill>
                  <bgColor rgb="FF00B050"/>
                </patternFill>
              </fill>
            </x14:dxf>
          </x14:cfRule>
          <x14:cfRule type="expression" priority="8662" stopIfTrue="1" id="{643A4889-8D96-4350-B881-026790BF31E6}">
            <xm:f>AND(IF(J205&lt;'F:\Users\norela.briceno\Documents\Plan de acción\Plan Accion 2018\[Plan Accion Integrado ADRES Vigencia 2018 con Cuadro de Mando V6..xlsx]Plan de Accion 2018'!#REF!,J205&lt;&gt;"N/A"))</xm:f>
            <x14:dxf>
              <fill>
                <patternFill>
                  <bgColor indexed="10"/>
                </patternFill>
              </fill>
            </x14:dxf>
          </x14:cfRule>
          <xm:sqref>J205</xm:sqref>
        </x14:conditionalFormatting>
        <x14:conditionalFormatting xmlns:xm="http://schemas.microsoft.com/office/excel/2006/main">
          <x14:cfRule type="expression" priority="8657" id="{6F1977ED-7B37-45FF-9116-8D10747F2787}">
            <xm:f>AND(IF(J206&gt;'F:\Users\norela.briceno\Documents\Plan de acción\Plan Accion 2018\[Plan Accion Integrado ADRES Vigencia 2018 con Cuadro de Mando V6..xlsx]Plan de Accion 2018'!#REF!,J206&lt;&gt;¨N/A¨))</xm:f>
            <x14:dxf>
              <fill>
                <patternFill>
                  <bgColor theme="1" tint="0.499984740745262"/>
                </patternFill>
              </fill>
            </x14:dxf>
          </x14:cfRule>
          <x14:cfRule type="expression" priority="8658" stopIfTrue="1" id="{219FE516-65FA-4D65-B648-2677DB3DD86F}">
            <xm:f>AND(IF(J206='F:\Users\norela.briceno\Documents\Plan de acción\Plan Accion 2018\[Plan Accion Integrado ADRES Vigencia 2018 con Cuadro de Mando V6..xlsx]Plan de Accion 2018'!#REF!,J206&lt;&gt;"N/A"))</xm:f>
            <x14:dxf>
              <fill>
                <patternFill>
                  <bgColor rgb="FF00B050"/>
                </patternFill>
              </fill>
            </x14:dxf>
          </x14:cfRule>
          <x14:cfRule type="expression" priority="8659" stopIfTrue="1" id="{03039E84-974C-4FBE-B411-393C8C47E035}">
            <xm:f>AND(IF(J206&lt;'F:\Users\norela.briceno\Documents\Plan de acción\Plan Accion 2018\[Plan Accion Integrado ADRES Vigencia 2018 con Cuadro de Mando V6..xlsx]Plan de Accion 2018'!#REF!,J206&lt;&gt;"N/A"))</xm:f>
            <x14:dxf>
              <fill>
                <patternFill>
                  <bgColor indexed="10"/>
                </patternFill>
              </fill>
            </x14:dxf>
          </x14:cfRule>
          <xm:sqref>J206</xm:sqref>
        </x14:conditionalFormatting>
        <x14:conditionalFormatting xmlns:xm="http://schemas.microsoft.com/office/excel/2006/main">
          <x14:cfRule type="expression" priority="8654" id="{197DA50F-D505-4CDC-BCA0-B8138858C4E5}">
            <xm:f>AND(IF(J210&gt;'F:\Users\norela.briceno\Documents\Plan de acción\Plan Accion 2018\[Plan Accion Integrado ADRES Vigencia 2018 con Cuadro de Mando V6..xlsx]Plan de Accion 2018'!#REF!,J210&lt;&gt;¨N/A¨))</xm:f>
            <x14:dxf>
              <fill>
                <patternFill>
                  <bgColor theme="1" tint="0.499984740745262"/>
                </patternFill>
              </fill>
            </x14:dxf>
          </x14:cfRule>
          <x14:cfRule type="expression" priority="8655" stopIfTrue="1" id="{1AABCD6C-9DB5-4F83-B90F-2D054FB9CADC}">
            <xm:f>AND(IF(J210='F:\Users\norela.briceno\Documents\Plan de acción\Plan Accion 2018\[Plan Accion Integrado ADRES Vigencia 2018 con Cuadro de Mando V6..xlsx]Plan de Accion 2018'!#REF!,J210&lt;&gt;"N/A"))</xm:f>
            <x14:dxf>
              <fill>
                <patternFill>
                  <bgColor rgb="FF00B050"/>
                </patternFill>
              </fill>
            </x14:dxf>
          </x14:cfRule>
          <x14:cfRule type="expression" priority="8656" stopIfTrue="1" id="{9975C2BB-0747-4981-BD36-4ED2F37F268B}">
            <xm:f>AND(IF(J210&lt;'F:\Users\norela.briceno\Documents\Plan de acción\Plan Accion 2018\[Plan Accion Integrado ADRES Vigencia 2018 con Cuadro de Mando V6..xlsx]Plan de Accion 2018'!#REF!,J210&lt;&gt;"N/A"))</xm:f>
            <x14:dxf>
              <fill>
                <patternFill>
                  <bgColor indexed="10"/>
                </patternFill>
              </fill>
            </x14:dxf>
          </x14:cfRule>
          <xm:sqref>J210</xm:sqref>
        </x14:conditionalFormatting>
        <x14:conditionalFormatting xmlns:xm="http://schemas.microsoft.com/office/excel/2006/main">
          <x14:cfRule type="expression" priority="8651" id="{E0AAB5A0-2F82-4BB7-B764-0B7728C53FF5}">
            <xm:f>AND(IF(J212&gt;'F:\Users\norela.briceno\Documents\Plan de acción\Plan Accion 2018\[Plan Accion Integrado ADRES Vigencia 2018 con Cuadro de Mando V6..xlsx]Plan de Accion 2018'!#REF!,J212&lt;&gt;¨N/A¨))</xm:f>
            <x14:dxf>
              <fill>
                <patternFill>
                  <bgColor theme="1" tint="0.499984740745262"/>
                </patternFill>
              </fill>
            </x14:dxf>
          </x14:cfRule>
          <x14:cfRule type="expression" priority="8652" stopIfTrue="1" id="{CE4F85DA-A64C-4073-8507-89EBB99DB545}">
            <xm:f>AND(IF(J212='F:\Users\norela.briceno\Documents\Plan de acción\Plan Accion 2018\[Plan Accion Integrado ADRES Vigencia 2018 con Cuadro de Mando V6..xlsx]Plan de Accion 2018'!#REF!,J212&lt;&gt;"N/A"))</xm:f>
            <x14:dxf>
              <fill>
                <patternFill>
                  <bgColor rgb="FF00B050"/>
                </patternFill>
              </fill>
            </x14:dxf>
          </x14:cfRule>
          <x14:cfRule type="expression" priority="8653" stopIfTrue="1" id="{106AF316-DFDA-47EE-9CC6-B7BE0007CAB1}">
            <xm:f>AND(IF(J212&lt;'F:\Users\norela.briceno\Documents\Plan de acción\Plan Accion 2018\[Plan Accion Integrado ADRES Vigencia 2018 con Cuadro de Mando V6..xlsx]Plan de Accion 2018'!#REF!,J212&lt;&gt;"N/A"))</xm:f>
            <x14:dxf>
              <fill>
                <patternFill>
                  <bgColor indexed="10"/>
                </patternFill>
              </fill>
            </x14:dxf>
          </x14:cfRule>
          <xm:sqref>J212</xm:sqref>
        </x14:conditionalFormatting>
        <x14:conditionalFormatting xmlns:xm="http://schemas.microsoft.com/office/excel/2006/main">
          <x14:cfRule type="expression" priority="8648" id="{2A7B6AB6-354F-49DB-8A23-628393CC9E0A}">
            <xm:f>AND(IF(J214&gt;'F:\Users\norela.briceno\Documents\Plan de acción\Plan Accion 2018\[Plan Accion Integrado ADRES Vigencia 2018 con Cuadro de Mando V6..xlsx]Plan de Accion 2018'!#REF!,J214&lt;&gt;¨N/A¨))</xm:f>
            <x14:dxf>
              <fill>
                <patternFill>
                  <bgColor theme="1" tint="0.499984740745262"/>
                </patternFill>
              </fill>
            </x14:dxf>
          </x14:cfRule>
          <x14:cfRule type="expression" priority="8649" stopIfTrue="1" id="{65EC6458-41A9-4360-99E1-A6643A038EA5}">
            <xm:f>AND(IF(J214='F:\Users\norela.briceno\Documents\Plan de acción\Plan Accion 2018\[Plan Accion Integrado ADRES Vigencia 2018 con Cuadro de Mando V6..xlsx]Plan de Accion 2018'!#REF!,J214&lt;&gt;"N/A"))</xm:f>
            <x14:dxf>
              <fill>
                <patternFill>
                  <bgColor rgb="FF00B050"/>
                </patternFill>
              </fill>
            </x14:dxf>
          </x14:cfRule>
          <x14:cfRule type="expression" priority="8650" stopIfTrue="1" id="{6D49E1CE-FDBF-4FA5-B175-FB7F3CCB5805}">
            <xm:f>AND(IF(J214&lt;'F:\Users\norela.briceno\Documents\Plan de acción\Plan Accion 2018\[Plan Accion Integrado ADRES Vigencia 2018 con Cuadro de Mando V6..xlsx]Plan de Accion 2018'!#REF!,J214&lt;&gt;"N/A"))</xm:f>
            <x14:dxf>
              <fill>
                <patternFill>
                  <bgColor indexed="10"/>
                </patternFill>
              </fill>
            </x14:dxf>
          </x14:cfRule>
          <xm:sqref>J214</xm:sqref>
        </x14:conditionalFormatting>
        <x14:conditionalFormatting xmlns:xm="http://schemas.microsoft.com/office/excel/2006/main">
          <x14:cfRule type="expression" priority="8645" id="{138CA019-2CEF-4671-B34F-3C81F1751CBF}">
            <xm:f>AND(IF(J215&gt;'F:\Users\norela.briceno\Documents\Plan de acción\Plan Accion 2018\[Plan Accion Integrado ADRES Vigencia 2018 con Cuadro de Mando V6..xlsx]Plan de Accion 2018'!#REF!,J215&lt;&gt;¨N/A¨))</xm:f>
            <x14:dxf>
              <fill>
                <patternFill>
                  <bgColor theme="1" tint="0.499984740745262"/>
                </patternFill>
              </fill>
            </x14:dxf>
          </x14:cfRule>
          <x14:cfRule type="expression" priority="8646" stopIfTrue="1" id="{FFE69D8E-6CCE-4DBC-BAD6-AB971307C258}">
            <xm:f>AND(IF(J215='F:\Users\norela.briceno\Documents\Plan de acción\Plan Accion 2018\[Plan Accion Integrado ADRES Vigencia 2018 con Cuadro de Mando V6..xlsx]Plan de Accion 2018'!#REF!,J215&lt;&gt;"N/A"))</xm:f>
            <x14:dxf>
              <fill>
                <patternFill>
                  <bgColor rgb="FF00B050"/>
                </patternFill>
              </fill>
            </x14:dxf>
          </x14:cfRule>
          <x14:cfRule type="expression" priority="8647" stopIfTrue="1" id="{FAC92ABC-FB98-4AA2-8075-AB9920925051}">
            <xm:f>AND(IF(J215&lt;'F:\Users\norela.briceno\Documents\Plan de acción\Plan Accion 2018\[Plan Accion Integrado ADRES Vigencia 2018 con Cuadro de Mando V6..xlsx]Plan de Accion 2018'!#REF!,J215&lt;&gt;"N/A"))</xm:f>
            <x14:dxf>
              <fill>
                <patternFill>
                  <bgColor indexed="10"/>
                </patternFill>
              </fill>
            </x14:dxf>
          </x14:cfRule>
          <xm:sqref>J215</xm:sqref>
        </x14:conditionalFormatting>
        <x14:conditionalFormatting xmlns:xm="http://schemas.microsoft.com/office/excel/2006/main">
          <x14:cfRule type="expression" priority="8642" id="{979DFB27-AF75-40E6-93F0-62B44D17E20A}">
            <xm:f>AND(IF(J216&gt;'F:\Users\norela.briceno\Documents\Plan de acción\Plan Accion 2018\[Plan Accion Integrado ADRES Vigencia 2018 con Cuadro de Mando V6..xlsx]Plan de Accion 2018'!#REF!,J216&lt;&gt;¨N/A¨))</xm:f>
            <x14:dxf>
              <fill>
                <patternFill>
                  <bgColor theme="1" tint="0.499984740745262"/>
                </patternFill>
              </fill>
            </x14:dxf>
          </x14:cfRule>
          <x14:cfRule type="expression" priority="8643" stopIfTrue="1" id="{FFBE220F-F7F5-449B-A2AF-AAE6CC3D5CEF}">
            <xm:f>AND(IF(J216='F:\Users\norela.briceno\Documents\Plan de acción\Plan Accion 2018\[Plan Accion Integrado ADRES Vigencia 2018 con Cuadro de Mando V6..xlsx]Plan de Accion 2018'!#REF!,J216&lt;&gt;"N/A"))</xm:f>
            <x14:dxf>
              <fill>
                <patternFill>
                  <bgColor rgb="FF00B050"/>
                </patternFill>
              </fill>
            </x14:dxf>
          </x14:cfRule>
          <x14:cfRule type="expression" priority="8644" stopIfTrue="1" id="{A9731B49-2BBC-4599-BEB6-298E80D18DA1}">
            <xm:f>AND(IF(J216&lt;'F:\Users\norela.briceno\Documents\Plan de acción\Plan Accion 2018\[Plan Accion Integrado ADRES Vigencia 2018 con Cuadro de Mando V6..xlsx]Plan de Accion 2018'!#REF!,J216&lt;&gt;"N/A"))</xm:f>
            <x14:dxf>
              <fill>
                <patternFill>
                  <bgColor indexed="10"/>
                </patternFill>
              </fill>
            </x14:dxf>
          </x14:cfRule>
          <xm:sqref>J216</xm:sqref>
        </x14:conditionalFormatting>
        <x14:conditionalFormatting xmlns:xm="http://schemas.microsoft.com/office/excel/2006/main">
          <x14:cfRule type="expression" priority="8639" id="{C65E792D-2712-401D-BBE8-D5B344F0436F}">
            <xm:f>AND(IF(J217&gt;'F:\Users\norela.briceno\Documents\Plan de acción\Plan Accion 2018\[Plan Accion Integrado ADRES Vigencia 2018 con Cuadro de Mando V6..xlsx]Plan de Accion 2018'!#REF!,J217&lt;&gt;¨N/A¨))</xm:f>
            <x14:dxf>
              <fill>
                <patternFill>
                  <bgColor theme="1" tint="0.499984740745262"/>
                </patternFill>
              </fill>
            </x14:dxf>
          </x14:cfRule>
          <x14:cfRule type="expression" priority="8640" stopIfTrue="1" id="{15B46276-9295-4AC8-8B42-7080D2A8F5B3}">
            <xm:f>AND(IF(J217='F:\Users\norela.briceno\Documents\Plan de acción\Plan Accion 2018\[Plan Accion Integrado ADRES Vigencia 2018 con Cuadro de Mando V6..xlsx]Plan de Accion 2018'!#REF!,J217&lt;&gt;"N/A"))</xm:f>
            <x14:dxf>
              <fill>
                <patternFill>
                  <bgColor rgb="FF00B050"/>
                </patternFill>
              </fill>
            </x14:dxf>
          </x14:cfRule>
          <x14:cfRule type="expression" priority="8641" stopIfTrue="1" id="{A9561DCB-FEA6-4539-84BE-B0D7F8E30BFE}">
            <xm:f>AND(IF(J217&lt;'F:\Users\norela.briceno\Documents\Plan de acción\Plan Accion 2018\[Plan Accion Integrado ADRES Vigencia 2018 con Cuadro de Mando V6..xlsx]Plan de Accion 2018'!#REF!,J217&lt;&gt;"N/A"))</xm:f>
            <x14:dxf>
              <fill>
                <patternFill>
                  <bgColor indexed="10"/>
                </patternFill>
              </fill>
            </x14:dxf>
          </x14:cfRule>
          <xm:sqref>J217</xm:sqref>
        </x14:conditionalFormatting>
        <x14:conditionalFormatting xmlns:xm="http://schemas.microsoft.com/office/excel/2006/main">
          <x14:cfRule type="expression" priority="8636" id="{39F1CF10-5A8F-440D-91F6-3290D3A0B224}">
            <xm:f>AND(IF(J236&gt;'F:\Users\norela.briceno\Documents\Plan de acción\Plan Accion 2018\[Plan Accion Integrado ADRES Vigencia 2018 con Cuadro de Mando V6..xlsx]Plan de Accion 2018'!#REF!,J236&lt;&gt;¨N/A¨))</xm:f>
            <x14:dxf>
              <fill>
                <patternFill>
                  <bgColor theme="1" tint="0.499984740745262"/>
                </patternFill>
              </fill>
            </x14:dxf>
          </x14:cfRule>
          <x14:cfRule type="expression" priority="8637" stopIfTrue="1" id="{F71DAD0A-897A-430E-BBE2-B38278145FDF}">
            <xm:f>AND(IF(J236='F:\Users\norela.briceno\Documents\Plan de acción\Plan Accion 2018\[Plan Accion Integrado ADRES Vigencia 2018 con Cuadro de Mando V6..xlsx]Plan de Accion 2018'!#REF!,J236&lt;&gt;"N/A"))</xm:f>
            <x14:dxf>
              <fill>
                <patternFill>
                  <bgColor rgb="FF00B050"/>
                </patternFill>
              </fill>
            </x14:dxf>
          </x14:cfRule>
          <x14:cfRule type="expression" priority="8638" stopIfTrue="1" id="{D04DDA5A-B1A4-422B-B0DC-5CC7D72D49F3}">
            <xm:f>AND(IF(J236&lt;'F:\Users\norela.briceno\Documents\Plan de acción\Plan Accion 2018\[Plan Accion Integrado ADRES Vigencia 2018 con Cuadro de Mando V6..xlsx]Plan de Accion 2018'!#REF!,J236&lt;&gt;"N/A"))</xm:f>
            <x14:dxf>
              <fill>
                <patternFill>
                  <bgColor indexed="10"/>
                </patternFill>
              </fill>
            </x14:dxf>
          </x14:cfRule>
          <xm:sqref>J236</xm:sqref>
        </x14:conditionalFormatting>
        <x14:conditionalFormatting xmlns:xm="http://schemas.microsoft.com/office/excel/2006/main">
          <x14:cfRule type="expression" priority="8633" id="{DBEAA618-1773-4C62-8BE2-19D72AC3F269}">
            <xm:f>AND(IF(J237&gt;'F:\Users\norela.briceno\Documents\Plan de acción\Plan Accion 2018\[Plan Accion Integrado ADRES Vigencia 2018 con Cuadro de Mando V6..xlsx]Plan de Accion 2018'!#REF!,J237&lt;&gt;¨N/A¨))</xm:f>
            <x14:dxf>
              <fill>
                <patternFill>
                  <bgColor theme="1" tint="0.499984740745262"/>
                </patternFill>
              </fill>
            </x14:dxf>
          </x14:cfRule>
          <x14:cfRule type="expression" priority="8634" stopIfTrue="1" id="{B49D378F-AC14-4594-A9F8-F9D261B6EBFB}">
            <xm:f>AND(IF(J237='F:\Users\norela.briceno\Documents\Plan de acción\Plan Accion 2018\[Plan Accion Integrado ADRES Vigencia 2018 con Cuadro de Mando V6..xlsx]Plan de Accion 2018'!#REF!,J237&lt;&gt;"N/A"))</xm:f>
            <x14:dxf>
              <fill>
                <patternFill>
                  <bgColor rgb="FF00B050"/>
                </patternFill>
              </fill>
            </x14:dxf>
          </x14:cfRule>
          <x14:cfRule type="expression" priority="8635" stopIfTrue="1" id="{41C2620C-D636-43AF-B121-0344CA4C0BC0}">
            <xm:f>AND(IF(J237&lt;'F:\Users\norela.briceno\Documents\Plan de acción\Plan Accion 2018\[Plan Accion Integrado ADRES Vigencia 2018 con Cuadro de Mando V6..xlsx]Plan de Accion 2018'!#REF!,J237&lt;&gt;"N/A"))</xm:f>
            <x14:dxf>
              <fill>
                <patternFill>
                  <bgColor indexed="10"/>
                </patternFill>
              </fill>
            </x14:dxf>
          </x14:cfRule>
          <xm:sqref>J237</xm:sqref>
        </x14:conditionalFormatting>
        <x14:conditionalFormatting xmlns:xm="http://schemas.microsoft.com/office/excel/2006/main">
          <x14:cfRule type="expression" priority="8630" id="{F997B86A-519D-495F-ABDF-BEBE1E0520F9}">
            <xm:f>AND(IF(J238&gt;'F:\Users\norela.briceno\Documents\Plan de acción\Plan Accion 2018\[Plan Accion Integrado ADRES Vigencia 2018 con Cuadro de Mando V6..xlsx]Plan de Accion 2018'!#REF!,J238&lt;&gt;¨N/A¨))</xm:f>
            <x14:dxf>
              <fill>
                <patternFill>
                  <bgColor theme="1" tint="0.499984740745262"/>
                </patternFill>
              </fill>
            </x14:dxf>
          </x14:cfRule>
          <x14:cfRule type="expression" priority="8631" stopIfTrue="1" id="{5C2BC65D-B257-47BE-9803-77670A437F6F}">
            <xm:f>AND(IF(J238='F:\Users\norela.briceno\Documents\Plan de acción\Plan Accion 2018\[Plan Accion Integrado ADRES Vigencia 2018 con Cuadro de Mando V6..xlsx]Plan de Accion 2018'!#REF!,J238&lt;&gt;"N/A"))</xm:f>
            <x14:dxf>
              <fill>
                <patternFill>
                  <bgColor rgb="FF00B050"/>
                </patternFill>
              </fill>
            </x14:dxf>
          </x14:cfRule>
          <x14:cfRule type="expression" priority="8632" stopIfTrue="1" id="{92D0DA70-6A87-4C2A-8062-C95A5E52EAF1}">
            <xm:f>AND(IF(J238&lt;'F:\Users\norela.briceno\Documents\Plan de acción\Plan Accion 2018\[Plan Accion Integrado ADRES Vigencia 2018 con Cuadro de Mando V6..xlsx]Plan de Accion 2018'!#REF!,J238&lt;&gt;"N/A"))</xm:f>
            <x14:dxf>
              <fill>
                <patternFill>
                  <bgColor indexed="10"/>
                </patternFill>
              </fill>
            </x14:dxf>
          </x14:cfRule>
          <xm:sqref>J238</xm:sqref>
        </x14:conditionalFormatting>
        <x14:conditionalFormatting xmlns:xm="http://schemas.microsoft.com/office/excel/2006/main">
          <x14:cfRule type="expression" priority="8627" id="{0D707EFA-B2BC-4CC3-93FF-A8BE909B3524}">
            <xm:f>AND(IF(J241&gt;'F:\Users\norela.briceno\Documents\Plan de acción\Plan Accion 2018\[Plan Accion Integrado ADRES Vigencia 2018 con Cuadro de Mando V6..xlsx]Plan de Accion 2018'!#REF!,J241&lt;&gt;¨N/A¨))</xm:f>
            <x14:dxf>
              <fill>
                <patternFill>
                  <bgColor theme="1" tint="0.499984740745262"/>
                </patternFill>
              </fill>
            </x14:dxf>
          </x14:cfRule>
          <x14:cfRule type="expression" priority="8628" stopIfTrue="1" id="{9492EA1D-F891-40D9-A96D-91ABCCDC7316}">
            <xm:f>AND(IF(J241='F:\Users\norela.briceno\Documents\Plan de acción\Plan Accion 2018\[Plan Accion Integrado ADRES Vigencia 2018 con Cuadro de Mando V6..xlsx]Plan de Accion 2018'!#REF!,J241&lt;&gt;"N/A"))</xm:f>
            <x14:dxf>
              <fill>
                <patternFill>
                  <bgColor rgb="FF00B050"/>
                </patternFill>
              </fill>
            </x14:dxf>
          </x14:cfRule>
          <x14:cfRule type="expression" priority="8629" stopIfTrue="1" id="{2B672A2E-EDA9-406D-99BF-DD197A7A926C}">
            <xm:f>AND(IF(J241&lt;'F:\Users\norela.briceno\Documents\Plan de acción\Plan Accion 2018\[Plan Accion Integrado ADRES Vigencia 2018 con Cuadro de Mando V6..xlsx]Plan de Accion 2018'!#REF!,J241&lt;&gt;"N/A"))</xm:f>
            <x14:dxf>
              <fill>
                <patternFill>
                  <bgColor indexed="10"/>
                </patternFill>
              </fill>
            </x14:dxf>
          </x14:cfRule>
          <xm:sqref>J241</xm:sqref>
        </x14:conditionalFormatting>
        <x14:conditionalFormatting xmlns:xm="http://schemas.microsoft.com/office/excel/2006/main">
          <x14:cfRule type="expression" priority="8624" id="{41E18522-7898-48C9-B65D-F7DF058DBF1F}">
            <xm:f>AND(IF(J244&gt;'F:\Users\norela.briceno\Documents\Plan de acción\Plan Accion 2018\[Plan Accion Integrado ADRES Vigencia 2018 con Cuadro de Mando V6..xlsx]Plan de Accion 2018'!#REF!,J244&lt;&gt;¨N/A¨))</xm:f>
            <x14:dxf>
              <fill>
                <patternFill>
                  <bgColor theme="1" tint="0.499984740745262"/>
                </patternFill>
              </fill>
            </x14:dxf>
          </x14:cfRule>
          <x14:cfRule type="expression" priority="8625" stopIfTrue="1" id="{50EBA678-84F9-4C48-8ED8-671B8A2CD461}">
            <xm:f>AND(IF(J244='F:\Users\norela.briceno\Documents\Plan de acción\Plan Accion 2018\[Plan Accion Integrado ADRES Vigencia 2018 con Cuadro de Mando V6..xlsx]Plan de Accion 2018'!#REF!,J244&lt;&gt;"N/A"))</xm:f>
            <x14:dxf>
              <fill>
                <patternFill>
                  <bgColor rgb="FF00B050"/>
                </patternFill>
              </fill>
            </x14:dxf>
          </x14:cfRule>
          <x14:cfRule type="expression" priority="8626" stopIfTrue="1" id="{8F9BFEC4-CC3A-4ECE-8AB8-553C8F3A98E4}">
            <xm:f>AND(IF(J244&lt;'F:\Users\norela.briceno\Documents\Plan de acción\Plan Accion 2018\[Plan Accion Integrado ADRES Vigencia 2018 con Cuadro de Mando V6..xlsx]Plan de Accion 2018'!#REF!,J244&lt;&gt;"N/A"))</xm:f>
            <x14:dxf>
              <fill>
                <patternFill>
                  <bgColor indexed="10"/>
                </patternFill>
              </fill>
            </x14:dxf>
          </x14:cfRule>
          <xm:sqref>J244</xm:sqref>
        </x14:conditionalFormatting>
        <x14:conditionalFormatting xmlns:xm="http://schemas.microsoft.com/office/excel/2006/main">
          <x14:cfRule type="expression" priority="8621" id="{34813F26-FB04-4524-A933-CA1F1135CD8E}">
            <xm:f>AND(IF(J248&gt;'F:\Users\norela.briceno\Documents\Plan de acción\Plan Accion 2018\[Plan Accion Integrado ADRES Vigencia 2018 con Cuadro de Mando V6..xlsx]Plan de Accion 2018'!#REF!,J248&lt;&gt;¨N/A¨))</xm:f>
            <x14:dxf>
              <fill>
                <patternFill>
                  <bgColor theme="1" tint="0.499984740745262"/>
                </patternFill>
              </fill>
            </x14:dxf>
          </x14:cfRule>
          <x14:cfRule type="expression" priority="8622" stopIfTrue="1" id="{5C4ED222-39FA-4032-81CA-6ED702CFC5E6}">
            <xm:f>AND(IF(J248='F:\Users\norela.briceno\Documents\Plan de acción\Plan Accion 2018\[Plan Accion Integrado ADRES Vigencia 2018 con Cuadro de Mando V6..xlsx]Plan de Accion 2018'!#REF!,J248&lt;&gt;"N/A"))</xm:f>
            <x14:dxf>
              <fill>
                <patternFill>
                  <bgColor rgb="FF00B050"/>
                </patternFill>
              </fill>
            </x14:dxf>
          </x14:cfRule>
          <x14:cfRule type="expression" priority="8623" stopIfTrue="1" id="{576C9731-46DF-4B0F-86D7-69AB639BAB39}">
            <xm:f>AND(IF(J248&lt;'F:\Users\norela.briceno\Documents\Plan de acción\Plan Accion 2018\[Plan Accion Integrado ADRES Vigencia 2018 con Cuadro de Mando V6..xlsx]Plan de Accion 2018'!#REF!,J248&lt;&gt;"N/A"))</xm:f>
            <x14:dxf>
              <fill>
                <patternFill>
                  <bgColor indexed="10"/>
                </patternFill>
              </fill>
            </x14:dxf>
          </x14:cfRule>
          <xm:sqref>J248</xm:sqref>
        </x14:conditionalFormatting>
        <x14:conditionalFormatting xmlns:xm="http://schemas.microsoft.com/office/excel/2006/main">
          <x14:cfRule type="expression" priority="8618" id="{E2275562-AABF-40D3-9902-4731CA7EA93A}">
            <xm:f>AND(IF(J249&gt;'F:\Users\norela.briceno\Documents\Plan de acción\Plan Accion 2018\[Plan Accion Integrado ADRES Vigencia 2018 con Cuadro de Mando V6..xlsx]Plan de Accion 2018'!#REF!,J249&lt;&gt;¨N/A¨))</xm:f>
            <x14:dxf>
              <fill>
                <patternFill>
                  <bgColor theme="1" tint="0.499984740745262"/>
                </patternFill>
              </fill>
            </x14:dxf>
          </x14:cfRule>
          <x14:cfRule type="expression" priority="8619" stopIfTrue="1" id="{45642891-474F-42FC-A555-AF2E5E802DFE}">
            <xm:f>AND(IF(J249='F:\Users\norela.briceno\Documents\Plan de acción\Plan Accion 2018\[Plan Accion Integrado ADRES Vigencia 2018 con Cuadro de Mando V6..xlsx]Plan de Accion 2018'!#REF!,J249&lt;&gt;"N/A"))</xm:f>
            <x14:dxf>
              <fill>
                <patternFill>
                  <bgColor rgb="FF00B050"/>
                </patternFill>
              </fill>
            </x14:dxf>
          </x14:cfRule>
          <x14:cfRule type="expression" priority="8620" stopIfTrue="1" id="{331F4288-4372-4B3A-9B80-6915FBEFAC1B}">
            <xm:f>AND(IF(J249&lt;'F:\Users\norela.briceno\Documents\Plan de acción\Plan Accion 2018\[Plan Accion Integrado ADRES Vigencia 2018 con Cuadro de Mando V6..xlsx]Plan de Accion 2018'!#REF!,J249&lt;&gt;"N/A"))</xm:f>
            <x14:dxf>
              <fill>
                <patternFill>
                  <bgColor indexed="10"/>
                </patternFill>
              </fill>
            </x14:dxf>
          </x14:cfRule>
          <xm:sqref>J249</xm:sqref>
        </x14:conditionalFormatting>
        <x14:conditionalFormatting xmlns:xm="http://schemas.microsoft.com/office/excel/2006/main">
          <x14:cfRule type="expression" priority="8615" id="{1D828B23-1D32-4506-BBB3-55D11E7E2AAB}">
            <xm:f>AND(IF(J250&gt;'F:\Users\norela.briceno\Documents\Plan de acción\Plan Accion 2018\[Plan Accion Integrado ADRES Vigencia 2018 con Cuadro de Mando V6..xlsx]Plan de Accion 2018'!#REF!,J250&lt;&gt;¨N/A¨))</xm:f>
            <x14:dxf>
              <fill>
                <patternFill>
                  <bgColor theme="1" tint="0.499984740745262"/>
                </patternFill>
              </fill>
            </x14:dxf>
          </x14:cfRule>
          <x14:cfRule type="expression" priority="8616" stopIfTrue="1" id="{F2C5F9F2-B19F-42FF-AAC6-E9DA83EAFF8C}">
            <xm:f>AND(IF(J250='F:\Users\norela.briceno\Documents\Plan de acción\Plan Accion 2018\[Plan Accion Integrado ADRES Vigencia 2018 con Cuadro de Mando V6..xlsx]Plan de Accion 2018'!#REF!,J250&lt;&gt;"N/A"))</xm:f>
            <x14:dxf>
              <fill>
                <patternFill>
                  <bgColor rgb="FF00B050"/>
                </patternFill>
              </fill>
            </x14:dxf>
          </x14:cfRule>
          <x14:cfRule type="expression" priority="8617" stopIfTrue="1" id="{CD804F8A-948A-4C9C-818E-1D8D23C77F88}">
            <xm:f>AND(IF(J250&lt;'F:\Users\norela.briceno\Documents\Plan de acción\Plan Accion 2018\[Plan Accion Integrado ADRES Vigencia 2018 con Cuadro de Mando V6..xlsx]Plan de Accion 2018'!#REF!,J250&lt;&gt;"N/A"))</xm:f>
            <x14:dxf>
              <fill>
                <patternFill>
                  <bgColor indexed="10"/>
                </patternFill>
              </fill>
            </x14:dxf>
          </x14:cfRule>
          <xm:sqref>J250</xm:sqref>
        </x14:conditionalFormatting>
        <x14:conditionalFormatting xmlns:xm="http://schemas.microsoft.com/office/excel/2006/main">
          <x14:cfRule type="expression" priority="8612" id="{CB50322A-4A11-49DA-858A-DB3867A4B860}">
            <xm:f>AND(IF(J251&gt;'F:\Users\norela.briceno\Documents\Plan de acción\Plan Accion 2018\[Plan Accion Integrado ADRES Vigencia 2018 con Cuadro de Mando V6..xlsx]Plan de Accion 2018'!#REF!,J251&lt;&gt;¨N/A¨))</xm:f>
            <x14:dxf>
              <fill>
                <patternFill>
                  <bgColor theme="1" tint="0.499984740745262"/>
                </patternFill>
              </fill>
            </x14:dxf>
          </x14:cfRule>
          <x14:cfRule type="expression" priority="8613" stopIfTrue="1" id="{9BB68865-4570-4BB6-8660-AC0571D7ACD9}">
            <xm:f>AND(IF(J251='F:\Users\norela.briceno\Documents\Plan de acción\Plan Accion 2018\[Plan Accion Integrado ADRES Vigencia 2018 con Cuadro de Mando V6..xlsx]Plan de Accion 2018'!#REF!,J251&lt;&gt;"N/A"))</xm:f>
            <x14:dxf>
              <fill>
                <patternFill>
                  <bgColor rgb="FF00B050"/>
                </patternFill>
              </fill>
            </x14:dxf>
          </x14:cfRule>
          <x14:cfRule type="expression" priority="8614" stopIfTrue="1" id="{2F81707A-F2E9-4FBD-AFBE-4D7DDCA922E7}">
            <xm:f>AND(IF(J251&lt;'F:\Users\norela.briceno\Documents\Plan de acción\Plan Accion 2018\[Plan Accion Integrado ADRES Vigencia 2018 con Cuadro de Mando V6..xlsx]Plan de Accion 2018'!#REF!,J251&lt;&gt;"N/A"))</xm:f>
            <x14:dxf>
              <fill>
                <patternFill>
                  <bgColor indexed="10"/>
                </patternFill>
              </fill>
            </x14:dxf>
          </x14:cfRule>
          <xm:sqref>J251</xm:sqref>
        </x14:conditionalFormatting>
        <x14:conditionalFormatting xmlns:xm="http://schemas.microsoft.com/office/excel/2006/main">
          <x14:cfRule type="expression" priority="8609" id="{D3B0D04B-FB0E-4025-9C62-BF3E30B17678}">
            <xm:f>AND(IF(J252&gt;'F:\Users\norela.briceno\Documents\Plan de acción\Plan Accion 2018\[Plan Accion Integrado ADRES Vigencia 2018 con Cuadro de Mando V6..xlsx]Plan de Accion 2018'!#REF!,J252&lt;&gt;¨N/A¨))</xm:f>
            <x14:dxf>
              <fill>
                <patternFill>
                  <bgColor theme="1" tint="0.499984740745262"/>
                </patternFill>
              </fill>
            </x14:dxf>
          </x14:cfRule>
          <x14:cfRule type="expression" priority="8610" stopIfTrue="1" id="{86FA60B1-113E-4B7D-B701-2397BD506929}">
            <xm:f>AND(IF(J252='F:\Users\norela.briceno\Documents\Plan de acción\Plan Accion 2018\[Plan Accion Integrado ADRES Vigencia 2018 con Cuadro de Mando V6..xlsx]Plan de Accion 2018'!#REF!,J252&lt;&gt;"N/A"))</xm:f>
            <x14:dxf>
              <fill>
                <patternFill>
                  <bgColor rgb="FF00B050"/>
                </patternFill>
              </fill>
            </x14:dxf>
          </x14:cfRule>
          <x14:cfRule type="expression" priority="8611" stopIfTrue="1" id="{0ACD61CE-4F05-45D0-9711-9770F76395C1}">
            <xm:f>AND(IF(J252&lt;'F:\Users\norela.briceno\Documents\Plan de acción\Plan Accion 2018\[Plan Accion Integrado ADRES Vigencia 2018 con Cuadro de Mando V6..xlsx]Plan de Accion 2018'!#REF!,J252&lt;&gt;"N/A"))</xm:f>
            <x14:dxf>
              <fill>
                <patternFill>
                  <bgColor indexed="10"/>
                </patternFill>
              </fill>
            </x14:dxf>
          </x14:cfRule>
          <xm:sqref>J252</xm:sqref>
        </x14:conditionalFormatting>
        <x14:conditionalFormatting xmlns:xm="http://schemas.microsoft.com/office/excel/2006/main">
          <x14:cfRule type="expression" priority="8606" id="{8D9EBFED-9FA4-4B63-8D41-2D3BD932912A}">
            <xm:f>AND(IF(J253&gt;'F:\Users\norela.briceno\Documents\Plan de acción\Plan Accion 2018\[Plan Accion Integrado ADRES Vigencia 2018 con Cuadro de Mando V6..xlsx]Plan de Accion 2018'!#REF!,J253&lt;&gt;¨N/A¨))</xm:f>
            <x14:dxf>
              <fill>
                <patternFill>
                  <bgColor theme="1" tint="0.499984740745262"/>
                </patternFill>
              </fill>
            </x14:dxf>
          </x14:cfRule>
          <x14:cfRule type="expression" priority="8607" stopIfTrue="1" id="{EEC3DE9F-3661-401F-9F57-6E602B4A4442}">
            <xm:f>AND(IF(J253='F:\Users\norela.briceno\Documents\Plan de acción\Plan Accion 2018\[Plan Accion Integrado ADRES Vigencia 2018 con Cuadro de Mando V6..xlsx]Plan de Accion 2018'!#REF!,J253&lt;&gt;"N/A"))</xm:f>
            <x14:dxf>
              <fill>
                <patternFill>
                  <bgColor rgb="FF00B050"/>
                </patternFill>
              </fill>
            </x14:dxf>
          </x14:cfRule>
          <x14:cfRule type="expression" priority="8608" stopIfTrue="1" id="{A7407ADC-BA22-480D-AD87-8605E92622F0}">
            <xm:f>AND(IF(J253&lt;'F:\Users\norela.briceno\Documents\Plan de acción\Plan Accion 2018\[Plan Accion Integrado ADRES Vigencia 2018 con Cuadro de Mando V6..xlsx]Plan de Accion 2018'!#REF!,J253&lt;&gt;"N/A"))</xm:f>
            <x14:dxf>
              <fill>
                <patternFill>
                  <bgColor indexed="10"/>
                </patternFill>
              </fill>
            </x14:dxf>
          </x14:cfRule>
          <xm:sqref>J253</xm:sqref>
        </x14:conditionalFormatting>
        <x14:conditionalFormatting xmlns:xm="http://schemas.microsoft.com/office/excel/2006/main">
          <x14:cfRule type="expression" priority="8603" id="{81706C31-A53A-4CE3-991D-5AE23B7F42AD}">
            <xm:f>AND(IF(J362&gt;'F:\Users\norela.briceno\Documents\Plan de acción\Plan Accion 2018\[Plan Accion Integrado ADRES Vigencia 2018 con Cuadro de Mando V6..xlsx]Plan de Accion 2018'!#REF!,J362&lt;&gt;¨N/A¨))</xm:f>
            <x14:dxf>
              <fill>
                <patternFill>
                  <bgColor theme="1" tint="0.499984740745262"/>
                </patternFill>
              </fill>
            </x14:dxf>
          </x14:cfRule>
          <x14:cfRule type="expression" priority="8604" stopIfTrue="1" id="{E62D2079-1CED-45B3-A863-2160AF97BF3F}">
            <xm:f>AND(IF(J362='F:\Users\norela.briceno\Documents\Plan de acción\Plan Accion 2018\[Plan Accion Integrado ADRES Vigencia 2018 con Cuadro de Mando V6..xlsx]Plan de Accion 2018'!#REF!,J362&lt;&gt;"N/A"))</xm:f>
            <x14:dxf>
              <fill>
                <patternFill>
                  <bgColor rgb="FF00B050"/>
                </patternFill>
              </fill>
            </x14:dxf>
          </x14:cfRule>
          <x14:cfRule type="expression" priority="8605" stopIfTrue="1" id="{AB84716A-C9EC-4857-943D-59C25E981F51}">
            <xm:f>AND(IF(J362&lt;'F:\Users\norela.briceno\Documents\Plan de acción\Plan Accion 2018\[Plan Accion Integrado ADRES Vigencia 2018 con Cuadro de Mando V6..xlsx]Plan de Accion 2018'!#REF!,J362&lt;&gt;"N/A"))</xm:f>
            <x14:dxf>
              <fill>
                <patternFill>
                  <bgColor indexed="10"/>
                </patternFill>
              </fill>
            </x14:dxf>
          </x14:cfRule>
          <xm:sqref>J362</xm:sqref>
        </x14:conditionalFormatting>
        <x14:conditionalFormatting xmlns:xm="http://schemas.microsoft.com/office/excel/2006/main">
          <x14:cfRule type="expression" priority="8600" id="{1A4208E5-5855-474D-9716-897FB7383D36}">
            <xm:f>AND(IF(J254&gt;'F:\Users\norela.briceno\Documents\Plan de acción\Plan Accion 2018\[Plan Accion Integrado ADRES Vigencia 2018 con Cuadro de Mando V6..xlsx]Plan de Accion 2018'!#REF!,J254&lt;&gt;¨N/A¨))</xm:f>
            <x14:dxf>
              <fill>
                <patternFill>
                  <bgColor theme="1" tint="0.499984740745262"/>
                </patternFill>
              </fill>
            </x14:dxf>
          </x14:cfRule>
          <x14:cfRule type="expression" priority="8601" stopIfTrue="1" id="{5FB49E7B-CEC0-4B0E-8F87-4EC47CAB7A0B}">
            <xm:f>AND(IF(J254='F:\Users\norela.briceno\Documents\Plan de acción\Plan Accion 2018\[Plan Accion Integrado ADRES Vigencia 2018 con Cuadro de Mando V6..xlsx]Plan de Accion 2018'!#REF!,J254&lt;&gt;"N/A"))</xm:f>
            <x14:dxf>
              <fill>
                <patternFill>
                  <bgColor rgb="FF00B050"/>
                </patternFill>
              </fill>
            </x14:dxf>
          </x14:cfRule>
          <x14:cfRule type="expression" priority="8602" stopIfTrue="1" id="{0530597E-29F2-4B29-8C0E-630B8B025BFC}">
            <xm:f>AND(IF(J254&lt;'F:\Users\norela.briceno\Documents\Plan de acción\Plan Accion 2018\[Plan Accion Integrado ADRES Vigencia 2018 con Cuadro de Mando V6..xlsx]Plan de Accion 2018'!#REF!,J254&lt;&gt;"N/A"))</xm:f>
            <x14:dxf>
              <fill>
                <patternFill>
                  <bgColor indexed="10"/>
                </patternFill>
              </fill>
            </x14:dxf>
          </x14:cfRule>
          <xm:sqref>J254</xm:sqref>
        </x14:conditionalFormatting>
        <x14:conditionalFormatting xmlns:xm="http://schemas.microsoft.com/office/excel/2006/main">
          <x14:cfRule type="expression" priority="8597" id="{A9420F15-3C15-4124-A55F-35E7EF0938D1}">
            <xm:f>AND(IF(J255&gt;'F:\Users\norela.briceno\Documents\Plan de acción\Plan Accion 2018\[Plan Accion Integrado ADRES Vigencia 2018 con Cuadro de Mando V6..xlsx]Plan de Accion 2018'!#REF!,J255&lt;&gt;¨N/A¨))</xm:f>
            <x14:dxf>
              <fill>
                <patternFill>
                  <bgColor theme="1" tint="0.499984740745262"/>
                </patternFill>
              </fill>
            </x14:dxf>
          </x14:cfRule>
          <x14:cfRule type="expression" priority="8598" stopIfTrue="1" id="{67B5CFFB-7D11-472C-9099-E98FC4760406}">
            <xm:f>AND(IF(J255='F:\Users\norela.briceno\Documents\Plan de acción\Plan Accion 2018\[Plan Accion Integrado ADRES Vigencia 2018 con Cuadro de Mando V6..xlsx]Plan de Accion 2018'!#REF!,J255&lt;&gt;"N/A"))</xm:f>
            <x14:dxf>
              <fill>
                <patternFill>
                  <bgColor rgb="FF00B050"/>
                </patternFill>
              </fill>
            </x14:dxf>
          </x14:cfRule>
          <x14:cfRule type="expression" priority="8599" stopIfTrue="1" id="{BC861CDF-5CE9-46F0-B12B-E534B7903C15}">
            <xm:f>AND(IF(J255&lt;'F:\Users\norela.briceno\Documents\Plan de acción\Plan Accion 2018\[Plan Accion Integrado ADRES Vigencia 2018 con Cuadro de Mando V6..xlsx]Plan de Accion 2018'!#REF!,J255&lt;&gt;"N/A"))</xm:f>
            <x14:dxf>
              <fill>
                <patternFill>
                  <bgColor indexed="10"/>
                </patternFill>
              </fill>
            </x14:dxf>
          </x14:cfRule>
          <xm:sqref>J255</xm:sqref>
        </x14:conditionalFormatting>
        <x14:conditionalFormatting xmlns:xm="http://schemas.microsoft.com/office/excel/2006/main">
          <x14:cfRule type="expression" priority="8594" id="{17FD2878-DF22-4026-BC98-82D98C77EA30}">
            <xm:f>AND(IF(J256&gt;'F:\Users\norela.briceno\Documents\Plan de acción\Plan Accion 2018\[Plan Accion Integrado ADRES Vigencia 2018 con Cuadro de Mando V6..xlsx]Plan de Accion 2018'!#REF!,J256&lt;&gt;¨N/A¨))</xm:f>
            <x14:dxf>
              <fill>
                <patternFill>
                  <bgColor theme="1" tint="0.499984740745262"/>
                </patternFill>
              </fill>
            </x14:dxf>
          </x14:cfRule>
          <x14:cfRule type="expression" priority="8595" stopIfTrue="1" id="{BD37D703-C499-4DC4-ADAC-5EBEC86A8D02}">
            <xm:f>AND(IF(J256='F:\Users\norela.briceno\Documents\Plan de acción\Plan Accion 2018\[Plan Accion Integrado ADRES Vigencia 2018 con Cuadro de Mando V6..xlsx]Plan de Accion 2018'!#REF!,J256&lt;&gt;"N/A"))</xm:f>
            <x14:dxf>
              <fill>
                <patternFill>
                  <bgColor rgb="FF00B050"/>
                </patternFill>
              </fill>
            </x14:dxf>
          </x14:cfRule>
          <x14:cfRule type="expression" priority="8596" stopIfTrue="1" id="{DFA30E7E-B8F9-4CEA-AE5D-3D82896940DC}">
            <xm:f>AND(IF(J256&lt;'F:\Users\norela.briceno\Documents\Plan de acción\Plan Accion 2018\[Plan Accion Integrado ADRES Vigencia 2018 con Cuadro de Mando V6..xlsx]Plan de Accion 2018'!#REF!,J256&lt;&gt;"N/A"))</xm:f>
            <x14:dxf>
              <fill>
                <patternFill>
                  <bgColor indexed="10"/>
                </patternFill>
              </fill>
            </x14:dxf>
          </x14:cfRule>
          <xm:sqref>J256</xm:sqref>
        </x14:conditionalFormatting>
        <x14:conditionalFormatting xmlns:xm="http://schemas.microsoft.com/office/excel/2006/main">
          <x14:cfRule type="expression" priority="8591" id="{9441A0A4-E5E8-4D67-8995-2AEE8D664D9B}">
            <xm:f>AND(IF(J258&gt;'F:\Users\norela.briceno\Documents\Plan de acción\Plan Accion 2018\[Plan Accion Integrado ADRES Vigencia 2018 con Cuadro de Mando V6..xlsx]Plan de Accion 2018'!#REF!,J258&lt;&gt;¨N/A¨))</xm:f>
            <x14:dxf>
              <fill>
                <patternFill>
                  <bgColor theme="1" tint="0.499984740745262"/>
                </patternFill>
              </fill>
            </x14:dxf>
          </x14:cfRule>
          <x14:cfRule type="expression" priority="8592" stopIfTrue="1" id="{4A5A310D-0AAF-4693-BE58-2C2E01DD6EFA}">
            <xm:f>AND(IF(J258='F:\Users\norela.briceno\Documents\Plan de acción\Plan Accion 2018\[Plan Accion Integrado ADRES Vigencia 2018 con Cuadro de Mando V6..xlsx]Plan de Accion 2018'!#REF!,J258&lt;&gt;"N/A"))</xm:f>
            <x14:dxf>
              <fill>
                <patternFill>
                  <bgColor rgb="FF00B050"/>
                </patternFill>
              </fill>
            </x14:dxf>
          </x14:cfRule>
          <x14:cfRule type="expression" priority="8593" stopIfTrue="1" id="{9C628271-89B6-4097-951A-0CD5D64670C4}">
            <xm:f>AND(IF(J258&lt;'F:\Users\norela.briceno\Documents\Plan de acción\Plan Accion 2018\[Plan Accion Integrado ADRES Vigencia 2018 con Cuadro de Mando V6..xlsx]Plan de Accion 2018'!#REF!,J258&lt;&gt;"N/A"))</xm:f>
            <x14:dxf>
              <fill>
                <patternFill>
                  <bgColor indexed="10"/>
                </patternFill>
              </fill>
            </x14:dxf>
          </x14:cfRule>
          <xm:sqref>J258</xm:sqref>
        </x14:conditionalFormatting>
        <x14:conditionalFormatting xmlns:xm="http://schemas.microsoft.com/office/excel/2006/main">
          <x14:cfRule type="expression" priority="8588" id="{C0FD86B9-F015-4F10-89CE-B17CFC49794C}">
            <xm:f>AND(IF(J259&gt;'F:\Users\norela.briceno\Documents\Plan de acción\Plan Accion 2018\[Plan Accion Integrado ADRES Vigencia 2018 con Cuadro de Mando V6..xlsx]Plan de Accion 2018'!#REF!,J259&lt;&gt;¨N/A¨))</xm:f>
            <x14:dxf>
              <fill>
                <patternFill>
                  <bgColor theme="1" tint="0.499984740745262"/>
                </patternFill>
              </fill>
            </x14:dxf>
          </x14:cfRule>
          <x14:cfRule type="expression" priority="8589" stopIfTrue="1" id="{DD7434A2-9D7D-49FA-AAE8-7B28682F9EFD}">
            <xm:f>AND(IF(J259='F:\Users\norela.briceno\Documents\Plan de acción\Plan Accion 2018\[Plan Accion Integrado ADRES Vigencia 2018 con Cuadro de Mando V6..xlsx]Plan de Accion 2018'!#REF!,J259&lt;&gt;"N/A"))</xm:f>
            <x14:dxf>
              <fill>
                <patternFill>
                  <bgColor rgb="FF00B050"/>
                </patternFill>
              </fill>
            </x14:dxf>
          </x14:cfRule>
          <x14:cfRule type="expression" priority="8590" stopIfTrue="1" id="{953E6739-4754-4C24-83F6-0059B81D32FC}">
            <xm:f>AND(IF(J259&lt;'F:\Users\norela.briceno\Documents\Plan de acción\Plan Accion 2018\[Plan Accion Integrado ADRES Vigencia 2018 con Cuadro de Mando V6..xlsx]Plan de Accion 2018'!#REF!,J259&lt;&gt;"N/A"))</xm:f>
            <x14:dxf>
              <fill>
                <patternFill>
                  <bgColor indexed="10"/>
                </patternFill>
              </fill>
            </x14:dxf>
          </x14:cfRule>
          <xm:sqref>J259</xm:sqref>
        </x14:conditionalFormatting>
        <x14:conditionalFormatting xmlns:xm="http://schemas.microsoft.com/office/excel/2006/main">
          <x14:cfRule type="expression" priority="8585" id="{F9A7DD9F-6676-49C8-A9F5-E3EC28A03A9A}">
            <xm:f>AND(IF(J260&gt;'F:\Users\norela.briceno\Documents\Plan de acción\Plan Accion 2018\[Plan Accion Integrado ADRES Vigencia 2018 con Cuadro de Mando V6..xlsx]Plan de Accion 2018'!#REF!,J260&lt;&gt;¨N/A¨))</xm:f>
            <x14:dxf>
              <fill>
                <patternFill>
                  <bgColor theme="1" tint="0.499984740745262"/>
                </patternFill>
              </fill>
            </x14:dxf>
          </x14:cfRule>
          <x14:cfRule type="expression" priority="8586" stopIfTrue="1" id="{A70A37DE-896E-457F-BCE7-D4B2AD352FD4}">
            <xm:f>AND(IF(J260='F:\Users\norela.briceno\Documents\Plan de acción\Plan Accion 2018\[Plan Accion Integrado ADRES Vigencia 2018 con Cuadro de Mando V6..xlsx]Plan de Accion 2018'!#REF!,J260&lt;&gt;"N/A"))</xm:f>
            <x14:dxf>
              <fill>
                <patternFill>
                  <bgColor rgb="FF00B050"/>
                </patternFill>
              </fill>
            </x14:dxf>
          </x14:cfRule>
          <x14:cfRule type="expression" priority="8587" stopIfTrue="1" id="{5592FFBC-E8DF-4926-A053-7EA5BCCCD0F1}">
            <xm:f>AND(IF(J260&lt;'F:\Users\norela.briceno\Documents\Plan de acción\Plan Accion 2018\[Plan Accion Integrado ADRES Vigencia 2018 con Cuadro de Mando V6..xlsx]Plan de Accion 2018'!#REF!,J260&lt;&gt;"N/A"))</xm:f>
            <x14:dxf>
              <fill>
                <patternFill>
                  <bgColor indexed="10"/>
                </patternFill>
              </fill>
            </x14:dxf>
          </x14:cfRule>
          <xm:sqref>J260</xm:sqref>
        </x14:conditionalFormatting>
        <x14:conditionalFormatting xmlns:xm="http://schemas.microsoft.com/office/excel/2006/main">
          <x14:cfRule type="expression" priority="8582" id="{D56712E0-1194-428C-8375-4A43669D3AB8}">
            <xm:f>AND(IF(J261&gt;'F:\Users\norela.briceno\Documents\Plan de acción\Plan Accion 2018\[Plan Accion Integrado ADRES Vigencia 2018 con Cuadro de Mando V6..xlsx]Plan de Accion 2018'!#REF!,J261&lt;&gt;¨N/A¨))</xm:f>
            <x14:dxf>
              <fill>
                <patternFill>
                  <bgColor theme="1" tint="0.499984740745262"/>
                </patternFill>
              </fill>
            </x14:dxf>
          </x14:cfRule>
          <x14:cfRule type="expression" priority="8583" stopIfTrue="1" id="{8D908BA7-7A8E-4F0E-976B-FB8F0B83A859}">
            <xm:f>AND(IF(J261='F:\Users\norela.briceno\Documents\Plan de acción\Plan Accion 2018\[Plan Accion Integrado ADRES Vigencia 2018 con Cuadro de Mando V6..xlsx]Plan de Accion 2018'!#REF!,J261&lt;&gt;"N/A"))</xm:f>
            <x14:dxf>
              <fill>
                <patternFill>
                  <bgColor rgb="FF00B050"/>
                </patternFill>
              </fill>
            </x14:dxf>
          </x14:cfRule>
          <x14:cfRule type="expression" priority="8584" stopIfTrue="1" id="{78D03A0A-70FB-4449-8ACB-01F448534DC4}">
            <xm:f>AND(IF(J261&lt;'F:\Users\norela.briceno\Documents\Plan de acción\Plan Accion 2018\[Plan Accion Integrado ADRES Vigencia 2018 con Cuadro de Mando V6..xlsx]Plan de Accion 2018'!#REF!,J261&lt;&gt;"N/A"))</xm:f>
            <x14:dxf>
              <fill>
                <patternFill>
                  <bgColor indexed="10"/>
                </patternFill>
              </fill>
            </x14:dxf>
          </x14:cfRule>
          <xm:sqref>J261</xm:sqref>
        </x14:conditionalFormatting>
        <x14:conditionalFormatting xmlns:xm="http://schemas.microsoft.com/office/excel/2006/main">
          <x14:cfRule type="expression" priority="8579" id="{7B85CDDD-1626-48DD-B9CC-E083202030E5}">
            <xm:f>AND(IF(J262&gt;'F:\Users\norela.briceno\Documents\Plan de acción\Plan Accion 2018\[Plan Accion Integrado ADRES Vigencia 2018 con Cuadro de Mando V6..xlsx]Plan de Accion 2018'!#REF!,J262&lt;&gt;¨N/A¨))</xm:f>
            <x14:dxf>
              <fill>
                <patternFill>
                  <bgColor theme="1" tint="0.499984740745262"/>
                </patternFill>
              </fill>
            </x14:dxf>
          </x14:cfRule>
          <x14:cfRule type="expression" priority="8580" stopIfTrue="1" id="{2030EAFF-E54C-4460-BD0F-BCB138C2441D}">
            <xm:f>AND(IF(J262='F:\Users\norela.briceno\Documents\Plan de acción\Plan Accion 2018\[Plan Accion Integrado ADRES Vigencia 2018 con Cuadro de Mando V6..xlsx]Plan de Accion 2018'!#REF!,J262&lt;&gt;"N/A"))</xm:f>
            <x14:dxf>
              <fill>
                <patternFill>
                  <bgColor rgb="FF00B050"/>
                </patternFill>
              </fill>
            </x14:dxf>
          </x14:cfRule>
          <x14:cfRule type="expression" priority="8581" stopIfTrue="1" id="{8FCD5CE0-7ED4-4E58-8666-39B39C0D50E4}">
            <xm:f>AND(IF(J262&lt;'F:\Users\norela.briceno\Documents\Plan de acción\Plan Accion 2018\[Plan Accion Integrado ADRES Vigencia 2018 con Cuadro de Mando V6..xlsx]Plan de Accion 2018'!#REF!,J262&lt;&gt;"N/A"))</xm:f>
            <x14:dxf>
              <fill>
                <patternFill>
                  <bgColor indexed="10"/>
                </patternFill>
              </fill>
            </x14:dxf>
          </x14:cfRule>
          <xm:sqref>J262</xm:sqref>
        </x14:conditionalFormatting>
        <x14:conditionalFormatting xmlns:xm="http://schemas.microsoft.com/office/excel/2006/main">
          <x14:cfRule type="expression" priority="8576" id="{DA497230-0898-42A5-B1BD-8EA82D090FAC}">
            <xm:f>AND(IF(J263&gt;'F:\Users\norela.briceno\Documents\Plan de acción\Plan Accion 2018\[Plan Accion Integrado ADRES Vigencia 2018 con Cuadro de Mando V6..xlsx]Plan de Accion 2018'!#REF!,J263&lt;&gt;¨N/A¨))</xm:f>
            <x14:dxf>
              <fill>
                <patternFill>
                  <bgColor theme="1" tint="0.499984740745262"/>
                </patternFill>
              </fill>
            </x14:dxf>
          </x14:cfRule>
          <x14:cfRule type="expression" priority="8577" stopIfTrue="1" id="{0E813B68-C788-483A-BEE6-7A6EE7F9AA86}">
            <xm:f>AND(IF(J263='F:\Users\norela.briceno\Documents\Plan de acción\Plan Accion 2018\[Plan Accion Integrado ADRES Vigencia 2018 con Cuadro de Mando V6..xlsx]Plan de Accion 2018'!#REF!,J263&lt;&gt;"N/A"))</xm:f>
            <x14:dxf>
              <fill>
                <patternFill>
                  <bgColor rgb="FF00B050"/>
                </patternFill>
              </fill>
            </x14:dxf>
          </x14:cfRule>
          <x14:cfRule type="expression" priority="8578" stopIfTrue="1" id="{5598539D-1E3B-4868-B91B-5D27574053D0}">
            <xm:f>AND(IF(J263&lt;'F:\Users\norela.briceno\Documents\Plan de acción\Plan Accion 2018\[Plan Accion Integrado ADRES Vigencia 2018 con Cuadro de Mando V6..xlsx]Plan de Accion 2018'!#REF!,J263&lt;&gt;"N/A"))</xm:f>
            <x14:dxf>
              <fill>
                <patternFill>
                  <bgColor indexed="10"/>
                </patternFill>
              </fill>
            </x14:dxf>
          </x14:cfRule>
          <xm:sqref>J263</xm:sqref>
        </x14:conditionalFormatting>
        <x14:conditionalFormatting xmlns:xm="http://schemas.microsoft.com/office/excel/2006/main">
          <x14:cfRule type="expression" priority="8573" id="{DEDB9490-59A3-466F-BB30-1B022272E17F}">
            <xm:f>AND(IF(J264&gt;'F:\Users\norela.briceno\Documents\Plan de acción\Plan Accion 2018\[Plan Accion Integrado ADRES Vigencia 2018 con Cuadro de Mando V6..xlsx]Plan de Accion 2018'!#REF!,J264&lt;&gt;¨N/A¨))</xm:f>
            <x14:dxf>
              <fill>
                <patternFill>
                  <bgColor theme="1" tint="0.499984740745262"/>
                </patternFill>
              </fill>
            </x14:dxf>
          </x14:cfRule>
          <x14:cfRule type="expression" priority="8574" stopIfTrue="1" id="{6A60F988-57FB-4D8C-9F39-699A5FC72284}">
            <xm:f>AND(IF(J264='F:\Users\norela.briceno\Documents\Plan de acción\Plan Accion 2018\[Plan Accion Integrado ADRES Vigencia 2018 con Cuadro de Mando V6..xlsx]Plan de Accion 2018'!#REF!,J264&lt;&gt;"N/A"))</xm:f>
            <x14:dxf>
              <fill>
                <patternFill>
                  <bgColor rgb="FF00B050"/>
                </patternFill>
              </fill>
            </x14:dxf>
          </x14:cfRule>
          <x14:cfRule type="expression" priority="8575" stopIfTrue="1" id="{EA68719C-6496-486E-ADD2-3084E1D36350}">
            <xm:f>AND(IF(J264&lt;'F:\Users\norela.briceno\Documents\Plan de acción\Plan Accion 2018\[Plan Accion Integrado ADRES Vigencia 2018 con Cuadro de Mando V6..xlsx]Plan de Accion 2018'!#REF!,J264&lt;&gt;"N/A"))</xm:f>
            <x14:dxf>
              <fill>
                <patternFill>
                  <bgColor indexed="10"/>
                </patternFill>
              </fill>
            </x14:dxf>
          </x14:cfRule>
          <xm:sqref>J264</xm:sqref>
        </x14:conditionalFormatting>
        <x14:conditionalFormatting xmlns:xm="http://schemas.microsoft.com/office/excel/2006/main">
          <x14:cfRule type="expression" priority="8570" id="{30D2EC8F-93B3-4711-9800-B2591F7CA8FC}">
            <xm:f>AND(IF(J265&gt;'F:\Users\norela.briceno\Documents\Plan de acción\Plan Accion 2018\[Plan Accion Integrado ADRES Vigencia 2018 con Cuadro de Mando V6..xlsx]Plan de Accion 2018'!#REF!,J265&lt;&gt;¨N/A¨))</xm:f>
            <x14:dxf>
              <fill>
                <patternFill>
                  <bgColor theme="1" tint="0.499984740745262"/>
                </patternFill>
              </fill>
            </x14:dxf>
          </x14:cfRule>
          <x14:cfRule type="expression" priority="8571" stopIfTrue="1" id="{E578E15E-6C73-4852-BB7B-15F724DAF12E}">
            <xm:f>AND(IF(J265='F:\Users\norela.briceno\Documents\Plan de acción\Plan Accion 2018\[Plan Accion Integrado ADRES Vigencia 2018 con Cuadro de Mando V6..xlsx]Plan de Accion 2018'!#REF!,J265&lt;&gt;"N/A"))</xm:f>
            <x14:dxf>
              <fill>
                <patternFill>
                  <bgColor rgb="FF00B050"/>
                </patternFill>
              </fill>
            </x14:dxf>
          </x14:cfRule>
          <x14:cfRule type="expression" priority="8572" stopIfTrue="1" id="{B82FFC9C-05DF-4FBF-B0E4-94290BC76F2A}">
            <xm:f>AND(IF(J265&lt;'F:\Users\norela.briceno\Documents\Plan de acción\Plan Accion 2018\[Plan Accion Integrado ADRES Vigencia 2018 con Cuadro de Mando V6..xlsx]Plan de Accion 2018'!#REF!,J265&lt;&gt;"N/A"))</xm:f>
            <x14:dxf>
              <fill>
                <patternFill>
                  <bgColor indexed="10"/>
                </patternFill>
              </fill>
            </x14:dxf>
          </x14:cfRule>
          <xm:sqref>J265</xm:sqref>
        </x14:conditionalFormatting>
        <x14:conditionalFormatting xmlns:xm="http://schemas.microsoft.com/office/excel/2006/main">
          <x14:cfRule type="expression" priority="8567" id="{916B5BE0-5CBE-48DB-BF14-1AD68AB5A199}">
            <xm:f>AND(IF(J266&gt;'F:\Users\norela.briceno\Documents\Plan de acción\Plan Accion 2018\[Plan Accion Integrado ADRES Vigencia 2018 con Cuadro de Mando V6..xlsx]Plan de Accion 2018'!#REF!,J266&lt;&gt;¨N/A¨))</xm:f>
            <x14:dxf>
              <fill>
                <patternFill>
                  <bgColor theme="1" tint="0.499984740745262"/>
                </patternFill>
              </fill>
            </x14:dxf>
          </x14:cfRule>
          <x14:cfRule type="expression" priority="8568" stopIfTrue="1" id="{E62A80F2-AE5C-44F4-883E-A336DB96FDFC}">
            <xm:f>AND(IF(J266='F:\Users\norela.briceno\Documents\Plan de acción\Plan Accion 2018\[Plan Accion Integrado ADRES Vigencia 2018 con Cuadro de Mando V6..xlsx]Plan de Accion 2018'!#REF!,J266&lt;&gt;"N/A"))</xm:f>
            <x14:dxf>
              <fill>
                <patternFill>
                  <bgColor rgb="FF00B050"/>
                </patternFill>
              </fill>
            </x14:dxf>
          </x14:cfRule>
          <x14:cfRule type="expression" priority="8569" stopIfTrue="1" id="{F0A015BB-AF2B-4BF5-A4F5-D5B7827B4AC6}">
            <xm:f>AND(IF(J266&lt;'F:\Users\norela.briceno\Documents\Plan de acción\Plan Accion 2018\[Plan Accion Integrado ADRES Vigencia 2018 con Cuadro de Mando V6..xlsx]Plan de Accion 2018'!#REF!,J266&lt;&gt;"N/A"))</xm:f>
            <x14:dxf>
              <fill>
                <patternFill>
                  <bgColor indexed="10"/>
                </patternFill>
              </fill>
            </x14:dxf>
          </x14:cfRule>
          <xm:sqref>J266</xm:sqref>
        </x14:conditionalFormatting>
        <x14:conditionalFormatting xmlns:xm="http://schemas.microsoft.com/office/excel/2006/main">
          <x14:cfRule type="expression" priority="8564" id="{3B5659D7-B4EC-408F-8603-E8CEA67EEDA1}">
            <xm:f>AND(IF(J267&gt;'F:\Users\norela.briceno\Documents\Plan de acción\Plan Accion 2018\[Plan Accion Integrado ADRES Vigencia 2018 con Cuadro de Mando V6..xlsx]Plan de Accion 2018'!#REF!,J267&lt;&gt;¨N/A¨))</xm:f>
            <x14:dxf>
              <fill>
                <patternFill>
                  <bgColor theme="1" tint="0.499984740745262"/>
                </patternFill>
              </fill>
            </x14:dxf>
          </x14:cfRule>
          <x14:cfRule type="expression" priority="8565" stopIfTrue="1" id="{47BFF0C0-3551-4822-8BA3-E3AA353BAF85}">
            <xm:f>AND(IF(J267='F:\Users\norela.briceno\Documents\Plan de acción\Plan Accion 2018\[Plan Accion Integrado ADRES Vigencia 2018 con Cuadro de Mando V6..xlsx]Plan de Accion 2018'!#REF!,J267&lt;&gt;"N/A"))</xm:f>
            <x14:dxf>
              <fill>
                <patternFill>
                  <bgColor rgb="FF00B050"/>
                </patternFill>
              </fill>
            </x14:dxf>
          </x14:cfRule>
          <x14:cfRule type="expression" priority="8566" stopIfTrue="1" id="{BA5C5CEC-0D89-4591-BA47-4A43B23DCA08}">
            <xm:f>AND(IF(J267&lt;'F:\Users\norela.briceno\Documents\Plan de acción\Plan Accion 2018\[Plan Accion Integrado ADRES Vigencia 2018 con Cuadro de Mando V6..xlsx]Plan de Accion 2018'!#REF!,J267&lt;&gt;"N/A"))</xm:f>
            <x14:dxf>
              <fill>
                <patternFill>
                  <bgColor indexed="10"/>
                </patternFill>
              </fill>
            </x14:dxf>
          </x14:cfRule>
          <xm:sqref>J267</xm:sqref>
        </x14:conditionalFormatting>
        <x14:conditionalFormatting xmlns:xm="http://schemas.microsoft.com/office/excel/2006/main">
          <x14:cfRule type="expression" priority="8561" id="{469C406D-7DE1-4B92-8043-E9F2CE31B17F}">
            <xm:f>AND(IF(J268&gt;'F:\Users\norela.briceno\Documents\Plan de acción\Plan Accion 2018\[Plan Accion Integrado ADRES Vigencia 2018 con Cuadro de Mando V6..xlsx]Plan de Accion 2018'!#REF!,J268&lt;&gt;¨N/A¨))</xm:f>
            <x14:dxf>
              <fill>
                <patternFill>
                  <bgColor theme="1" tint="0.499984740745262"/>
                </patternFill>
              </fill>
            </x14:dxf>
          </x14:cfRule>
          <x14:cfRule type="expression" priority="8562" stopIfTrue="1" id="{F5DE0DE2-8258-48CE-BF4D-1BA49D80CF24}">
            <xm:f>AND(IF(J268='F:\Users\norela.briceno\Documents\Plan de acción\Plan Accion 2018\[Plan Accion Integrado ADRES Vigencia 2018 con Cuadro de Mando V6..xlsx]Plan de Accion 2018'!#REF!,J268&lt;&gt;"N/A"))</xm:f>
            <x14:dxf>
              <fill>
                <patternFill>
                  <bgColor rgb="FF00B050"/>
                </patternFill>
              </fill>
            </x14:dxf>
          </x14:cfRule>
          <x14:cfRule type="expression" priority="8563" stopIfTrue="1" id="{27E2444D-421E-400B-9C4E-47B622FDF673}">
            <xm:f>AND(IF(J268&lt;'F:\Users\norela.briceno\Documents\Plan de acción\Plan Accion 2018\[Plan Accion Integrado ADRES Vigencia 2018 con Cuadro de Mando V6..xlsx]Plan de Accion 2018'!#REF!,J268&lt;&gt;"N/A"))</xm:f>
            <x14:dxf>
              <fill>
                <patternFill>
                  <bgColor indexed="10"/>
                </patternFill>
              </fill>
            </x14:dxf>
          </x14:cfRule>
          <xm:sqref>J268</xm:sqref>
        </x14:conditionalFormatting>
        <x14:conditionalFormatting xmlns:xm="http://schemas.microsoft.com/office/excel/2006/main">
          <x14:cfRule type="expression" priority="8558" id="{AF9CCC4E-6EB5-4710-9ED8-53C809C0C45B}">
            <xm:f>AND(IF(J269&gt;'F:\Users\norela.briceno\Documents\Plan de acción\Plan Accion 2018\[Plan Accion Integrado ADRES Vigencia 2018 con Cuadro de Mando V6..xlsx]Plan de Accion 2018'!#REF!,J269&lt;&gt;¨N/A¨))</xm:f>
            <x14:dxf>
              <fill>
                <patternFill>
                  <bgColor theme="1" tint="0.499984740745262"/>
                </patternFill>
              </fill>
            </x14:dxf>
          </x14:cfRule>
          <x14:cfRule type="expression" priority="8559" stopIfTrue="1" id="{01B4E8E2-1DC0-4AA3-8628-6B59E291B658}">
            <xm:f>AND(IF(J269='F:\Users\norela.briceno\Documents\Plan de acción\Plan Accion 2018\[Plan Accion Integrado ADRES Vigencia 2018 con Cuadro de Mando V6..xlsx]Plan de Accion 2018'!#REF!,J269&lt;&gt;"N/A"))</xm:f>
            <x14:dxf>
              <fill>
                <patternFill>
                  <bgColor rgb="FF00B050"/>
                </patternFill>
              </fill>
            </x14:dxf>
          </x14:cfRule>
          <x14:cfRule type="expression" priority="8560" stopIfTrue="1" id="{E5E6EADD-220E-4866-B94F-B947D55CB883}">
            <xm:f>AND(IF(J269&lt;'F:\Users\norela.briceno\Documents\Plan de acción\Plan Accion 2018\[Plan Accion Integrado ADRES Vigencia 2018 con Cuadro de Mando V6..xlsx]Plan de Accion 2018'!#REF!,J269&lt;&gt;"N/A"))</xm:f>
            <x14:dxf>
              <fill>
                <patternFill>
                  <bgColor indexed="10"/>
                </patternFill>
              </fill>
            </x14:dxf>
          </x14:cfRule>
          <xm:sqref>J269</xm:sqref>
        </x14:conditionalFormatting>
        <x14:conditionalFormatting xmlns:xm="http://schemas.microsoft.com/office/excel/2006/main">
          <x14:cfRule type="expression" priority="8555" id="{C9F3B508-7420-46CE-A11B-1686808F1604}">
            <xm:f>AND(IF(J270&gt;'F:\Users\norela.briceno\Documents\Plan de acción\Plan Accion 2018\[Plan Accion Integrado ADRES Vigencia 2018 con Cuadro de Mando V6..xlsx]Plan de Accion 2018'!#REF!,J270&lt;&gt;¨N/A¨))</xm:f>
            <x14:dxf>
              <fill>
                <patternFill>
                  <bgColor theme="1" tint="0.499984740745262"/>
                </patternFill>
              </fill>
            </x14:dxf>
          </x14:cfRule>
          <x14:cfRule type="expression" priority="8556" stopIfTrue="1" id="{DEF2D6CE-84F5-401E-A394-086EDF5F9A79}">
            <xm:f>AND(IF(J270='F:\Users\norela.briceno\Documents\Plan de acción\Plan Accion 2018\[Plan Accion Integrado ADRES Vigencia 2018 con Cuadro de Mando V6..xlsx]Plan de Accion 2018'!#REF!,J270&lt;&gt;"N/A"))</xm:f>
            <x14:dxf>
              <fill>
                <patternFill>
                  <bgColor rgb="FF00B050"/>
                </patternFill>
              </fill>
            </x14:dxf>
          </x14:cfRule>
          <x14:cfRule type="expression" priority="8557" stopIfTrue="1" id="{02747EF4-3A35-4230-A50B-854A5CCD518C}">
            <xm:f>AND(IF(J270&lt;'F:\Users\norela.briceno\Documents\Plan de acción\Plan Accion 2018\[Plan Accion Integrado ADRES Vigencia 2018 con Cuadro de Mando V6..xlsx]Plan de Accion 2018'!#REF!,J270&lt;&gt;"N/A"))</xm:f>
            <x14:dxf>
              <fill>
                <patternFill>
                  <bgColor indexed="10"/>
                </patternFill>
              </fill>
            </x14:dxf>
          </x14:cfRule>
          <xm:sqref>J270</xm:sqref>
        </x14:conditionalFormatting>
        <x14:conditionalFormatting xmlns:xm="http://schemas.microsoft.com/office/excel/2006/main">
          <x14:cfRule type="expression" priority="8552" id="{AE6477D4-D3CD-461A-B514-64CD3750A5ED}">
            <xm:f>AND(IF(J271&gt;'F:\Users\norela.briceno\Documents\Plan de acción\Plan Accion 2018\[Plan Accion Integrado ADRES Vigencia 2018 con Cuadro de Mando V6..xlsx]Plan de Accion 2018'!#REF!,J271&lt;&gt;¨N/A¨))</xm:f>
            <x14:dxf>
              <fill>
                <patternFill>
                  <bgColor theme="1" tint="0.499984740745262"/>
                </patternFill>
              </fill>
            </x14:dxf>
          </x14:cfRule>
          <x14:cfRule type="expression" priority="8553" stopIfTrue="1" id="{9255856F-1A7C-4F9A-978A-6E2CA446AD2F}">
            <xm:f>AND(IF(J271='F:\Users\norela.briceno\Documents\Plan de acción\Plan Accion 2018\[Plan Accion Integrado ADRES Vigencia 2018 con Cuadro de Mando V6..xlsx]Plan de Accion 2018'!#REF!,J271&lt;&gt;"N/A"))</xm:f>
            <x14:dxf>
              <fill>
                <patternFill>
                  <bgColor rgb="FF00B050"/>
                </patternFill>
              </fill>
            </x14:dxf>
          </x14:cfRule>
          <x14:cfRule type="expression" priority="8554" stopIfTrue="1" id="{CDF15479-B32D-4D15-B43C-4E9A6FA82A12}">
            <xm:f>AND(IF(J271&lt;'F:\Users\norela.briceno\Documents\Plan de acción\Plan Accion 2018\[Plan Accion Integrado ADRES Vigencia 2018 con Cuadro de Mando V6..xlsx]Plan de Accion 2018'!#REF!,J271&lt;&gt;"N/A"))</xm:f>
            <x14:dxf>
              <fill>
                <patternFill>
                  <bgColor indexed="10"/>
                </patternFill>
              </fill>
            </x14:dxf>
          </x14:cfRule>
          <xm:sqref>J271</xm:sqref>
        </x14:conditionalFormatting>
        <x14:conditionalFormatting xmlns:xm="http://schemas.microsoft.com/office/excel/2006/main">
          <x14:cfRule type="expression" priority="8549" id="{CE505545-C23C-4DCF-8B4B-259AFB259AC2}">
            <xm:f>AND(IF(J272&gt;'F:\Users\norela.briceno\Documents\Plan de acción\Plan Accion 2018\[Plan Accion Integrado ADRES Vigencia 2018 con Cuadro de Mando V6..xlsx]Plan de Accion 2018'!#REF!,J272&lt;&gt;¨N/A¨))</xm:f>
            <x14:dxf>
              <fill>
                <patternFill>
                  <bgColor theme="1" tint="0.499984740745262"/>
                </patternFill>
              </fill>
            </x14:dxf>
          </x14:cfRule>
          <x14:cfRule type="expression" priority="8550" stopIfTrue="1" id="{56869BCA-3CE8-4794-A283-C7CE2B831986}">
            <xm:f>AND(IF(J272='F:\Users\norela.briceno\Documents\Plan de acción\Plan Accion 2018\[Plan Accion Integrado ADRES Vigencia 2018 con Cuadro de Mando V6..xlsx]Plan de Accion 2018'!#REF!,J272&lt;&gt;"N/A"))</xm:f>
            <x14:dxf>
              <fill>
                <patternFill>
                  <bgColor rgb="FF00B050"/>
                </patternFill>
              </fill>
            </x14:dxf>
          </x14:cfRule>
          <x14:cfRule type="expression" priority="8551" stopIfTrue="1" id="{E6D5F020-CB7B-4396-AC07-96EA927F21D9}">
            <xm:f>AND(IF(J272&lt;'F:\Users\norela.briceno\Documents\Plan de acción\Plan Accion 2018\[Plan Accion Integrado ADRES Vigencia 2018 con Cuadro de Mando V6..xlsx]Plan de Accion 2018'!#REF!,J272&lt;&gt;"N/A"))</xm:f>
            <x14:dxf>
              <fill>
                <patternFill>
                  <bgColor indexed="10"/>
                </patternFill>
              </fill>
            </x14:dxf>
          </x14:cfRule>
          <xm:sqref>J272</xm:sqref>
        </x14:conditionalFormatting>
        <x14:conditionalFormatting xmlns:xm="http://schemas.microsoft.com/office/excel/2006/main">
          <x14:cfRule type="expression" priority="8546" id="{90C69A9C-99E6-4AB4-9A6B-3EB3B0CDCD96}">
            <xm:f>AND(IF(J273&gt;'F:\Users\norela.briceno\Documents\Plan de acción\Plan Accion 2018\[Plan Accion Integrado ADRES Vigencia 2018 con Cuadro de Mando V6..xlsx]Plan de Accion 2018'!#REF!,J273&lt;&gt;¨N/A¨))</xm:f>
            <x14:dxf>
              <fill>
                <patternFill>
                  <bgColor theme="1" tint="0.499984740745262"/>
                </patternFill>
              </fill>
            </x14:dxf>
          </x14:cfRule>
          <x14:cfRule type="expression" priority="8547" stopIfTrue="1" id="{29E5DDAA-3702-43CA-AA4E-B7CF410F6AA6}">
            <xm:f>AND(IF(J273='F:\Users\norela.briceno\Documents\Plan de acción\Plan Accion 2018\[Plan Accion Integrado ADRES Vigencia 2018 con Cuadro de Mando V6..xlsx]Plan de Accion 2018'!#REF!,J273&lt;&gt;"N/A"))</xm:f>
            <x14:dxf>
              <fill>
                <patternFill>
                  <bgColor rgb="FF00B050"/>
                </patternFill>
              </fill>
            </x14:dxf>
          </x14:cfRule>
          <x14:cfRule type="expression" priority="8548" stopIfTrue="1" id="{B1DF796E-151D-4A3C-B8EE-74DA39C7013B}">
            <xm:f>AND(IF(J273&lt;'F:\Users\norela.briceno\Documents\Plan de acción\Plan Accion 2018\[Plan Accion Integrado ADRES Vigencia 2018 con Cuadro de Mando V6..xlsx]Plan de Accion 2018'!#REF!,J273&lt;&gt;"N/A"))</xm:f>
            <x14:dxf>
              <fill>
                <patternFill>
                  <bgColor indexed="10"/>
                </patternFill>
              </fill>
            </x14:dxf>
          </x14:cfRule>
          <xm:sqref>J273</xm:sqref>
        </x14:conditionalFormatting>
        <x14:conditionalFormatting xmlns:xm="http://schemas.microsoft.com/office/excel/2006/main">
          <x14:cfRule type="expression" priority="8543" id="{67589A60-7782-4F05-AA82-A2F972B1A3C3}">
            <xm:f>AND(IF(J274&gt;'F:\Users\norela.briceno\Documents\Plan de acción\Plan Accion 2018\[Plan Accion Integrado ADRES Vigencia 2018 con Cuadro de Mando V6..xlsx]Plan de Accion 2018'!#REF!,J274&lt;&gt;¨N/A¨))</xm:f>
            <x14:dxf>
              <fill>
                <patternFill>
                  <bgColor theme="1" tint="0.499984740745262"/>
                </patternFill>
              </fill>
            </x14:dxf>
          </x14:cfRule>
          <x14:cfRule type="expression" priority="8544" stopIfTrue="1" id="{4CBC3888-B667-433E-884A-43A4EBF4902D}">
            <xm:f>AND(IF(J274='F:\Users\norela.briceno\Documents\Plan de acción\Plan Accion 2018\[Plan Accion Integrado ADRES Vigencia 2018 con Cuadro de Mando V6..xlsx]Plan de Accion 2018'!#REF!,J274&lt;&gt;"N/A"))</xm:f>
            <x14:dxf>
              <fill>
                <patternFill>
                  <bgColor rgb="FF00B050"/>
                </patternFill>
              </fill>
            </x14:dxf>
          </x14:cfRule>
          <x14:cfRule type="expression" priority="8545" stopIfTrue="1" id="{F20323A2-F5F7-4D79-BD9B-4A5D3EC27764}">
            <xm:f>AND(IF(J274&lt;'F:\Users\norela.briceno\Documents\Plan de acción\Plan Accion 2018\[Plan Accion Integrado ADRES Vigencia 2018 con Cuadro de Mando V6..xlsx]Plan de Accion 2018'!#REF!,J274&lt;&gt;"N/A"))</xm:f>
            <x14:dxf>
              <fill>
                <patternFill>
                  <bgColor indexed="10"/>
                </patternFill>
              </fill>
            </x14:dxf>
          </x14:cfRule>
          <xm:sqref>J274</xm:sqref>
        </x14:conditionalFormatting>
        <x14:conditionalFormatting xmlns:xm="http://schemas.microsoft.com/office/excel/2006/main">
          <x14:cfRule type="expression" priority="8540" id="{B84F9418-5BCF-493F-8053-4D3A4ACF46A0}">
            <xm:f>AND(IF(J275&gt;'F:\Users\norela.briceno\Documents\Plan de acción\Plan Accion 2018\[Plan Accion Integrado ADRES Vigencia 2018 con Cuadro de Mando V6..xlsx]Plan de Accion 2018'!#REF!,J275&lt;&gt;¨N/A¨))</xm:f>
            <x14:dxf>
              <fill>
                <patternFill>
                  <bgColor theme="1" tint="0.499984740745262"/>
                </patternFill>
              </fill>
            </x14:dxf>
          </x14:cfRule>
          <x14:cfRule type="expression" priority="8541" stopIfTrue="1" id="{BEB1B3C7-6C88-4459-B42C-5FA726017412}">
            <xm:f>AND(IF(J275='F:\Users\norela.briceno\Documents\Plan de acción\Plan Accion 2018\[Plan Accion Integrado ADRES Vigencia 2018 con Cuadro de Mando V6..xlsx]Plan de Accion 2018'!#REF!,J275&lt;&gt;"N/A"))</xm:f>
            <x14:dxf>
              <fill>
                <patternFill>
                  <bgColor rgb="FF00B050"/>
                </patternFill>
              </fill>
            </x14:dxf>
          </x14:cfRule>
          <x14:cfRule type="expression" priority="8542" stopIfTrue="1" id="{2FF3C135-14D1-4ACF-B399-92632EEFB475}">
            <xm:f>AND(IF(J275&lt;'F:\Users\norela.briceno\Documents\Plan de acción\Plan Accion 2018\[Plan Accion Integrado ADRES Vigencia 2018 con Cuadro de Mando V6..xlsx]Plan de Accion 2018'!#REF!,J275&lt;&gt;"N/A"))</xm:f>
            <x14:dxf>
              <fill>
                <patternFill>
                  <bgColor indexed="10"/>
                </patternFill>
              </fill>
            </x14:dxf>
          </x14:cfRule>
          <xm:sqref>J275</xm:sqref>
        </x14:conditionalFormatting>
        <x14:conditionalFormatting xmlns:xm="http://schemas.microsoft.com/office/excel/2006/main">
          <x14:cfRule type="expression" priority="8537" id="{9C688606-CD5D-48BB-880B-66B928F18B49}">
            <xm:f>AND(IF(J276&gt;'F:\Users\norela.briceno\Documents\Plan de acción\Plan Accion 2018\[Plan Accion Integrado ADRES Vigencia 2018 con Cuadro de Mando V6..xlsx]Plan de Accion 2018'!#REF!,J276&lt;&gt;¨N/A¨))</xm:f>
            <x14:dxf>
              <fill>
                <patternFill>
                  <bgColor theme="1" tint="0.499984740745262"/>
                </patternFill>
              </fill>
            </x14:dxf>
          </x14:cfRule>
          <x14:cfRule type="expression" priority="8538" stopIfTrue="1" id="{64B70E19-A765-4032-BE75-1FA45E0EFF3E}">
            <xm:f>AND(IF(J276='F:\Users\norela.briceno\Documents\Plan de acción\Plan Accion 2018\[Plan Accion Integrado ADRES Vigencia 2018 con Cuadro de Mando V6..xlsx]Plan de Accion 2018'!#REF!,J276&lt;&gt;"N/A"))</xm:f>
            <x14:dxf>
              <fill>
                <patternFill>
                  <bgColor rgb="FF00B050"/>
                </patternFill>
              </fill>
            </x14:dxf>
          </x14:cfRule>
          <x14:cfRule type="expression" priority="8539" stopIfTrue="1" id="{188109D9-B981-47E1-8AAD-909B8E63AA6D}">
            <xm:f>AND(IF(J276&lt;'F:\Users\norela.briceno\Documents\Plan de acción\Plan Accion 2018\[Plan Accion Integrado ADRES Vigencia 2018 con Cuadro de Mando V6..xlsx]Plan de Accion 2018'!#REF!,J276&lt;&gt;"N/A"))</xm:f>
            <x14:dxf>
              <fill>
                <patternFill>
                  <bgColor indexed="10"/>
                </patternFill>
              </fill>
            </x14:dxf>
          </x14:cfRule>
          <xm:sqref>J276</xm:sqref>
        </x14:conditionalFormatting>
        <x14:conditionalFormatting xmlns:xm="http://schemas.microsoft.com/office/excel/2006/main">
          <x14:cfRule type="expression" priority="8534" id="{9F5EE8F4-FC28-47A8-8482-4997AC65ED34}">
            <xm:f>AND(IF(J277&gt;'F:\Users\norela.briceno\Documents\Plan de acción\Plan Accion 2018\[Plan Accion Integrado ADRES Vigencia 2018 con Cuadro de Mando V6..xlsx]Plan de Accion 2018'!#REF!,J277&lt;&gt;¨N/A¨))</xm:f>
            <x14:dxf>
              <fill>
                <patternFill>
                  <bgColor theme="1" tint="0.499984740745262"/>
                </patternFill>
              </fill>
            </x14:dxf>
          </x14:cfRule>
          <x14:cfRule type="expression" priority="8535" stopIfTrue="1" id="{A92BB7D0-F39E-4BD0-A1C7-85744AB29FAA}">
            <xm:f>AND(IF(J277='F:\Users\norela.briceno\Documents\Plan de acción\Plan Accion 2018\[Plan Accion Integrado ADRES Vigencia 2018 con Cuadro de Mando V6..xlsx]Plan de Accion 2018'!#REF!,J277&lt;&gt;"N/A"))</xm:f>
            <x14:dxf>
              <fill>
                <patternFill>
                  <bgColor rgb="FF00B050"/>
                </patternFill>
              </fill>
            </x14:dxf>
          </x14:cfRule>
          <x14:cfRule type="expression" priority="8536" stopIfTrue="1" id="{060DD374-5211-4FBE-9B3C-A23C070E78B0}">
            <xm:f>AND(IF(J277&lt;'F:\Users\norela.briceno\Documents\Plan de acción\Plan Accion 2018\[Plan Accion Integrado ADRES Vigencia 2018 con Cuadro de Mando V6..xlsx]Plan de Accion 2018'!#REF!,J277&lt;&gt;"N/A"))</xm:f>
            <x14:dxf>
              <fill>
                <patternFill>
                  <bgColor indexed="10"/>
                </patternFill>
              </fill>
            </x14:dxf>
          </x14:cfRule>
          <xm:sqref>J277</xm:sqref>
        </x14:conditionalFormatting>
        <x14:conditionalFormatting xmlns:xm="http://schemas.microsoft.com/office/excel/2006/main">
          <x14:cfRule type="expression" priority="8531" id="{1593C6F7-E994-46A1-A1EF-4A0313B0E9A0}">
            <xm:f>AND(IF(J278&gt;'F:\Users\norela.briceno\Documents\Plan de acción\Plan Accion 2018\[Plan Accion Integrado ADRES Vigencia 2018 con Cuadro de Mando V6..xlsx]Plan de Accion 2018'!#REF!,J278&lt;&gt;¨N/A¨))</xm:f>
            <x14:dxf>
              <fill>
                <patternFill>
                  <bgColor theme="1" tint="0.499984740745262"/>
                </patternFill>
              </fill>
            </x14:dxf>
          </x14:cfRule>
          <x14:cfRule type="expression" priority="8532" stopIfTrue="1" id="{FCB10AB0-F910-446D-B70F-1F967694F782}">
            <xm:f>AND(IF(J278='F:\Users\norela.briceno\Documents\Plan de acción\Plan Accion 2018\[Plan Accion Integrado ADRES Vigencia 2018 con Cuadro de Mando V6..xlsx]Plan de Accion 2018'!#REF!,J278&lt;&gt;"N/A"))</xm:f>
            <x14:dxf>
              <fill>
                <patternFill>
                  <bgColor rgb="FF00B050"/>
                </patternFill>
              </fill>
            </x14:dxf>
          </x14:cfRule>
          <x14:cfRule type="expression" priority="8533" stopIfTrue="1" id="{3FFC2C06-ECB7-4D61-B691-D8DBEEBC8099}">
            <xm:f>AND(IF(J278&lt;'F:\Users\norela.briceno\Documents\Plan de acción\Plan Accion 2018\[Plan Accion Integrado ADRES Vigencia 2018 con Cuadro de Mando V6..xlsx]Plan de Accion 2018'!#REF!,J278&lt;&gt;"N/A"))</xm:f>
            <x14:dxf>
              <fill>
                <patternFill>
                  <bgColor indexed="10"/>
                </patternFill>
              </fill>
            </x14:dxf>
          </x14:cfRule>
          <xm:sqref>J278</xm:sqref>
        </x14:conditionalFormatting>
        <x14:conditionalFormatting xmlns:xm="http://schemas.microsoft.com/office/excel/2006/main">
          <x14:cfRule type="expression" priority="8528" id="{E056709A-D5F8-45F6-B1E6-B87832641282}">
            <xm:f>AND(IF(J279&gt;'F:\Users\norela.briceno\Documents\Plan de acción\Plan Accion 2018\[Plan Accion Integrado ADRES Vigencia 2018 con Cuadro de Mando V6..xlsx]Plan de Accion 2018'!#REF!,J279&lt;&gt;¨N/A¨))</xm:f>
            <x14:dxf>
              <fill>
                <patternFill>
                  <bgColor theme="1" tint="0.499984740745262"/>
                </patternFill>
              </fill>
            </x14:dxf>
          </x14:cfRule>
          <x14:cfRule type="expression" priority="8529" stopIfTrue="1" id="{B0CFB115-C5A6-4FEB-80DE-5E732DB2F8FD}">
            <xm:f>AND(IF(J279='F:\Users\norela.briceno\Documents\Plan de acción\Plan Accion 2018\[Plan Accion Integrado ADRES Vigencia 2018 con Cuadro de Mando V6..xlsx]Plan de Accion 2018'!#REF!,J279&lt;&gt;"N/A"))</xm:f>
            <x14:dxf>
              <fill>
                <patternFill>
                  <bgColor rgb="FF00B050"/>
                </patternFill>
              </fill>
            </x14:dxf>
          </x14:cfRule>
          <x14:cfRule type="expression" priority="8530" stopIfTrue="1" id="{2D60FC41-5739-4E32-8014-820929694D97}">
            <xm:f>AND(IF(J279&lt;'F:\Users\norela.briceno\Documents\Plan de acción\Plan Accion 2018\[Plan Accion Integrado ADRES Vigencia 2018 con Cuadro de Mando V6..xlsx]Plan de Accion 2018'!#REF!,J279&lt;&gt;"N/A"))</xm:f>
            <x14:dxf>
              <fill>
                <patternFill>
                  <bgColor indexed="10"/>
                </patternFill>
              </fill>
            </x14:dxf>
          </x14:cfRule>
          <xm:sqref>J279</xm:sqref>
        </x14:conditionalFormatting>
        <x14:conditionalFormatting xmlns:xm="http://schemas.microsoft.com/office/excel/2006/main">
          <x14:cfRule type="expression" priority="8525" id="{3C99D43F-2CD5-4CE1-B2C9-F1FAFA73C94E}">
            <xm:f>AND(IF(J280&gt;'F:\Users\norela.briceno\Documents\Plan de acción\Plan Accion 2018\[Plan Accion Integrado ADRES Vigencia 2018 con Cuadro de Mando V6..xlsx]Plan de Accion 2018'!#REF!,J280&lt;&gt;¨N/A¨))</xm:f>
            <x14:dxf>
              <fill>
                <patternFill>
                  <bgColor theme="1" tint="0.499984740745262"/>
                </patternFill>
              </fill>
            </x14:dxf>
          </x14:cfRule>
          <x14:cfRule type="expression" priority="8526" stopIfTrue="1" id="{DB498A92-3717-442E-AD38-DBE54FA9D377}">
            <xm:f>AND(IF(J280='F:\Users\norela.briceno\Documents\Plan de acción\Plan Accion 2018\[Plan Accion Integrado ADRES Vigencia 2018 con Cuadro de Mando V6..xlsx]Plan de Accion 2018'!#REF!,J280&lt;&gt;"N/A"))</xm:f>
            <x14:dxf>
              <fill>
                <patternFill>
                  <bgColor rgb="FF00B050"/>
                </patternFill>
              </fill>
            </x14:dxf>
          </x14:cfRule>
          <x14:cfRule type="expression" priority="8527" stopIfTrue="1" id="{A8440A1A-BFC0-4537-B611-C307A7165262}">
            <xm:f>AND(IF(J280&lt;'F:\Users\norela.briceno\Documents\Plan de acción\Plan Accion 2018\[Plan Accion Integrado ADRES Vigencia 2018 con Cuadro de Mando V6..xlsx]Plan de Accion 2018'!#REF!,J280&lt;&gt;"N/A"))</xm:f>
            <x14:dxf>
              <fill>
                <patternFill>
                  <bgColor indexed="10"/>
                </patternFill>
              </fill>
            </x14:dxf>
          </x14:cfRule>
          <xm:sqref>J280</xm:sqref>
        </x14:conditionalFormatting>
        <x14:conditionalFormatting xmlns:xm="http://schemas.microsoft.com/office/excel/2006/main">
          <x14:cfRule type="expression" priority="8522" id="{99F0C221-52DC-43E1-9129-EA0A77468721}">
            <xm:f>AND(IF(J281&gt;'F:\Users\norela.briceno\Documents\Plan de acción\Plan Accion 2018\[Plan Accion Integrado ADRES Vigencia 2018 con Cuadro de Mando V6..xlsx]Plan de Accion 2018'!#REF!,J281&lt;&gt;¨N/A¨))</xm:f>
            <x14:dxf>
              <fill>
                <patternFill>
                  <bgColor theme="1" tint="0.499984740745262"/>
                </patternFill>
              </fill>
            </x14:dxf>
          </x14:cfRule>
          <x14:cfRule type="expression" priority="8523" stopIfTrue="1" id="{6AA031C8-AE1E-4946-A925-D4CA84785F4E}">
            <xm:f>AND(IF(J281='F:\Users\norela.briceno\Documents\Plan de acción\Plan Accion 2018\[Plan Accion Integrado ADRES Vigencia 2018 con Cuadro de Mando V6..xlsx]Plan de Accion 2018'!#REF!,J281&lt;&gt;"N/A"))</xm:f>
            <x14:dxf>
              <fill>
                <patternFill>
                  <bgColor rgb="FF00B050"/>
                </patternFill>
              </fill>
            </x14:dxf>
          </x14:cfRule>
          <x14:cfRule type="expression" priority="8524" stopIfTrue="1" id="{BFBA9072-EED1-4F50-9D0D-EDF3C3B1964D}">
            <xm:f>AND(IF(J281&lt;'F:\Users\norela.briceno\Documents\Plan de acción\Plan Accion 2018\[Plan Accion Integrado ADRES Vigencia 2018 con Cuadro de Mando V6..xlsx]Plan de Accion 2018'!#REF!,J281&lt;&gt;"N/A"))</xm:f>
            <x14:dxf>
              <fill>
                <patternFill>
                  <bgColor indexed="10"/>
                </patternFill>
              </fill>
            </x14:dxf>
          </x14:cfRule>
          <xm:sqref>J281</xm:sqref>
        </x14:conditionalFormatting>
        <x14:conditionalFormatting xmlns:xm="http://schemas.microsoft.com/office/excel/2006/main">
          <x14:cfRule type="expression" priority="8519" id="{B9ACFE06-25AA-4292-98E7-7B3AE817864A}">
            <xm:f>AND(IF(J282&gt;'F:\Users\norela.briceno\Documents\Plan de acción\Plan Accion 2018\[Plan Accion Integrado ADRES Vigencia 2018 con Cuadro de Mando V6..xlsx]Plan de Accion 2018'!#REF!,J282&lt;&gt;¨N/A¨))</xm:f>
            <x14:dxf>
              <fill>
                <patternFill>
                  <bgColor theme="1" tint="0.499984740745262"/>
                </patternFill>
              </fill>
            </x14:dxf>
          </x14:cfRule>
          <x14:cfRule type="expression" priority="8520" stopIfTrue="1" id="{C4636EBA-F204-4884-89CA-77C254DC7AB5}">
            <xm:f>AND(IF(J282='F:\Users\norela.briceno\Documents\Plan de acción\Plan Accion 2018\[Plan Accion Integrado ADRES Vigencia 2018 con Cuadro de Mando V6..xlsx]Plan de Accion 2018'!#REF!,J282&lt;&gt;"N/A"))</xm:f>
            <x14:dxf>
              <fill>
                <patternFill>
                  <bgColor rgb="FF00B050"/>
                </patternFill>
              </fill>
            </x14:dxf>
          </x14:cfRule>
          <x14:cfRule type="expression" priority="8521" stopIfTrue="1" id="{D67DE9B2-4E2E-4480-B4C4-0EE884319626}">
            <xm:f>AND(IF(J282&lt;'F:\Users\norela.briceno\Documents\Plan de acción\Plan Accion 2018\[Plan Accion Integrado ADRES Vigencia 2018 con Cuadro de Mando V6..xlsx]Plan de Accion 2018'!#REF!,J282&lt;&gt;"N/A"))</xm:f>
            <x14:dxf>
              <fill>
                <patternFill>
                  <bgColor indexed="10"/>
                </patternFill>
              </fill>
            </x14:dxf>
          </x14:cfRule>
          <xm:sqref>J282</xm:sqref>
        </x14:conditionalFormatting>
        <x14:conditionalFormatting xmlns:xm="http://schemas.microsoft.com/office/excel/2006/main">
          <x14:cfRule type="expression" priority="8516" id="{AAC4CA1D-C5AF-4C3A-B596-3571F967E6F8}">
            <xm:f>AND(IF(J289&gt;'F:\Users\norela.briceno\Documents\Plan de acción\Plan Accion 2018\[Plan Accion Integrado ADRES Vigencia 2018 con Cuadro de Mando V6..xlsx]Plan de Accion 2018'!#REF!,J289&lt;&gt;¨N/A¨))</xm:f>
            <x14:dxf>
              <fill>
                <patternFill>
                  <bgColor theme="1" tint="0.499984740745262"/>
                </patternFill>
              </fill>
            </x14:dxf>
          </x14:cfRule>
          <x14:cfRule type="expression" priority="8517" stopIfTrue="1" id="{60FD7488-1822-4571-9237-8B1FDF8B6DD0}">
            <xm:f>AND(IF(J289='F:\Users\norela.briceno\Documents\Plan de acción\Plan Accion 2018\[Plan Accion Integrado ADRES Vigencia 2018 con Cuadro de Mando V6..xlsx]Plan de Accion 2018'!#REF!,J289&lt;&gt;"N/A"))</xm:f>
            <x14:dxf>
              <fill>
                <patternFill>
                  <bgColor rgb="FF00B050"/>
                </patternFill>
              </fill>
            </x14:dxf>
          </x14:cfRule>
          <x14:cfRule type="expression" priority="8518" stopIfTrue="1" id="{E9BBB826-DEB8-45FE-84B1-9EA219F72A0B}">
            <xm:f>AND(IF(J289&lt;'F:\Users\norela.briceno\Documents\Plan de acción\Plan Accion 2018\[Plan Accion Integrado ADRES Vigencia 2018 con Cuadro de Mando V6..xlsx]Plan de Accion 2018'!#REF!,J289&lt;&gt;"N/A"))</xm:f>
            <x14:dxf>
              <fill>
                <patternFill>
                  <bgColor indexed="10"/>
                </patternFill>
              </fill>
            </x14:dxf>
          </x14:cfRule>
          <xm:sqref>J289</xm:sqref>
        </x14:conditionalFormatting>
        <x14:conditionalFormatting xmlns:xm="http://schemas.microsoft.com/office/excel/2006/main">
          <x14:cfRule type="expression" priority="8513" id="{E9D55E9F-C571-4574-8A6C-4104ED7FDE7D}">
            <xm:f>AND(IF(J292&gt;'F:\Users\norela.briceno\Documents\Plan de acción\Plan Accion 2018\[Plan Accion Integrado ADRES Vigencia 2018 con Cuadro de Mando V6..xlsx]Plan de Accion 2018'!#REF!,J292&lt;&gt;¨N/A¨))</xm:f>
            <x14:dxf>
              <fill>
                <patternFill>
                  <bgColor theme="1" tint="0.499984740745262"/>
                </patternFill>
              </fill>
            </x14:dxf>
          </x14:cfRule>
          <x14:cfRule type="expression" priority="8514" stopIfTrue="1" id="{955C5D15-BEFF-4E13-9D69-F7F7CADE59C8}">
            <xm:f>AND(IF(J292='F:\Users\norela.briceno\Documents\Plan de acción\Plan Accion 2018\[Plan Accion Integrado ADRES Vigencia 2018 con Cuadro de Mando V6..xlsx]Plan de Accion 2018'!#REF!,J292&lt;&gt;"N/A"))</xm:f>
            <x14:dxf>
              <fill>
                <patternFill>
                  <bgColor rgb="FF00B050"/>
                </patternFill>
              </fill>
            </x14:dxf>
          </x14:cfRule>
          <x14:cfRule type="expression" priority="8515" stopIfTrue="1" id="{54E80E88-4429-4ECA-BD01-E8A4720927BC}">
            <xm:f>AND(IF(J292&lt;'F:\Users\norela.briceno\Documents\Plan de acción\Plan Accion 2018\[Plan Accion Integrado ADRES Vigencia 2018 con Cuadro de Mando V6..xlsx]Plan de Accion 2018'!#REF!,J292&lt;&gt;"N/A"))</xm:f>
            <x14:dxf>
              <fill>
                <patternFill>
                  <bgColor indexed="10"/>
                </patternFill>
              </fill>
            </x14:dxf>
          </x14:cfRule>
          <xm:sqref>J292</xm:sqref>
        </x14:conditionalFormatting>
        <x14:conditionalFormatting xmlns:xm="http://schemas.microsoft.com/office/excel/2006/main">
          <x14:cfRule type="expression" priority="8510" id="{73CB2D0B-E773-4E5F-8E41-368487C67B62}">
            <xm:f>AND(IF(J293&gt;'F:\Users\norela.briceno\Documents\Plan de acción\Plan Accion 2018\[Plan Accion Integrado ADRES Vigencia 2018 con Cuadro de Mando V6..xlsx]Plan de Accion 2018'!#REF!,J293&lt;&gt;¨N/A¨))</xm:f>
            <x14:dxf>
              <fill>
                <patternFill>
                  <bgColor theme="1" tint="0.499984740745262"/>
                </patternFill>
              </fill>
            </x14:dxf>
          </x14:cfRule>
          <x14:cfRule type="expression" priority="8511" stopIfTrue="1" id="{2893BB84-031E-4940-9916-3B08D27AFB5A}">
            <xm:f>AND(IF(J293='F:\Users\norela.briceno\Documents\Plan de acción\Plan Accion 2018\[Plan Accion Integrado ADRES Vigencia 2018 con Cuadro de Mando V6..xlsx]Plan de Accion 2018'!#REF!,J293&lt;&gt;"N/A"))</xm:f>
            <x14:dxf>
              <fill>
                <patternFill>
                  <bgColor rgb="FF00B050"/>
                </patternFill>
              </fill>
            </x14:dxf>
          </x14:cfRule>
          <x14:cfRule type="expression" priority="8512" stopIfTrue="1" id="{55678A73-99B1-488A-B86D-9F727A8452EF}">
            <xm:f>AND(IF(J293&lt;'F:\Users\norela.briceno\Documents\Plan de acción\Plan Accion 2018\[Plan Accion Integrado ADRES Vigencia 2018 con Cuadro de Mando V6..xlsx]Plan de Accion 2018'!#REF!,J293&lt;&gt;"N/A"))</xm:f>
            <x14:dxf>
              <fill>
                <patternFill>
                  <bgColor indexed="10"/>
                </patternFill>
              </fill>
            </x14:dxf>
          </x14:cfRule>
          <xm:sqref>J293</xm:sqref>
        </x14:conditionalFormatting>
        <x14:conditionalFormatting xmlns:xm="http://schemas.microsoft.com/office/excel/2006/main">
          <x14:cfRule type="expression" priority="8507" id="{EA35C342-F2FE-49E3-8A38-F9325E350D6A}">
            <xm:f>AND(IF(J294&gt;'F:\Users\norela.briceno\Documents\Plan de acción\Plan Accion 2018\[Plan Accion Integrado ADRES Vigencia 2018 con Cuadro de Mando V6..xlsx]Plan de Accion 2018'!#REF!,J294&lt;&gt;¨N/A¨))</xm:f>
            <x14:dxf>
              <fill>
                <patternFill>
                  <bgColor theme="1" tint="0.499984740745262"/>
                </patternFill>
              </fill>
            </x14:dxf>
          </x14:cfRule>
          <x14:cfRule type="expression" priority="8508" stopIfTrue="1" id="{3A74A282-AE47-46E7-B1F5-CB1189DE1FA1}">
            <xm:f>AND(IF(J294='F:\Users\norela.briceno\Documents\Plan de acción\Plan Accion 2018\[Plan Accion Integrado ADRES Vigencia 2018 con Cuadro de Mando V6..xlsx]Plan de Accion 2018'!#REF!,J294&lt;&gt;"N/A"))</xm:f>
            <x14:dxf>
              <fill>
                <patternFill>
                  <bgColor rgb="FF00B050"/>
                </patternFill>
              </fill>
            </x14:dxf>
          </x14:cfRule>
          <x14:cfRule type="expression" priority="8509" stopIfTrue="1" id="{14D12ACC-85EA-4307-8844-2BEB67170E81}">
            <xm:f>AND(IF(J294&lt;'F:\Users\norela.briceno\Documents\Plan de acción\Plan Accion 2018\[Plan Accion Integrado ADRES Vigencia 2018 con Cuadro de Mando V6..xlsx]Plan de Accion 2018'!#REF!,J294&lt;&gt;"N/A"))</xm:f>
            <x14:dxf>
              <fill>
                <patternFill>
                  <bgColor indexed="10"/>
                </patternFill>
              </fill>
            </x14:dxf>
          </x14:cfRule>
          <xm:sqref>J294</xm:sqref>
        </x14:conditionalFormatting>
        <x14:conditionalFormatting xmlns:xm="http://schemas.microsoft.com/office/excel/2006/main">
          <x14:cfRule type="expression" priority="8504" id="{C07F8F2F-0080-4ED8-81AA-76BE994D03DE}">
            <xm:f>AND(IF(J295&gt;'F:\Users\norela.briceno\Documents\Plan de acción\Plan Accion 2018\[Plan Accion Integrado ADRES Vigencia 2018 con Cuadro de Mando V6..xlsx]Plan de Accion 2018'!#REF!,J295&lt;&gt;¨N/A¨))</xm:f>
            <x14:dxf>
              <fill>
                <patternFill>
                  <bgColor theme="1" tint="0.499984740745262"/>
                </patternFill>
              </fill>
            </x14:dxf>
          </x14:cfRule>
          <x14:cfRule type="expression" priority="8505" stopIfTrue="1" id="{6E56FF36-701B-4CC6-AAA8-9F236A570925}">
            <xm:f>AND(IF(J295='F:\Users\norela.briceno\Documents\Plan de acción\Plan Accion 2018\[Plan Accion Integrado ADRES Vigencia 2018 con Cuadro de Mando V6..xlsx]Plan de Accion 2018'!#REF!,J295&lt;&gt;"N/A"))</xm:f>
            <x14:dxf>
              <fill>
                <patternFill>
                  <bgColor rgb="FF00B050"/>
                </patternFill>
              </fill>
            </x14:dxf>
          </x14:cfRule>
          <x14:cfRule type="expression" priority="8506" stopIfTrue="1" id="{B67F61A0-B3D2-4998-8E36-EE8F7507741E}">
            <xm:f>AND(IF(J295&lt;'F:\Users\norela.briceno\Documents\Plan de acción\Plan Accion 2018\[Plan Accion Integrado ADRES Vigencia 2018 con Cuadro de Mando V6..xlsx]Plan de Accion 2018'!#REF!,J295&lt;&gt;"N/A"))</xm:f>
            <x14:dxf>
              <fill>
                <patternFill>
                  <bgColor indexed="10"/>
                </patternFill>
              </fill>
            </x14:dxf>
          </x14:cfRule>
          <xm:sqref>J295</xm:sqref>
        </x14:conditionalFormatting>
        <x14:conditionalFormatting xmlns:xm="http://schemas.microsoft.com/office/excel/2006/main">
          <x14:cfRule type="expression" priority="8501" id="{A3F0A17A-4C62-474D-90A8-AA519C86F477}">
            <xm:f>AND(IF(J298&gt;'F:\Users\norela.briceno\Documents\Plan de acción\Plan Accion 2018\[Plan Accion Integrado ADRES Vigencia 2018 con Cuadro de Mando V6..xlsx]Plan de Accion 2018'!#REF!,J298&lt;&gt;¨N/A¨))</xm:f>
            <x14:dxf>
              <fill>
                <patternFill>
                  <bgColor theme="1" tint="0.499984740745262"/>
                </patternFill>
              </fill>
            </x14:dxf>
          </x14:cfRule>
          <x14:cfRule type="expression" priority="8502" stopIfTrue="1" id="{A6AF2BFD-A746-4B74-B718-34235D288D03}">
            <xm:f>AND(IF(J298='F:\Users\norela.briceno\Documents\Plan de acción\Plan Accion 2018\[Plan Accion Integrado ADRES Vigencia 2018 con Cuadro de Mando V6..xlsx]Plan de Accion 2018'!#REF!,J298&lt;&gt;"N/A"))</xm:f>
            <x14:dxf>
              <fill>
                <patternFill>
                  <bgColor rgb="FF00B050"/>
                </patternFill>
              </fill>
            </x14:dxf>
          </x14:cfRule>
          <x14:cfRule type="expression" priority="8503" stopIfTrue="1" id="{1FF5BBCB-D3BA-4B22-91C3-166B8CE9357E}">
            <xm:f>AND(IF(J298&lt;'F:\Users\norela.briceno\Documents\Plan de acción\Plan Accion 2018\[Plan Accion Integrado ADRES Vigencia 2018 con Cuadro de Mando V6..xlsx]Plan de Accion 2018'!#REF!,J298&lt;&gt;"N/A"))</xm:f>
            <x14:dxf>
              <fill>
                <patternFill>
                  <bgColor indexed="10"/>
                </patternFill>
              </fill>
            </x14:dxf>
          </x14:cfRule>
          <xm:sqref>J298</xm:sqref>
        </x14:conditionalFormatting>
        <x14:conditionalFormatting xmlns:xm="http://schemas.microsoft.com/office/excel/2006/main">
          <x14:cfRule type="expression" priority="8498" id="{A9E63E30-CF84-43CF-9A7B-04F9D835B9D4}">
            <xm:f>AND(IF(J299&gt;'F:\Users\norela.briceno\Documents\Plan de acción\Plan Accion 2018\[Plan Accion Integrado ADRES Vigencia 2018 con Cuadro de Mando V6..xlsx]Plan de Accion 2018'!#REF!,J299&lt;&gt;¨N/A¨))</xm:f>
            <x14:dxf>
              <fill>
                <patternFill>
                  <bgColor theme="1" tint="0.499984740745262"/>
                </patternFill>
              </fill>
            </x14:dxf>
          </x14:cfRule>
          <x14:cfRule type="expression" priority="8499" stopIfTrue="1" id="{35E0D2F7-63FB-4239-A3CB-5A7405B4BC17}">
            <xm:f>AND(IF(J299='F:\Users\norela.briceno\Documents\Plan de acción\Plan Accion 2018\[Plan Accion Integrado ADRES Vigencia 2018 con Cuadro de Mando V6..xlsx]Plan de Accion 2018'!#REF!,J299&lt;&gt;"N/A"))</xm:f>
            <x14:dxf>
              <fill>
                <patternFill>
                  <bgColor rgb="FF00B050"/>
                </patternFill>
              </fill>
            </x14:dxf>
          </x14:cfRule>
          <x14:cfRule type="expression" priority="8500" stopIfTrue="1" id="{96D7E686-0A81-43B4-8C85-E44B8A7F4780}">
            <xm:f>AND(IF(J299&lt;'F:\Users\norela.briceno\Documents\Plan de acción\Plan Accion 2018\[Plan Accion Integrado ADRES Vigencia 2018 con Cuadro de Mando V6..xlsx]Plan de Accion 2018'!#REF!,J299&lt;&gt;"N/A"))</xm:f>
            <x14:dxf>
              <fill>
                <patternFill>
                  <bgColor indexed="10"/>
                </patternFill>
              </fill>
            </x14:dxf>
          </x14:cfRule>
          <xm:sqref>J299</xm:sqref>
        </x14:conditionalFormatting>
        <x14:conditionalFormatting xmlns:xm="http://schemas.microsoft.com/office/excel/2006/main">
          <x14:cfRule type="expression" priority="8495" id="{1FD3210D-405A-44C8-A57E-8A69D06A7BF4}">
            <xm:f>AND(IF(J300&gt;'F:\Users\norela.briceno\Documents\Plan de acción\Plan Accion 2018\[Plan Accion Integrado ADRES Vigencia 2018 con Cuadro de Mando V6..xlsx]Plan de Accion 2018'!#REF!,J300&lt;&gt;¨N/A¨))</xm:f>
            <x14:dxf>
              <fill>
                <patternFill>
                  <bgColor theme="1" tint="0.499984740745262"/>
                </patternFill>
              </fill>
            </x14:dxf>
          </x14:cfRule>
          <x14:cfRule type="expression" priority="8496" stopIfTrue="1" id="{10D9928C-08C6-4DB4-B1A7-82198D270820}">
            <xm:f>AND(IF(J300='F:\Users\norela.briceno\Documents\Plan de acción\Plan Accion 2018\[Plan Accion Integrado ADRES Vigencia 2018 con Cuadro de Mando V6..xlsx]Plan de Accion 2018'!#REF!,J300&lt;&gt;"N/A"))</xm:f>
            <x14:dxf>
              <fill>
                <patternFill>
                  <bgColor rgb="FF00B050"/>
                </patternFill>
              </fill>
            </x14:dxf>
          </x14:cfRule>
          <x14:cfRule type="expression" priority="8497" stopIfTrue="1" id="{CBF3EF06-C96F-41E1-9DF6-027952493060}">
            <xm:f>AND(IF(J300&lt;'F:\Users\norela.briceno\Documents\Plan de acción\Plan Accion 2018\[Plan Accion Integrado ADRES Vigencia 2018 con Cuadro de Mando V6..xlsx]Plan de Accion 2018'!#REF!,J300&lt;&gt;"N/A"))</xm:f>
            <x14:dxf>
              <fill>
                <patternFill>
                  <bgColor indexed="10"/>
                </patternFill>
              </fill>
            </x14:dxf>
          </x14:cfRule>
          <xm:sqref>J300</xm:sqref>
        </x14:conditionalFormatting>
        <x14:conditionalFormatting xmlns:xm="http://schemas.microsoft.com/office/excel/2006/main">
          <x14:cfRule type="expression" priority="8492" id="{D305749F-36C2-4F42-8556-203C4D340A79}">
            <xm:f>AND(IF(J301&gt;'F:\Users\norela.briceno\Documents\Plan de acción\Plan Accion 2018\[Plan Accion Integrado ADRES Vigencia 2018 con Cuadro de Mando V6..xlsx]Plan de Accion 2018'!#REF!,J301&lt;&gt;¨N/A¨))</xm:f>
            <x14:dxf>
              <fill>
                <patternFill>
                  <bgColor theme="1" tint="0.499984740745262"/>
                </patternFill>
              </fill>
            </x14:dxf>
          </x14:cfRule>
          <x14:cfRule type="expression" priority="8493" stopIfTrue="1" id="{2B63B983-125C-44F9-A321-6013394D296B}">
            <xm:f>AND(IF(J301='F:\Users\norela.briceno\Documents\Plan de acción\Plan Accion 2018\[Plan Accion Integrado ADRES Vigencia 2018 con Cuadro de Mando V6..xlsx]Plan de Accion 2018'!#REF!,J301&lt;&gt;"N/A"))</xm:f>
            <x14:dxf>
              <fill>
                <patternFill>
                  <bgColor rgb="FF00B050"/>
                </patternFill>
              </fill>
            </x14:dxf>
          </x14:cfRule>
          <x14:cfRule type="expression" priority="8494" stopIfTrue="1" id="{049F9C04-D287-4050-9E95-20AEEE21D37C}">
            <xm:f>AND(IF(J301&lt;'F:\Users\norela.briceno\Documents\Plan de acción\Plan Accion 2018\[Plan Accion Integrado ADRES Vigencia 2018 con Cuadro de Mando V6..xlsx]Plan de Accion 2018'!#REF!,J301&lt;&gt;"N/A"))</xm:f>
            <x14:dxf>
              <fill>
                <patternFill>
                  <bgColor indexed="10"/>
                </patternFill>
              </fill>
            </x14:dxf>
          </x14:cfRule>
          <xm:sqref>J301</xm:sqref>
        </x14:conditionalFormatting>
        <x14:conditionalFormatting xmlns:xm="http://schemas.microsoft.com/office/excel/2006/main">
          <x14:cfRule type="expression" priority="8489" id="{23319BB5-38DC-46F6-A0BE-417176F9D408}">
            <xm:f>AND(IF(J302&gt;'F:\Users\norela.briceno\Documents\Plan de acción\Plan Accion 2018\[Plan Accion Integrado ADRES Vigencia 2018 con Cuadro de Mando V6..xlsx]Plan de Accion 2018'!#REF!,J302&lt;&gt;¨N/A¨))</xm:f>
            <x14:dxf>
              <fill>
                <patternFill>
                  <bgColor theme="1" tint="0.499984740745262"/>
                </patternFill>
              </fill>
            </x14:dxf>
          </x14:cfRule>
          <x14:cfRule type="expression" priority="8490" stopIfTrue="1" id="{AD116F22-ECC4-4E73-8F00-C7E29BEE12C4}">
            <xm:f>AND(IF(J302='F:\Users\norela.briceno\Documents\Plan de acción\Plan Accion 2018\[Plan Accion Integrado ADRES Vigencia 2018 con Cuadro de Mando V6..xlsx]Plan de Accion 2018'!#REF!,J302&lt;&gt;"N/A"))</xm:f>
            <x14:dxf>
              <fill>
                <patternFill>
                  <bgColor rgb="FF00B050"/>
                </patternFill>
              </fill>
            </x14:dxf>
          </x14:cfRule>
          <x14:cfRule type="expression" priority="8491" stopIfTrue="1" id="{B5FB8F93-BEAF-45EF-9F43-D969AC06023F}">
            <xm:f>AND(IF(J302&lt;'F:\Users\norela.briceno\Documents\Plan de acción\Plan Accion 2018\[Plan Accion Integrado ADRES Vigencia 2018 con Cuadro de Mando V6..xlsx]Plan de Accion 2018'!#REF!,J302&lt;&gt;"N/A"))</xm:f>
            <x14:dxf>
              <fill>
                <patternFill>
                  <bgColor indexed="10"/>
                </patternFill>
              </fill>
            </x14:dxf>
          </x14:cfRule>
          <xm:sqref>J302</xm:sqref>
        </x14:conditionalFormatting>
        <x14:conditionalFormatting xmlns:xm="http://schemas.microsoft.com/office/excel/2006/main">
          <x14:cfRule type="expression" priority="8483" id="{666F3512-3252-4305-8E0C-24B96BBC86D5}">
            <xm:f>AND(IF(J306&gt;'F:\Users\norela.briceno\Documents\Plan de acción\Plan Accion 2018\[Plan Accion Integrado ADRES Vigencia 2018 con Cuadro de Mando V6..xlsx]Plan de Accion 2018'!#REF!,J306&lt;&gt;¨N/A¨))</xm:f>
            <x14:dxf>
              <fill>
                <patternFill>
                  <bgColor theme="1" tint="0.499984740745262"/>
                </patternFill>
              </fill>
            </x14:dxf>
          </x14:cfRule>
          <x14:cfRule type="expression" priority="8484" stopIfTrue="1" id="{C0F78F38-CAD2-4840-83B6-85A4F0A36334}">
            <xm:f>AND(IF(J306='F:\Users\norela.briceno\Documents\Plan de acción\Plan Accion 2018\[Plan Accion Integrado ADRES Vigencia 2018 con Cuadro de Mando V6..xlsx]Plan de Accion 2018'!#REF!,J306&lt;&gt;"N/A"))</xm:f>
            <x14:dxf>
              <fill>
                <patternFill>
                  <bgColor rgb="FF00B050"/>
                </patternFill>
              </fill>
            </x14:dxf>
          </x14:cfRule>
          <x14:cfRule type="expression" priority="8485" stopIfTrue="1" id="{D6926575-2466-4FB6-846F-37762ADD86F3}">
            <xm:f>AND(IF(J306&lt;'F:\Users\norela.briceno\Documents\Plan de acción\Plan Accion 2018\[Plan Accion Integrado ADRES Vigencia 2018 con Cuadro de Mando V6..xlsx]Plan de Accion 2018'!#REF!,J306&lt;&gt;"N/A"))</xm:f>
            <x14:dxf>
              <fill>
                <patternFill>
                  <bgColor indexed="10"/>
                </patternFill>
              </fill>
            </x14:dxf>
          </x14:cfRule>
          <xm:sqref>J306</xm:sqref>
        </x14:conditionalFormatting>
        <x14:conditionalFormatting xmlns:xm="http://schemas.microsoft.com/office/excel/2006/main">
          <x14:cfRule type="expression" priority="8480" id="{4669F42C-64DA-4BB3-A0D5-F5CADC99204E}">
            <xm:f>AND(IF(J307&gt;'F:\Users\norela.briceno\Documents\Plan de acción\Plan Accion 2018\[Plan Accion Integrado ADRES Vigencia 2018 con Cuadro de Mando V6..xlsx]Plan de Accion 2018'!#REF!,J307&lt;&gt;¨N/A¨))</xm:f>
            <x14:dxf>
              <fill>
                <patternFill>
                  <bgColor theme="1" tint="0.499984740745262"/>
                </patternFill>
              </fill>
            </x14:dxf>
          </x14:cfRule>
          <x14:cfRule type="expression" priority="8481" stopIfTrue="1" id="{E0C69DD9-F588-43D6-9041-B810B0134988}">
            <xm:f>AND(IF(J307='F:\Users\norela.briceno\Documents\Plan de acción\Plan Accion 2018\[Plan Accion Integrado ADRES Vigencia 2018 con Cuadro de Mando V6..xlsx]Plan de Accion 2018'!#REF!,J307&lt;&gt;"N/A"))</xm:f>
            <x14:dxf>
              <fill>
                <patternFill>
                  <bgColor rgb="FF00B050"/>
                </patternFill>
              </fill>
            </x14:dxf>
          </x14:cfRule>
          <x14:cfRule type="expression" priority="8482" stopIfTrue="1" id="{F7A34DE3-30A6-4013-B58E-DB790B773C87}">
            <xm:f>AND(IF(J307&lt;'F:\Users\norela.briceno\Documents\Plan de acción\Plan Accion 2018\[Plan Accion Integrado ADRES Vigencia 2018 con Cuadro de Mando V6..xlsx]Plan de Accion 2018'!#REF!,J307&lt;&gt;"N/A"))</xm:f>
            <x14:dxf>
              <fill>
                <patternFill>
                  <bgColor indexed="10"/>
                </patternFill>
              </fill>
            </x14:dxf>
          </x14:cfRule>
          <xm:sqref>J307</xm:sqref>
        </x14:conditionalFormatting>
        <x14:conditionalFormatting xmlns:xm="http://schemas.microsoft.com/office/excel/2006/main">
          <x14:cfRule type="expression" priority="8477" id="{62C36DAF-CE60-4D53-8CF0-5E171828D0A2}">
            <xm:f>AND(IF(J308&gt;'F:\Users\norela.briceno\Documents\Plan de acción\Plan Accion 2018\[Plan Accion Integrado ADRES Vigencia 2018 con Cuadro de Mando V6..xlsx]Plan de Accion 2018'!#REF!,J308&lt;&gt;¨N/A¨))</xm:f>
            <x14:dxf>
              <fill>
                <patternFill>
                  <bgColor theme="1" tint="0.499984740745262"/>
                </patternFill>
              </fill>
            </x14:dxf>
          </x14:cfRule>
          <x14:cfRule type="expression" priority="8478" stopIfTrue="1" id="{B3BBE509-ABDF-4E41-8AB5-9ECDC35BC2A7}">
            <xm:f>AND(IF(J308='F:\Users\norela.briceno\Documents\Plan de acción\Plan Accion 2018\[Plan Accion Integrado ADRES Vigencia 2018 con Cuadro de Mando V6..xlsx]Plan de Accion 2018'!#REF!,J308&lt;&gt;"N/A"))</xm:f>
            <x14:dxf>
              <fill>
                <patternFill>
                  <bgColor rgb="FF00B050"/>
                </patternFill>
              </fill>
            </x14:dxf>
          </x14:cfRule>
          <x14:cfRule type="expression" priority="8479" stopIfTrue="1" id="{5FA2C2E0-6133-4756-87D6-9B42B017E2DC}">
            <xm:f>AND(IF(J308&lt;'F:\Users\norela.briceno\Documents\Plan de acción\Plan Accion 2018\[Plan Accion Integrado ADRES Vigencia 2018 con Cuadro de Mando V6..xlsx]Plan de Accion 2018'!#REF!,J308&lt;&gt;"N/A"))</xm:f>
            <x14:dxf>
              <fill>
                <patternFill>
                  <bgColor indexed="10"/>
                </patternFill>
              </fill>
            </x14:dxf>
          </x14:cfRule>
          <xm:sqref>J308</xm:sqref>
        </x14:conditionalFormatting>
        <x14:conditionalFormatting xmlns:xm="http://schemas.microsoft.com/office/excel/2006/main">
          <x14:cfRule type="expression" priority="8474" id="{DCB37077-9663-4684-9A0D-B0A027F62789}">
            <xm:f>AND(IF(J310&gt;'F:\Users\norela.briceno\Documents\Plan de acción\Plan Accion 2018\[Plan Accion Integrado ADRES Vigencia 2018 con Cuadro de Mando V6..xlsx]Plan de Accion 2018'!#REF!,J310&lt;&gt;¨N/A¨))</xm:f>
            <x14:dxf>
              <fill>
                <patternFill>
                  <bgColor theme="1" tint="0.499984740745262"/>
                </patternFill>
              </fill>
            </x14:dxf>
          </x14:cfRule>
          <x14:cfRule type="expression" priority="8475" stopIfTrue="1" id="{8DEB3A1F-58D2-4365-897D-7188DCD8EC92}">
            <xm:f>AND(IF(J310='F:\Users\norela.briceno\Documents\Plan de acción\Plan Accion 2018\[Plan Accion Integrado ADRES Vigencia 2018 con Cuadro de Mando V6..xlsx]Plan de Accion 2018'!#REF!,J310&lt;&gt;"N/A"))</xm:f>
            <x14:dxf>
              <fill>
                <patternFill>
                  <bgColor rgb="FF00B050"/>
                </patternFill>
              </fill>
            </x14:dxf>
          </x14:cfRule>
          <x14:cfRule type="expression" priority="8476" stopIfTrue="1" id="{A47A0256-03B2-4E39-9D43-451730E6F554}">
            <xm:f>AND(IF(J310&lt;'F:\Users\norela.briceno\Documents\Plan de acción\Plan Accion 2018\[Plan Accion Integrado ADRES Vigencia 2018 con Cuadro de Mando V6..xlsx]Plan de Accion 2018'!#REF!,J310&lt;&gt;"N/A"))</xm:f>
            <x14:dxf>
              <fill>
                <patternFill>
                  <bgColor indexed="10"/>
                </patternFill>
              </fill>
            </x14:dxf>
          </x14:cfRule>
          <xm:sqref>J310</xm:sqref>
        </x14:conditionalFormatting>
        <x14:conditionalFormatting xmlns:xm="http://schemas.microsoft.com/office/excel/2006/main">
          <x14:cfRule type="expression" priority="8471" id="{1C7FDEBE-A6A7-4BE6-AEEB-DF5665652474}">
            <xm:f>AND(IF(J311&gt;'F:\Users\norela.briceno\Documents\Plan de acción\Plan Accion 2018\[Plan Accion Integrado ADRES Vigencia 2018 con Cuadro de Mando V6..xlsx]Plan de Accion 2018'!#REF!,J311&lt;&gt;¨N/A¨))</xm:f>
            <x14:dxf>
              <fill>
                <patternFill>
                  <bgColor theme="1" tint="0.499984740745262"/>
                </patternFill>
              </fill>
            </x14:dxf>
          </x14:cfRule>
          <x14:cfRule type="expression" priority="8472" stopIfTrue="1" id="{1EAC1BDC-1BDC-470B-9F89-A8A2F129AAE4}">
            <xm:f>AND(IF(J311='F:\Users\norela.briceno\Documents\Plan de acción\Plan Accion 2018\[Plan Accion Integrado ADRES Vigencia 2018 con Cuadro de Mando V6..xlsx]Plan de Accion 2018'!#REF!,J311&lt;&gt;"N/A"))</xm:f>
            <x14:dxf>
              <fill>
                <patternFill>
                  <bgColor rgb="FF00B050"/>
                </patternFill>
              </fill>
            </x14:dxf>
          </x14:cfRule>
          <x14:cfRule type="expression" priority="8473" stopIfTrue="1" id="{D07D343D-B94B-436F-B7EE-F2B43A2105E3}">
            <xm:f>AND(IF(J311&lt;'F:\Users\norela.briceno\Documents\Plan de acción\Plan Accion 2018\[Plan Accion Integrado ADRES Vigencia 2018 con Cuadro de Mando V6..xlsx]Plan de Accion 2018'!#REF!,J311&lt;&gt;"N/A"))</xm:f>
            <x14:dxf>
              <fill>
                <patternFill>
                  <bgColor indexed="10"/>
                </patternFill>
              </fill>
            </x14:dxf>
          </x14:cfRule>
          <xm:sqref>J311</xm:sqref>
        </x14:conditionalFormatting>
        <x14:conditionalFormatting xmlns:xm="http://schemas.microsoft.com/office/excel/2006/main">
          <x14:cfRule type="expression" priority="8468" id="{C304A34E-0CCD-4FDD-86BB-AF6BF0AD76B1}">
            <xm:f>AND(IF(J312&gt;'F:\Users\norela.briceno\Documents\Plan de acción\Plan Accion 2018\[Plan Accion Integrado ADRES Vigencia 2018 con Cuadro de Mando V6..xlsx]Plan de Accion 2018'!#REF!,J312&lt;&gt;¨N/A¨))</xm:f>
            <x14:dxf>
              <fill>
                <patternFill>
                  <bgColor theme="1" tint="0.499984740745262"/>
                </patternFill>
              </fill>
            </x14:dxf>
          </x14:cfRule>
          <x14:cfRule type="expression" priority="8469" stopIfTrue="1" id="{EECC42DA-7283-4CDB-BE86-3E7B093606CB}">
            <xm:f>AND(IF(J312='F:\Users\norela.briceno\Documents\Plan de acción\Plan Accion 2018\[Plan Accion Integrado ADRES Vigencia 2018 con Cuadro de Mando V6..xlsx]Plan de Accion 2018'!#REF!,J312&lt;&gt;"N/A"))</xm:f>
            <x14:dxf>
              <fill>
                <patternFill>
                  <bgColor rgb="FF00B050"/>
                </patternFill>
              </fill>
            </x14:dxf>
          </x14:cfRule>
          <x14:cfRule type="expression" priority="8470" stopIfTrue="1" id="{7D464609-A799-4BED-A600-54D4C286A287}">
            <xm:f>AND(IF(J312&lt;'F:\Users\norela.briceno\Documents\Plan de acción\Plan Accion 2018\[Plan Accion Integrado ADRES Vigencia 2018 con Cuadro de Mando V6..xlsx]Plan de Accion 2018'!#REF!,J312&lt;&gt;"N/A"))</xm:f>
            <x14:dxf>
              <fill>
                <patternFill>
                  <bgColor indexed="10"/>
                </patternFill>
              </fill>
            </x14:dxf>
          </x14:cfRule>
          <xm:sqref>J312</xm:sqref>
        </x14:conditionalFormatting>
        <x14:conditionalFormatting xmlns:xm="http://schemas.microsoft.com/office/excel/2006/main">
          <x14:cfRule type="expression" priority="8465" id="{A77F13B4-BBB7-4AAF-A635-77A00F270C2E}">
            <xm:f>AND(IF(J314&gt;'F:\Users\norela.briceno\Documents\Plan de acción\Plan Accion 2018\[Plan Accion Integrado ADRES Vigencia 2018 con Cuadro de Mando V6..xlsx]Plan de Accion 2018'!#REF!,J314&lt;&gt;¨N/A¨))</xm:f>
            <x14:dxf>
              <fill>
                <patternFill>
                  <bgColor theme="1" tint="0.499984740745262"/>
                </patternFill>
              </fill>
            </x14:dxf>
          </x14:cfRule>
          <x14:cfRule type="expression" priority="8466" stopIfTrue="1" id="{5FA43D6E-01B7-4751-B671-98F4C3B817D7}">
            <xm:f>AND(IF(J314='F:\Users\norela.briceno\Documents\Plan de acción\Plan Accion 2018\[Plan Accion Integrado ADRES Vigencia 2018 con Cuadro de Mando V6..xlsx]Plan de Accion 2018'!#REF!,J314&lt;&gt;"N/A"))</xm:f>
            <x14:dxf>
              <fill>
                <patternFill>
                  <bgColor rgb="FF00B050"/>
                </patternFill>
              </fill>
            </x14:dxf>
          </x14:cfRule>
          <x14:cfRule type="expression" priority="8467" stopIfTrue="1" id="{8756D9E1-1C79-4645-8CEF-A4FEA0CBE011}">
            <xm:f>AND(IF(J314&lt;'F:\Users\norela.briceno\Documents\Plan de acción\Plan Accion 2018\[Plan Accion Integrado ADRES Vigencia 2018 con Cuadro de Mando V6..xlsx]Plan de Accion 2018'!#REF!,J314&lt;&gt;"N/A"))</xm:f>
            <x14:dxf>
              <fill>
                <patternFill>
                  <bgColor indexed="10"/>
                </patternFill>
              </fill>
            </x14:dxf>
          </x14:cfRule>
          <xm:sqref>J314</xm:sqref>
        </x14:conditionalFormatting>
        <x14:conditionalFormatting xmlns:xm="http://schemas.microsoft.com/office/excel/2006/main">
          <x14:cfRule type="expression" priority="8462" id="{ECF600FC-EC4E-4C79-A961-6A368E2C8C03}">
            <xm:f>AND(IF(J315&gt;'F:\Users\norela.briceno\Documents\Plan de acción\Plan Accion 2018\[Plan Accion Integrado ADRES Vigencia 2018 con Cuadro de Mando V6..xlsx]Plan de Accion 2018'!#REF!,J315&lt;&gt;¨N/A¨))</xm:f>
            <x14:dxf>
              <fill>
                <patternFill>
                  <bgColor theme="1" tint="0.499984740745262"/>
                </patternFill>
              </fill>
            </x14:dxf>
          </x14:cfRule>
          <x14:cfRule type="expression" priority="8463" stopIfTrue="1" id="{25FDB5A5-86F3-479D-867B-F1A3959BDC6E}">
            <xm:f>AND(IF(J315='F:\Users\norela.briceno\Documents\Plan de acción\Plan Accion 2018\[Plan Accion Integrado ADRES Vigencia 2018 con Cuadro de Mando V6..xlsx]Plan de Accion 2018'!#REF!,J315&lt;&gt;"N/A"))</xm:f>
            <x14:dxf>
              <fill>
                <patternFill>
                  <bgColor rgb="FF00B050"/>
                </patternFill>
              </fill>
            </x14:dxf>
          </x14:cfRule>
          <x14:cfRule type="expression" priority="8464" stopIfTrue="1" id="{BDD06CD2-89E1-4348-BF14-5AF6A2EB50DE}">
            <xm:f>AND(IF(J315&lt;'F:\Users\norela.briceno\Documents\Plan de acción\Plan Accion 2018\[Plan Accion Integrado ADRES Vigencia 2018 con Cuadro de Mando V6..xlsx]Plan de Accion 2018'!#REF!,J315&lt;&gt;"N/A"))</xm:f>
            <x14:dxf>
              <fill>
                <patternFill>
                  <bgColor indexed="10"/>
                </patternFill>
              </fill>
            </x14:dxf>
          </x14:cfRule>
          <xm:sqref>J315</xm:sqref>
        </x14:conditionalFormatting>
        <x14:conditionalFormatting xmlns:xm="http://schemas.microsoft.com/office/excel/2006/main">
          <x14:cfRule type="expression" priority="8459" id="{CF8509CB-AD6D-4D84-A233-38E8F2B452A1}">
            <xm:f>AND(IF(J316&gt;'F:\Users\norela.briceno\Documents\Plan de acción\Plan Accion 2018\[Plan Accion Integrado ADRES Vigencia 2018 con Cuadro de Mando V6..xlsx]Plan de Accion 2018'!#REF!,J316&lt;&gt;¨N/A¨))</xm:f>
            <x14:dxf>
              <fill>
                <patternFill>
                  <bgColor theme="1" tint="0.499984740745262"/>
                </patternFill>
              </fill>
            </x14:dxf>
          </x14:cfRule>
          <x14:cfRule type="expression" priority="8460" stopIfTrue="1" id="{544421A5-1303-4814-B20E-6951B173506F}">
            <xm:f>AND(IF(J316='F:\Users\norela.briceno\Documents\Plan de acción\Plan Accion 2018\[Plan Accion Integrado ADRES Vigencia 2018 con Cuadro de Mando V6..xlsx]Plan de Accion 2018'!#REF!,J316&lt;&gt;"N/A"))</xm:f>
            <x14:dxf>
              <fill>
                <patternFill>
                  <bgColor rgb="FF00B050"/>
                </patternFill>
              </fill>
            </x14:dxf>
          </x14:cfRule>
          <x14:cfRule type="expression" priority="8461" stopIfTrue="1" id="{CF6CDA05-EE49-49CB-8476-34B5B07F23A6}">
            <xm:f>AND(IF(J316&lt;'F:\Users\norela.briceno\Documents\Plan de acción\Plan Accion 2018\[Plan Accion Integrado ADRES Vigencia 2018 con Cuadro de Mando V6..xlsx]Plan de Accion 2018'!#REF!,J316&lt;&gt;"N/A"))</xm:f>
            <x14:dxf>
              <fill>
                <patternFill>
                  <bgColor indexed="10"/>
                </patternFill>
              </fill>
            </x14:dxf>
          </x14:cfRule>
          <xm:sqref>J316</xm:sqref>
        </x14:conditionalFormatting>
        <x14:conditionalFormatting xmlns:xm="http://schemas.microsoft.com/office/excel/2006/main">
          <x14:cfRule type="expression" priority="8450" id="{A0F69426-92DD-4DA7-A28F-DE6262CA8971}">
            <xm:f>AND(IF(J322&gt;'F:\Users\norela.briceno\Documents\Plan de acción\Plan Accion 2018\[Plan Accion Integrado ADRES Vigencia 2018 con Cuadro de Mando V6..xlsx]Plan de Accion 2018'!#REF!,J322&lt;&gt;¨N/A¨))</xm:f>
            <x14:dxf>
              <fill>
                <patternFill>
                  <bgColor theme="1" tint="0.499984740745262"/>
                </patternFill>
              </fill>
            </x14:dxf>
          </x14:cfRule>
          <x14:cfRule type="expression" priority="8451" stopIfTrue="1" id="{9AD85C46-C683-439A-A65D-6D0A68984029}">
            <xm:f>AND(IF(J322='F:\Users\norela.briceno\Documents\Plan de acción\Plan Accion 2018\[Plan Accion Integrado ADRES Vigencia 2018 con Cuadro de Mando V6..xlsx]Plan de Accion 2018'!#REF!,J322&lt;&gt;"N/A"))</xm:f>
            <x14:dxf>
              <fill>
                <patternFill>
                  <bgColor rgb="FF00B050"/>
                </patternFill>
              </fill>
            </x14:dxf>
          </x14:cfRule>
          <x14:cfRule type="expression" priority="8452" stopIfTrue="1" id="{5E1002E9-2CB3-40FA-940D-499AD6B0AF1E}">
            <xm:f>AND(IF(J322&lt;'F:\Users\norela.briceno\Documents\Plan de acción\Plan Accion 2018\[Plan Accion Integrado ADRES Vigencia 2018 con Cuadro de Mando V6..xlsx]Plan de Accion 2018'!#REF!,J322&lt;&gt;"N/A"))</xm:f>
            <x14:dxf>
              <fill>
                <patternFill>
                  <bgColor indexed="10"/>
                </patternFill>
              </fill>
            </x14:dxf>
          </x14:cfRule>
          <xm:sqref>J322</xm:sqref>
        </x14:conditionalFormatting>
        <x14:conditionalFormatting xmlns:xm="http://schemas.microsoft.com/office/excel/2006/main">
          <x14:cfRule type="expression" priority="8447" id="{D7D9E196-D0E3-4DC5-BB4C-D0174410B677}">
            <xm:f>AND(IF(J323&gt;'F:\Users\norela.briceno\Documents\Plan de acción\Plan Accion 2018\[Plan Accion Integrado ADRES Vigencia 2018 con Cuadro de Mando V6..xlsx]Plan de Accion 2018'!#REF!,J323&lt;&gt;¨N/A¨))</xm:f>
            <x14:dxf>
              <fill>
                <patternFill>
                  <bgColor theme="1" tint="0.499984740745262"/>
                </patternFill>
              </fill>
            </x14:dxf>
          </x14:cfRule>
          <x14:cfRule type="expression" priority="8448" stopIfTrue="1" id="{9791DCD5-8F1F-435C-9347-3BD1AFBA3270}">
            <xm:f>AND(IF(J323='F:\Users\norela.briceno\Documents\Plan de acción\Plan Accion 2018\[Plan Accion Integrado ADRES Vigencia 2018 con Cuadro de Mando V6..xlsx]Plan de Accion 2018'!#REF!,J323&lt;&gt;"N/A"))</xm:f>
            <x14:dxf>
              <fill>
                <patternFill>
                  <bgColor rgb="FF00B050"/>
                </patternFill>
              </fill>
            </x14:dxf>
          </x14:cfRule>
          <x14:cfRule type="expression" priority="8449" stopIfTrue="1" id="{889576B8-A00E-48A5-A2DB-70637CA0DC01}">
            <xm:f>AND(IF(J323&lt;'F:\Users\norela.briceno\Documents\Plan de acción\Plan Accion 2018\[Plan Accion Integrado ADRES Vigencia 2018 con Cuadro de Mando V6..xlsx]Plan de Accion 2018'!#REF!,J323&lt;&gt;"N/A"))</xm:f>
            <x14:dxf>
              <fill>
                <patternFill>
                  <bgColor indexed="10"/>
                </patternFill>
              </fill>
            </x14:dxf>
          </x14:cfRule>
          <xm:sqref>J323</xm:sqref>
        </x14:conditionalFormatting>
        <x14:conditionalFormatting xmlns:xm="http://schemas.microsoft.com/office/excel/2006/main">
          <x14:cfRule type="expression" priority="8435" id="{95AFA146-B8B0-4350-94E4-52B7A56050DA}">
            <xm:f>AND(IF(J324&gt;'F:\Users\norela.briceno\Documents\Plan de acción\Plan Accion 2018\[Plan Accion Integrado ADRES Vigencia 2018 con Cuadro de Mando V6..xlsx]Plan de Accion 2018'!#REF!,J324&lt;&gt;¨N/A¨))</xm:f>
            <x14:dxf>
              <fill>
                <patternFill>
                  <bgColor theme="1" tint="0.499984740745262"/>
                </patternFill>
              </fill>
            </x14:dxf>
          </x14:cfRule>
          <x14:cfRule type="expression" priority="8436" stopIfTrue="1" id="{55404B6B-E569-45D7-84C9-60383F6C36C4}">
            <xm:f>AND(IF(J324='F:\Users\norela.briceno\Documents\Plan de acción\Plan Accion 2018\[Plan Accion Integrado ADRES Vigencia 2018 con Cuadro de Mando V6..xlsx]Plan de Accion 2018'!#REF!,J324&lt;&gt;"N/A"))</xm:f>
            <x14:dxf>
              <fill>
                <patternFill>
                  <bgColor rgb="FF00B050"/>
                </patternFill>
              </fill>
            </x14:dxf>
          </x14:cfRule>
          <x14:cfRule type="expression" priority="8437" stopIfTrue="1" id="{3FCDC013-C983-4F6E-9CCD-B4289C75636E}">
            <xm:f>AND(IF(J324&lt;'F:\Users\norela.briceno\Documents\Plan de acción\Plan Accion 2018\[Plan Accion Integrado ADRES Vigencia 2018 con Cuadro de Mando V6..xlsx]Plan de Accion 2018'!#REF!,J324&lt;&gt;"N/A"))</xm:f>
            <x14:dxf>
              <fill>
                <patternFill>
                  <bgColor indexed="10"/>
                </patternFill>
              </fill>
            </x14:dxf>
          </x14:cfRule>
          <xm:sqref>J324</xm:sqref>
        </x14:conditionalFormatting>
        <x14:conditionalFormatting xmlns:xm="http://schemas.microsoft.com/office/excel/2006/main">
          <x14:cfRule type="expression" priority="8432" id="{2F18D6A1-8E10-4644-9BF0-75B2CC6F6924}">
            <xm:f>AND(IF(J325&gt;'F:\Users\norela.briceno\Documents\Plan de acción\Plan Accion 2018\[Plan Accion Integrado ADRES Vigencia 2018 con Cuadro de Mando V6..xlsx]Plan de Accion 2018'!#REF!,J325&lt;&gt;¨N/A¨))</xm:f>
            <x14:dxf>
              <fill>
                <patternFill>
                  <bgColor theme="1" tint="0.499984740745262"/>
                </patternFill>
              </fill>
            </x14:dxf>
          </x14:cfRule>
          <x14:cfRule type="expression" priority="8433" stopIfTrue="1" id="{6A6012ED-CB7B-4BD9-99BE-05BF45F1FB56}">
            <xm:f>AND(IF(J325='F:\Users\norela.briceno\Documents\Plan de acción\Plan Accion 2018\[Plan Accion Integrado ADRES Vigencia 2018 con Cuadro de Mando V6..xlsx]Plan de Accion 2018'!#REF!,J325&lt;&gt;"N/A"))</xm:f>
            <x14:dxf>
              <fill>
                <patternFill>
                  <bgColor rgb="FF00B050"/>
                </patternFill>
              </fill>
            </x14:dxf>
          </x14:cfRule>
          <x14:cfRule type="expression" priority="8434" stopIfTrue="1" id="{C6E61C13-0E77-4BF1-BC75-64C4009A0B3B}">
            <xm:f>AND(IF(J325&lt;'F:\Users\norela.briceno\Documents\Plan de acción\Plan Accion 2018\[Plan Accion Integrado ADRES Vigencia 2018 con Cuadro de Mando V6..xlsx]Plan de Accion 2018'!#REF!,J325&lt;&gt;"N/A"))</xm:f>
            <x14:dxf>
              <fill>
                <patternFill>
                  <bgColor indexed="10"/>
                </patternFill>
              </fill>
            </x14:dxf>
          </x14:cfRule>
          <xm:sqref>J325</xm:sqref>
        </x14:conditionalFormatting>
        <x14:conditionalFormatting xmlns:xm="http://schemas.microsoft.com/office/excel/2006/main">
          <x14:cfRule type="expression" priority="8429" id="{236E64A7-B3EF-4B46-8CCB-04E8F16E85D8}">
            <xm:f>AND(IF(J326&gt;'F:\Users\norela.briceno\Documents\Plan de acción\Plan Accion 2018\[Plan Accion Integrado ADRES Vigencia 2018 con Cuadro de Mando V6..xlsx]Plan de Accion 2018'!#REF!,J326&lt;&gt;¨N/A¨))</xm:f>
            <x14:dxf>
              <fill>
                <patternFill>
                  <bgColor theme="1" tint="0.499984740745262"/>
                </patternFill>
              </fill>
            </x14:dxf>
          </x14:cfRule>
          <x14:cfRule type="expression" priority="8430" stopIfTrue="1" id="{5F6804F5-471D-439C-BA64-07730D92CF4F}">
            <xm:f>AND(IF(J326='F:\Users\norela.briceno\Documents\Plan de acción\Plan Accion 2018\[Plan Accion Integrado ADRES Vigencia 2018 con Cuadro de Mando V6..xlsx]Plan de Accion 2018'!#REF!,J326&lt;&gt;"N/A"))</xm:f>
            <x14:dxf>
              <fill>
                <patternFill>
                  <bgColor rgb="FF00B050"/>
                </patternFill>
              </fill>
            </x14:dxf>
          </x14:cfRule>
          <x14:cfRule type="expression" priority="8431" stopIfTrue="1" id="{CE4B3AF4-873D-4CF8-BCBC-7D9D9852D4C5}">
            <xm:f>AND(IF(J326&lt;'F:\Users\norela.briceno\Documents\Plan de acción\Plan Accion 2018\[Plan Accion Integrado ADRES Vigencia 2018 con Cuadro de Mando V6..xlsx]Plan de Accion 2018'!#REF!,J326&lt;&gt;"N/A"))</xm:f>
            <x14:dxf>
              <fill>
                <patternFill>
                  <bgColor indexed="10"/>
                </patternFill>
              </fill>
            </x14:dxf>
          </x14:cfRule>
          <xm:sqref>J326</xm:sqref>
        </x14:conditionalFormatting>
        <x14:conditionalFormatting xmlns:xm="http://schemas.microsoft.com/office/excel/2006/main">
          <x14:cfRule type="expression" priority="8426" id="{5C706E30-8A5B-46E6-A86E-0F2B2E4C3806}">
            <xm:f>AND(IF(J327&gt;'F:\Users\norela.briceno\Documents\Plan de acción\Plan Accion 2018\[Plan Accion Integrado ADRES Vigencia 2018 con Cuadro de Mando V6..xlsx]Plan de Accion 2018'!#REF!,J327&lt;&gt;¨N/A¨))</xm:f>
            <x14:dxf>
              <fill>
                <patternFill>
                  <bgColor theme="1" tint="0.499984740745262"/>
                </patternFill>
              </fill>
            </x14:dxf>
          </x14:cfRule>
          <x14:cfRule type="expression" priority="8427" stopIfTrue="1" id="{3000EAE8-871F-42AD-9334-15BD18C2636B}">
            <xm:f>AND(IF(J327='F:\Users\norela.briceno\Documents\Plan de acción\Plan Accion 2018\[Plan Accion Integrado ADRES Vigencia 2018 con Cuadro de Mando V6..xlsx]Plan de Accion 2018'!#REF!,J327&lt;&gt;"N/A"))</xm:f>
            <x14:dxf>
              <fill>
                <patternFill>
                  <bgColor rgb="FF00B050"/>
                </patternFill>
              </fill>
            </x14:dxf>
          </x14:cfRule>
          <x14:cfRule type="expression" priority="8428" stopIfTrue="1" id="{55C9D119-1176-41C7-937A-EAE136E38333}">
            <xm:f>AND(IF(J327&lt;'F:\Users\norela.briceno\Documents\Plan de acción\Plan Accion 2018\[Plan Accion Integrado ADRES Vigencia 2018 con Cuadro de Mando V6..xlsx]Plan de Accion 2018'!#REF!,J327&lt;&gt;"N/A"))</xm:f>
            <x14:dxf>
              <fill>
                <patternFill>
                  <bgColor indexed="10"/>
                </patternFill>
              </fill>
            </x14:dxf>
          </x14:cfRule>
          <xm:sqref>J327</xm:sqref>
        </x14:conditionalFormatting>
        <x14:conditionalFormatting xmlns:xm="http://schemas.microsoft.com/office/excel/2006/main">
          <x14:cfRule type="expression" priority="8423" id="{61ADE537-FF10-46E9-AD24-5EB4186E13F1}">
            <xm:f>AND(IF(J328&gt;'F:\Users\norela.briceno\Documents\Plan de acción\Plan Accion 2018\[Plan Accion Integrado ADRES Vigencia 2018 con Cuadro de Mando V6..xlsx]Plan de Accion 2018'!#REF!,J328&lt;&gt;¨N/A¨))</xm:f>
            <x14:dxf>
              <fill>
                <patternFill>
                  <bgColor theme="1" tint="0.499984740745262"/>
                </patternFill>
              </fill>
            </x14:dxf>
          </x14:cfRule>
          <x14:cfRule type="expression" priority="8424" stopIfTrue="1" id="{9F36C6D6-8069-441A-8058-2BA970C91560}">
            <xm:f>AND(IF(J328='F:\Users\norela.briceno\Documents\Plan de acción\Plan Accion 2018\[Plan Accion Integrado ADRES Vigencia 2018 con Cuadro de Mando V6..xlsx]Plan de Accion 2018'!#REF!,J328&lt;&gt;"N/A"))</xm:f>
            <x14:dxf>
              <fill>
                <patternFill>
                  <bgColor rgb="FF00B050"/>
                </patternFill>
              </fill>
            </x14:dxf>
          </x14:cfRule>
          <x14:cfRule type="expression" priority="8425" stopIfTrue="1" id="{EF19A3CD-AB76-482E-8AAC-C5CF82A471D8}">
            <xm:f>AND(IF(J328&lt;'F:\Users\norela.briceno\Documents\Plan de acción\Plan Accion 2018\[Plan Accion Integrado ADRES Vigencia 2018 con Cuadro de Mando V6..xlsx]Plan de Accion 2018'!#REF!,J328&lt;&gt;"N/A"))</xm:f>
            <x14:dxf>
              <fill>
                <patternFill>
                  <bgColor indexed="10"/>
                </patternFill>
              </fill>
            </x14:dxf>
          </x14:cfRule>
          <xm:sqref>J328</xm:sqref>
        </x14:conditionalFormatting>
        <x14:conditionalFormatting xmlns:xm="http://schemas.microsoft.com/office/excel/2006/main">
          <x14:cfRule type="expression" priority="8420" id="{BC105914-F08A-4FF3-B541-4DCF7DF62567}">
            <xm:f>AND(IF(J329&gt;'F:\Users\norela.briceno\Documents\Plan de acción\Plan Accion 2018\[Plan Accion Integrado ADRES Vigencia 2018 con Cuadro de Mando V6..xlsx]Plan de Accion 2018'!#REF!,J329&lt;&gt;¨N/A¨))</xm:f>
            <x14:dxf>
              <fill>
                <patternFill>
                  <bgColor theme="1" tint="0.499984740745262"/>
                </patternFill>
              </fill>
            </x14:dxf>
          </x14:cfRule>
          <x14:cfRule type="expression" priority="8421" stopIfTrue="1" id="{B397756C-A007-4E98-A69D-53A6D3AAADDD}">
            <xm:f>AND(IF(J329='F:\Users\norela.briceno\Documents\Plan de acción\Plan Accion 2018\[Plan Accion Integrado ADRES Vigencia 2018 con Cuadro de Mando V6..xlsx]Plan de Accion 2018'!#REF!,J329&lt;&gt;"N/A"))</xm:f>
            <x14:dxf>
              <fill>
                <patternFill>
                  <bgColor rgb="FF00B050"/>
                </patternFill>
              </fill>
            </x14:dxf>
          </x14:cfRule>
          <x14:cfRule type="expression" priority="8422" stopIfTrue="1" id="{68DDE2B3-FA31-4E07-B605-F6D36C1CEFFF}">
            <xm:f>AND(IF(J329&lt;'F:\Users\norela.briceno\Documents\Plan de acción\Plan Accion 2018\[Plan Accion Integrado ADRES Vigencia 2018 con Cuadro de Mando V6..xlsx]Plan de Accion 2018'!#REF!,J329&lt;&gt;"N/A"))</xm:f>
            <x14:dxf>
              <fill>
                <patternFill>
                  <bgColor indexed="10"/>
                </patternFill>
              </fill>
            </x14:dxf>
          </x14:cfRule>
          <xm:sqref>J329</xm:sqref>
        </x14:conditionalFormatting>
        <x14:conditionalFormatting xmlns:xm="http://schemas.microsoft.com/office/excel/2006/main">
          <x14:cfRule type="expression" priority="8417" id="{8D4A45E3-7BDA-4BFB-9663-5B3F45709AA8}">
            <xm:f>AND(IF(J330&gt;'F:\Users\norela.briceno\Documents\Plan de acción\Plan Accion 2018\[Plan Accion Integrado ADRES Vigencia 2018 con Cuadro de Mando V6..xlsx]Plan de Accion 2018'!#REF!,J330&lt;&gt;¨N/A¨))</xm:f>
            <x14:dxf>
              <fill>
                <patternFill>
                  <bgColor theme="1" tint="0.499984740745262"/>
                </patternFill>
              </fill>
            </x14:dxf>
          </x14:cfRule>
          <x14:cfRule type="expression" priority="8418" stopIfTrue="1" id="{BB87CCAE-6EF8-4155-963F-7307CAB7F5E9}">
            <xm:f>AND(IF(J330='F:\Users\norela.briceno\Documents\Plan de acción\Plan Accion 2018\[Plan Accion Integrado ADRES Vigencia 2018 con Cuadro de Mando V6..xlsx]Plan de Accion 2018'!#REF!,J330&lt;&gt;"N/A"))</xm:f>
            <x14:dxf>
              <fill>
                <patternFill>
                  <bgColor rgb="FF00B050"/>
                </patternFill>
              </fill>
            </x14:dxf>
          </x14:cfRule>
          <x14:cfRule type="expression" priority="8419" stopIfTrue="1" id="{578526A1-66A1-4347-9481-15AA6CD38242}">
            <xm:f>AND(IF(J330&lt;'F:\Users\norela.briceno\Documents\Plan de acción\Plan Accion 2018\[Plan Accion Integrado ADRES Vigencia 2018 con Cuadro de Mando V6..xlsx]Plan de Accion 2018'!#REF!,J330&lt;&gt;"N/A"))</xm:f>
            <x14:dxf>
              <fill>
                <patternFill>
                  <bgColor indexed="10"/>
                </patternFill>
              </fill>
            </x14:dxf>
          </x14:cfRule>
          <xm:sqref>J330</xm:sqref>
        </x14:conditionalFormatting>
        <x14:conditionalFormatting xmlns:xm="http://schemas.microsoft.com/office/excel/2006/main">
          <x14:cfRule type="expression" priority="8414" id="{08C17B7B-5BB0-41E3-9119-776277B628CE}">
            <xm:f>AND(IF(J331&gt;'F:\Users\norela.briceno\Documents\Plan de acción\Plan Accion 2018\[Plan Accion Integrado ADRES Vigencia 2018 con Cuadro de Mando V6..xlsx]Plan de Accion 2018'!#REF!,J331&lt;&gt;¨N/A¨))</xm:f>
            <x14:dxf>
              <fill>
                <patternFill>
                  <bgColor theme="1" tint="0.499984740745262"/>
                </patternFill>
              </fill>
            </x14:dxf>
          </x14:cfRule>
          <x14:cfRule type="expression" priority="8415" stopIfTrue="1" id="{10E434E5-DB01-40B9-A209-CC28B2B74DC7}">
            <xm:f>AND(IF(J331='F:\Users\norela.briceno\Documents\Plan de acción\Plan Accion 2018\[Plan Accion Integrado ADRES Vigencia 2018 con Cuadro de Mando V6..xlsx]Plan de Accion 2018'!#REF!,J331&lt;&gt;"N/A"))</xm:f>
            <x14:dxf>
              <fill>
                <patternFill>
                  <bgColor rgb="FF00B050"/>
                </patternFill>
              </fill>
            </x14:dxf>
          </x14:cfRule>
          <x14:cfRule type="expression" priority="8416" stopIfTrue="1" id="{9EC191ED-6B2C-43CE-9FEE-CBE882DB26AF}">
            <xm:f>AND(IF(J331&lt;'F:\Users\norela.briceno\Documents\Plan de acción\Plan Accion 2018\[Plan Accion Integrado ADRES Vigencia 2018 con Cuadro de Mando V6..xlsx]Plan de Accion 2018'!#REF!,J331&lt;&gt;"N/A"))</xm:f>
            <x14:dxf>
              <fill>
                <patternFill>
                  <bgColor indexed="10"/>
                </patternFill>
              </fill>
            </x14:dxf>
          </x14:cfRule>
          <xm:sqref>J331</xm:sqref>
        </x14:conditionalFormatting>
        <x14:conditionalFormatting xmlns:xm="http://schemas.microsoft.com/office/excel/2006/main">
          <x14:cfRule type="expression" priority="8411" id="{D0033153-8817-4D97-AFE3-BEFBF1070776}">
            <xm:f>AND(IF(J332&gt;'F:\Users\norela.briceno\Documents\Plan de acción\Plan Accion 2018\[Plan Accion Integrado ADRES Vigencia 2018 con Cuadro de Mando V6..xlsx]Plan de Accion 2018'!#REF!,J332&lt;&gt;¨N/A¨))</xm:f>
            <x14:dxf>
              <fill>
                <patternFill>
                  <bgColor theme="1" tint="0.499984740745262"/>
                </patternFill>
              </fill>
            </x14:dxf>
          </x14:cfRule>
          <x14:cfRule type="expression" priority="8412" stopIfTrue="1" id="{B3528B17-2DED-496A-B1F2-95E9CAC3E6CD}">
            <xm:f>AND(IF(J332='F:\Users\norela.briceno\Documents\Plan de acción\Plan Accion 2018\[Plan Accion Integrado ADRES Vigencia 2018 con Cuadro de Mando V6..xlsx]Plan de Accion 2018'!#REF!,J332&lt;&gt;"N/A"))</xm:f>
            <x14:dxf>
              <fill>
                <patternFill>
                  <bgColor rgb="FF00B050"/>
                </patternFill>
              </fill>
            </x14:dxf>
          </x14:cfRule>
          <x14:cfRule type="expression" priority="8413" stopIfTrue="1" id="{69F4746F-EE6B-4F2E-86E3-9E198688F87A}">
            <xm:f>AND(IF(J332&lt;'F:\Users\norela.briceno\Documents\Plan de acción\Plan Accion 2018\[Plan Accion Integrado ADRES Vigencia 2018 con Cuadro de Mando V6..xlsx]Plan de Accion 2018'!#REF!,J332&lt;&gt;"N/A"))</xm:f>
            <x14:dxf>
              <fill>
                <patternFill>
                  <bgColor indexed="10"/>
                </patternFill>
              </fill>
            </x14:dxf>
          </x14:cfRule>
          <xm:sqref>J332</xm:sqref>
        </x14:conditionalFormatting>
        <x14:conditionalFormatting xmlns:xm="http://schemas.microsoft.com/office/excel/2006/main">
          <x14:cfRule type="expression" priority="8366" id="{52AF0F75-A965-4E46-ABA9-2551CCC309AE}">
            <xm:f>AND(IF(J351&gt;'F:\Users\norela.briceno\Documents\Plan de acción\Plan Accion 2018\[Plan Accion Integrado ADRES Vigencia 2018 con Cuadro de Mando V6..xlsx]Plan de Accion 2018'!#REF!,J351&lt;&gt;¨N/A¨))</xm:f>
            <x14:dxf>
              <fill>
                <patternFill>
                  <bgColor theme="1" tint="0.499984740745262"/>
                </patternFill>
              </fill>
            </x14:dxf>
          </x14:cfRule>
          <x14:cfRule type="expression" priority="8367" stopIfTrue="1" id="{7D947319-BB6A-4641-A505-00B78677196D}">
            <xm:f>AND(IF(J351='F:\Users\norela.briceno\Documents\Plan de acción\Plan Accion 2018\[Plan Accion Integrado ADRES Vigencia 2018 con Cuadro de Mando V6..xlsx]Plan de Accion 2018'!#REF!,J351&lt;&gt;"N/A"))</xm:f>
            <x14:dxf>
              <fill>
                <patternFill>
                  <bgColor rgb="FF00B050"/>
                </patternFill>
              </fill>
            </x14:dxf>
          </x14:cfRule>
          <x14:cfRule type="expression" priority="8368" stopIfTrue="1" id="{1B43F01E-DB64-4253-8173-55F7E6B3BB9C}">
            <xm:f>AND(IF(J351&lt;'F:\Users\norela.briceno\Documents\Plan de acción\Plan Accion 2018\[Plan Accion Integrado ADRES Vigencia 2018 con Cuadro de Mando V6..xlsx]Plan de Accion 2018'!#REF!,J351&lt;&gt;"N/A"))</xm:f>
            <x14:dxf>
              <fill>
                <patternFill>
                  <bgColor indexed="10"/>
                </patternFill>
              </fill>
            </x14:dxf>
          </x14:cfRule>
          <xm:sqref>J351</xm:sqref>
        </x14:conditionalFormatting>
        <x14:conditionalFormatting xmlns:xm="http://schemas.microsoft.com/office/excel/2006/main">
          <x14:cfRule type="expression" priority="8363" id="{E07A8C36-D48A-47A6-BD5D-D2B47C1923E5}">
            <xm:f>AND(IF(J353&gt;'F:\Users\norela.briceno\Documents\Plan de acción\Plan Accion 2018\[Plan Accion Integrado ADRES Vigencia 2018 con Cuadro de Mando V6..xlsx]Plan de Accion 2018'!#REF!,J353&lt;&gt;¨N/A¨))</xm:f>
            <x14:dxf>
              <fill>
                <patternFill>
                  <bgColor theme="1" tint="0.499984740745262"/>
                </patternFill>
              </fill>
            </x14:dxf>
          </x14:cfRule>
          <x14:cfRule type="expression" priority="8364" stopIfTrue="1" id="{09367B4D-8C4F-4A49-9EF1-A275623B40BA}">
            <xm:f>AND(IF(J353='F:\Users\norela.briceno\Documents\Plan de acción\Plan Accion 2018\[Plan Accion Integrado ADRES Vigencia 2018 con Cuadro de Mando V6..xlsx]Plan de Accion 2018'!#REF!,J353&lt;&gt;"N/A"))</xm:f>
            <x14:dxf>
              <fill>
                <patternFill>
                  <bgColor rgb="FF00B050"/>
                </patternFill>
              </fill>
            </x14:dxf>
          </x14:cfRule>
          <x14:cfRule type="expression" priority="8365" stopIfTrue="1" id="{4D8230C8-FB7A-42A8-93FC-BB85EDC3356A}">
            <xm:f>AND(IF(J353&lt;'F:\Users\norela.briceno\Documents\Plan de acción\Plan Accion 2018\[Plan Accion Integrado ADRES Vigencia 2018 con Cuadro de Mando V6..xlsx]Plan de Accion 2018'!#REF!,J353&lt;&gt;"N/A"))</xm:f>
            <x14:dxf>
              <fill>
                <patternFill>
                  <bgColor indexed="10"/>
                </patternFill>
              </fill>
            </x14:dxf>
          </x14:cfRule>
          <xm:sqref>J353</xm:sqref>
        </x14:conditionalFormatting>
        <x14:conditionalFormatting xmlns:xm="http://schemas.microsoft.com/office/excel/2006/main">
          <x14:cfRule type="expression" priority="8360" id="{2C532752-24E0-4268-A894-ECAA56CD73E7}">
            <xm:f>AND(IF(J354&gt;'F:\Users\norela.briceno\Documents\Plan de acción\Plan Accion 2018\[Plan Accion Integrado ADRES Vigencia 2018 con Cuadro de Mando V6..xlsx]Plan de Accion 2018'!#REF!,J354&lt;&gt;¨N/A¨))</xm:f>
            <x14:dxf>
              <fill>
                <patternFill>
                  <bgColor theme="1" tint="0.499984740745262"/>
                </patternFill>
              </fill>
            </x14:dxf>
          </x14:cfRule>
          <x14:cfRule type="expression" priority="8361" stopIfTrue="1" id="{148AB6FB-0040-468F-BF00-A56C1773F932}">
            <xm:f>AND(IF(J354='F:\Users\norela.briceno\Documents\Plan de acción\Plan Accion 2018\[Plan Accion Integrado ADRES Vigencia 2018 con Cuadro de Mando V6..xlsx]Plan de Accion 2018'!#REF!,J354&lt;&gt;"N/A"))</xm:f>
            <x14:dxf>
              <fill>
                <patternFill>
                  <bgColor rgb="FF00B050"/>
                </patternFill>
              </fill>
            </x14:dxf>
          </x14:cfRule>
          <x14:cfRule type="expression" priority="8362" stopIfTrue="1" id="{9EBBA7C4-EA84-4846-B4F3-0FEF25FB2E50}">
            <xm:f>AND(IF(J354&lt;'F:\Users\norela.briceno\Documents\Plan de acción\Plan Accion 2018\[Plan Accion Integrado ADRES Vigencia 2018 con Cuadro de Mando V6..xlsx]Plan de Accion 2018'!#REF!,J354&lt;&gt;"N/A"))</xm:f>
            <x14:dxf>
              <fill>
                <patternFill>
                  <bgColor indexed="10"/>
                </patternFill>
              </fill>
            </x14:dxf>
          </x14:cfRule>
          <xm:sqref>J354</xm:sqref>
        </x14:conditionalFormatting>
        <x14:conditionalFormatting xmlns:xm="http://schemas.microsoft.com/office/excel/2006/main">
          <x14:cfRule type="expression" priority="8354" id="{84D24A24-3E25-45EA-9FBD-A193BBEB3662}">
            <xm:f>AND(IF(J355&gt;'F:\Users\norela.briceno\Documents\Plan de acción\Plan Accion 2018\[Plan Accion Integrado ADRES Vigencia 2018 con Cuadro de Mando V6..xlsx]Plan de Accion 2018'!#REF!,J355&lt;&gt;¨N/A¨))</xm:f>
            <x14:dxf>
              <fill>
                <patternFill>
                  <bgColor theme="1" tint="0.499984740745262"/>
                </patternFill>
              </fill>
            </x14:dxf>
          </x14:cfRule>
          <x14:cfRule type="expression" priority="8355" stopIfTrue="1" id="{3FD227E2-7FFB-4844-A55A-CA38B539459E}">
            <xm:f>AND(IF(J355='F:\Users\norela.briceno\Documents\Plan de acción\Plan Accion 2018\[Plan Accion Integrado ADRES Vigencia 2018 con Cuadro de Mando V6..xlsx]Plan de Accion 2018'!#REF!,J355&lt;&gt;"N/A"))</xm:f>
            <x14:dxf>
              <fill>
                <patternFill>
                  <bgColor rgb="FF00B050"/>
                </patternFill>
              </fill>
            </x14:dxf>
          </x14:cfRule>
          <x14:cfRule type="expression" priority="8356" stopIfTrue="1" id="{F4CB9B13-B783-4FEE-8A18-AF7AE1F8392C}">
            <xm:f>AND(IF(J355&lt;'F:\Users\norela.briceno\Documents\Plan de acción\Plan Accion 2018\[Plan Accion Integrado ADRES Vigencia 2018 con Cuadro de Mando V6..xlsx]Plan de Accion 2018'!#REF!,J355&lt;&gt;"N/A"))</xm:f>
            <x14:dxf>
              <fill>
                <patternFill>
                  <bgColor indexed="10"/>
                </patternFill>
              </fill>
            </x14:dxf>
          </x14:cfRule>
          <xm:sqref>J355</xm:sqref>
        </x14:conditionalFormatting>
        <x14:conditionalFormatting xmlns:xm="http://schemas.microsoft.com/office/excel/2006/main">
          <x14:cfRule type="expression" priority="8342" id="{419D2B31-3775-41DE-8E0A-E36B3E6A6BDA}">
            <xm:f>AND(IF(J357&gt;'F:\Users\norela.briceno\Documents\Plan de acción\Plan Accion 2018\[Plan Accion Integrado ADRES Vigencia 2018 con Cuadro de Mando V6..xlsx]Plan de Accion 2018'!#REF!,J357&lt;&gt;¨N/A¨))</xm:f>
            <x14:dxf>
              <fill>
                <patternFill>
                  <bgColor theme="1" tint="0.499984740745262"/>
                </patternFill>
              </fill>
            </x14:dxf>
          </x14:cfRule>
          <x14:cfRule type="expression" priority="8343" stopIfTrue="1" id="{5A101F35-E969-4406-B660-8864EECECB3B}">
            <xm:f>AND(IF(J357='F:\Users\norela.briceno\Documents\Plan de acción\Plan Accion 2018\[Plan Accion Integrado ADRES Vigencia 2018 con Cuadro de Mando V6..xlsx]Plan de Accion 2018'!#REF!,J357&lt;&gt;"N/A"))</xm:f>
            <x14:dxf>
              <fill>
                <patternFill>
                  <bgColor rgb="FF00B050"/>
                </patternFill>
              </fill>
            </x14:dxf>
          </x14:cfRule>
          <x14:cfRule type="expression" priority="8344" stopIfTrue="1" id="{368529CD-CB94-4C61-860E-066365634661}">
            <xm:f>AND(IF(J357&lt;'F:\Users\norela.briceno\Documents\Plan de acción\Plan Accion 2018\[Plan Accion Integrado ADRES Vigencia 2018 con Cuadro de Mando V6..xlsx]Plan de Accion 2018'!#REF!,J357&lt;&gt;"N/A"))</xm:f>
            <x14:dxf>
              <fill>
                <patternFill>
                  <bgColor indexed="10"/>
                </patternFill>
              </fill>
            </x14:dxf>
          </x14:cfRule>
          <xm:sqref>J357</xm:sqref>
        </x14:conditionalFormatting>
        <x14:conditionalFormatting xmlns:xm="http://schemas.microsoft.com/office/excel/2006/main">
          <x14:cfRule type="expression" priority="8339" id="{C85AF9B7-AD51-4411-BE09-3977CFFC7DAD}">
            <xm:f>AND(IF(J358&gt;'F:\Users\norela.briceno\Documents\Plan de acción\Plan Accion 2018\[Plan Accion Integrado ADRES Vigencia 2018 con Cuadro de Mando V6..xlsx]Plan de Accion 2018'!#REF!,J358&lt;&gt;¨N/A¨))</xm:f>
            <x14:dxf>
              <fill>
                <patternFill>
                  <bgColor theme="1" tint="0.499984740745262"/>
                </patternFill>
              </fill>
            </x14:dxf>
          </x14:cfRule>
          <x14:cfRule type="expression" priority="8340" stopIfTrue="1" id="{FB87EA08-2114-4B88-936B-0A4BEB570CAD}">
            <xm:f>AND(IF(J358='F:\Users\norela.briceno\Documents\Plan de acción\Plan Accion 2018\[Plan Accion Integrado ADRES Vigencia 2018 con Cuadro de Mando V6..xlsx]Plan de Accion 2018'!#REF!,J358&lt;&gt;"N/A"))</xm:f>
            <x14:dxf>
              <fill>
                <patternFill>
                  <bgColor rgb="FF00B050"/>
                </patternFill>
              </fill>
            </x14:dxf>
          </x14:cfRule>
          <x14:cfRule type="expression" priority="8341" stopIfTrue="1" id="{4E90C988-3062-499C-AF0E-55C13BBFE760}">
            <xm:f>AND(IF(J358&lt;'F:\Users\norela.briceno\Documents\Plan de acción\Plan Accion 2018\[Plan Accion Integrado ADRES Vigencia 2018 con Cuadro de Mando V6..xlsx]Plan de Accion 2018'!#REF!,J358&lt;&gt;"N/A"))</xm:f>
            <x14:dxf>
              <fill>
                <patternFill>
                  <bgColor indexed="10"/>
                </patternFill>
              </fill>
            </x14:dxf>
          </x14:cfRule>
          <xm:sqref>J358</xm:sqref>
        </x14:conditionalFormatting>
        <x14:conditionalFormatting xmlns:xm="http://schemas.microsoft.com/office/excel/2006/main">
          <x14:cfRule type="expression" priority="8336" id="{C218752D-9165-4C58-8066-7C8AA7FE8CB1}">
            <xm:f>AND(IF(J359&gt;'F:\Users\norela.briceno\Documents\Plan de acción\Plan Accion 2018\[Plan Accion Integrado ADRES Vigencia 2018 con Cuadro de Mando V6..xlsx]Plan de Accion 2018'!#REF!,J359&lt;&gt;¨N/A¨))</xm:f>
            <x14:dxf>
              <fill>
                <patternFill>
                  <bgColor theme="1" tint="0.499984740745262"/>
                </patternFill>
              </fill>
            </x14:dxf>
          </x14:cfRule>
          <x14:cfRule type="expression" priority="8337" stopIfTrue="1" id="{282BF6BB-48E3-478D-90A7-FA5C2CBC883A}">
            <xm:f>AND(IF(J359='F:\Users\norela.briceno\Documents\Plan de acción\Plan Accion 2018\[Plan Accion Integrado ADRES Vigencia 2018 con Cuadro de Mando V6..xlsx]Plan de Accion 2018'!#REF!,J359&lt;&gt;"N/A"))</xm:f>
            <x14:dxf>
              <fill>
                <patternFill>
                  <bgColor rgb="FF00B050"/>
                </patternFill>
              </fill>
            </x14:dxf>
          </x14:cfRule>
          <x14:cfRule type="expression" priority="8338" stopIfTrue="1" id="{D0100765-2070-4907-8517-A08798455B99}">
            <xm:f>AND(IF(J359&lt;'F:\Users\norela.briceno\Documents\Plan de acción\Plan Accion 2018\[Plan Accion Integrado ADRES Vigencia 2018 con Cuadro de Mando V6..xlsx]Plan de Accion 2018'!#REF!,J359&lt;&gt;"N/A"))</xm:f>
            <x14:dxf>
              <fill>
                <patternFill>
                  <bgColor indexed="10"/>
                </patternFill>
              </fill>
            </x14:dxf>
          </x14:cfRule>
          <xm:sqref>J359</xm:sqref>
        </x14:conditionalFormatting>
        <x14:conditionalFormatting xmlns:xm="http://schemas.microsoft.com/office/excel/2006/main">
          <x14:cfRule type="expression" priority="8333" id="{D3733EE2-D918-48F8-86E9-CA97038B08BA}">
            <xm:f>AND(IF(J360&gt;'F:\Users\norela.briceno\Documents\Plan de acción\Plan Accion 2018\[Plan Accion Integrado ADRES Vigencia 2018 con Cuadro de Mando V6..xlsx]Plan de Accion 2018'!#REF!,J360&lt;&gt;¨N/A¨))</xm:f>
            <x14:dxf>
              <fill>
                <patternFill>
                  <bgColor theme="1" tint="0.499984740745262"/>
                </patternFill>
              </fill>
            </x14:dxf>
          </x14:cfRule>
          <x14:cfRule type="expression" priority="8334" stopIfTrue="1" id="{4EC11AFF-2C55-4AF4-9A28-3E18447E6447}">
            <xm:f>AND(IF(J360='F:\Users\norela.briceno\Documents\Plan de acción\Plan Accion 2018\[Plan Accion Integrado ADRES Vigencia 2018 con Cuadro de Mando V6..xlsx]Plan de Accion 2018'!#REF!,J360&lt;&gt;"N/A"))</xm:f>
            <x14:dxf>
              <fill>
                <patternFill>
                  <bgColor rgb="FF00B050"/>
                </patternFill>
              </fill>
            </x14:dxf>
          </x14:cfRule>
          <x14:cfRule type="expression" priority="8335" stopIfTrue="1" id="{8AFF68B0-5B33-4F7C-A2C9-D7068DF54141}">
            <xm:f>AND(IF(J360&lt;'F:\Users\norela.briceno\Documents\Plan de acción\Plan Accion 2018\[Plan Accion Integrado ADRES Vigencia 2018 con Cuadro de Mando V6..xlsx]Plan de Accion 2018'!#REF!,J360&lt;&gt;"N/A"))</xm:f>
            <x14:dxf>
              <fill>
                <patternFill>
                  <bgColor indexed="10"/>
                </patternFill>
              </fill>
            </x14:dxf>
          </x14:cfRule>
          <xm:sqref>J360 J362</xm:sqref>
        </x14:conditionalFormatting>
        <x14:conditionalFormatting xmlns:xm="http://schemas.microsoft.com/office/excel/2006/main">
          <x14:cfRule type="expression" priority="8330" id="{50875E89-6087-46CD-B6F4-1C614A5BE7CA}">
            <xm:f>AND(IF(J363&gt;'F:\Users\norela.briceno\Documents\Plan de acción\Plan Accion 2018\[Plan Accion Integrado ADRES Vigencia 2018 con Cuadro de Mando V6..xlsx]Plan de Accion 2018'!#REF!,J363&lt;&gt;¨N/A¨))</xm:f>
            <x14:dxf>
              <fill>
                <patternFill>
                  <bgColor theme="1" tint="0.499984740745262"/>
                </patternFill>
              </fill>
            </x14:dxf>
          </x14:cfRule>
          <x14:cfRule type="expression" priority="8331" stopIfTrue="1" id="{8F34E03F-ED4A-4E9E-890B-2F4B3B24735B}">
            <xm:f>AND(IF(J363='F:\Users\norela.briceno\Documents\Plan de acción\Plan Accion 2018\[Plan Accion Integrado ADRES Vigencia 2018 con Cuadro de Mando V6..xlsx]Plan de Accion 2018'!#REF!,J363&lt;&gt;"N/A"))</xm:f>
            <x14:dxf>
              <fill>
                <patternFill>
                  <bgColor rgb="FF00B050"/>
                </patternFill>
              </fill>
            </x14:dxf>
          </x14:cfRule>
          <x14:cfRule type="expression" priority="8332" stopIfTrue="1" id="{3B536A2C-0798-4305-AE92-C5255A9B3642}">
            <xm:f>AND(IF(J363&lt;'F:\Users\norela.briceno\Documents\Plan de acción\Plan Accion 2018\[Plan Accion Integrado ADRES Vigencia 2018 con Cuadro de Mando V6..xlsx]Plan de Accion 2018'!#REF!,J363&lt;&gt;"N/A"))</xm:f>
            <x14:dxf>
              <fill>
                <patternFill>
                  <bgColor indexed="10"/>
                </patternFill>
              </fill>
            </x14:dxf>
          </x14:cfRule>
          <xm:sqref>J363</xm:sqref>
        </x14:conditionalFormatting>
        <x14:conditionalFormatting xmlns:xm="http://schemas.microsoft.com/office/excel/2006/main">
          <x14:cfRule type="expression" priority="8327" id="{582BAD77-ACAA-4DBB-B8EB-A29F2D58686C}">
            <xm:f>AND(IF(J364&gt;'F:\Users\norela.briceno\Documents\Plan de acción\Plan Accion 2018\[Plan Accion Integrado ADRES Vigencia 2018 con Cuadro de Mando V6..xlsx]Plan de Accion 2018'!#REF!,J364&lt;&gt;¨N/A¨))</xm:f>
            <x14:dxf>
              <fill>
                <patternFill>
                  <bgColor theme="1" tint="0.499984740745262"/>
                </patternFill>
              </fill>
            </x14:dxf>
          </x14:cfRule>
          <x14:cfRule type="expression" priority="8328" stopIfTrue="1" id="{425E17B3-1196-444B-AF56-03DB8142A340}">
            <xm:f>AND(IF(J364='F:\Users\norela.briceno\Documents\Plan de acción\Plan Accion 2018\[Plan Accion Integrado ADRES Vigencia 2018 con Cuadro de Mando V6..xlsx]Plan de Accion 2018'!#REF!,J364&lt;&gt;"N/A"))</xm:f>
            <x14:dxf>
              <fill>
                <patternFill>
                  <bgColor rgb="FF00B050"/>
                </patternFill>
              </fill>
            </x14:dxf>
          </x14:cfRule>
          <x14:cfRule type="expression" priority="8329" stopIfTrue="1" id="{84D6E65C-E3FC-46A5-AFAE-3825D5BE7552}">
            <xm:f>AND(IF(J364&lt;'F:\Users\norela.briceno\Documents\Plan de acción\Plan Accion 2018\[Plan Accion Integrado ADRES Vigencia 2018 con Cuadro de Mando V6..xlsx]Plan de Accion 2018'!#REF!,J364&lt;&gt;"N/A"))</xm:f>
            <x14:dxf>
              <fill>
                <patternFill>
                  <bgColor indexed="10"/>
                </patternFill>
              </fill>
            </x14:dxf>
          </x14:cfRule>
          <xm:sqref>J364</xm:sqref>
        </x14:conditionalFormatting>
        <x14:conditionalFormatting xmlns:xm="http://schemas.microsoft.com/office/excel/2006/main">
          <x14:cfRule type="expression" priority="8324" id="{FA932AC1-F7D9-4EF9-8EE0-743DC86531F5}">
            <xm:f>AND(IF(Q364&gt;'F:\Users\norela.briceno\Documents\Plan de acción\Plan Accion 2018\[Plan Accion Integrado ADRES Vigencia 2018 con Cuadro de Mando V6..xlsx]Plan de Accion 2018'!#REF!,Q364&lt;&gt;¨N/A¨))</xm:f>
            <x14:dxf>
              <fill>
                <patternFill>
                  <bgColor theme="1" tint="0.499984740745262"/>
                </patternFill>
              </fill>
            </x14:dxf>
          </x14:cfRule>
          <x14:cfRule type="expression" priority="8325" stopIfTrue="1" id="{52E8698C-323F-431B-8CDB-22BCE98DEAB0}">
            <xm:f>AND(IF(Q364='F:\Users\norela.briceno\Documents\Plan de acción\Plan Accion 2018\[Plan Accion Integrado ADRES Vigencia 2018 con Cuadro de Mando V6..xlsx]Plan de Accion 2018'!#REF!,Q364&lt;&gt;"N/A"))</xm:f>
            <x14:dxf>
              <fill>
                <patternFill>
                  <bgColor rgb="FF00B050"/>
                </patternFill>
              </fill>
            </x14:dxf>
          </x14:cfRule>
          <x14:cfRule type="expression" priority="8326" stopIfTrue="1" id="{D33D47A7-67CE-4993-AE7C-4745F9770261}">
            <xm:f>AND(IF(Q364&lt;'F:\Users\norela.briceno\Documents\Plan de acción\Plan Accion 2018\[Plan Accion Integrado ADRES Vigencia 2018 con Cuadro de Mando V6..xlsx]Plan de Accion 2018'!#REF!,Q364&lt;&gt;"N/A"))</xm:f>
            <x14:dxf>
              <fill>
                <patternFill>
                  <bgColor indexed="10"/>
                </patternFill>
              </fill>
            </x14:dxf>
          </x14:cfRule>
          <xm:sqref>Q364</xm:sqref>
        </x14:conditionalFormatting>
        <x14:conditionalFormatting xmlns:xm="http://schemas.microsoft.com/office/excel/2006/main">
          <x14:cfRule type="expression" priority="8321" id="{49DDB158-CBAE-40F9-B8B3-8EF887B7A4FB}">
            <xm:f>AND(IF(Q363&gt;'F:\Users\norela.briceno\Documents\Plan de acción\Plan Accion 2018\[Plan Accion Integrado ADRES Vigencia 2018 con Cuadro de Mando V6..xlsx]Plan de Accion 2018'!#REF!,Q363&lt;&gt;¨N/A¨))</xm:f>
            <x14:dxf>
              <fill>
                <patternFill>
                  <bgColor theme="1" tint="0.499984740745262"/>
                </patternFill>
              </fill>
            </x14:dxf>
          </x14:cfRule>
          <x14:cfRule type="expression" priority="8322" stopIfTrue="1" id="{9EE1C65B-A39E-4915-B007-4C80CAFA7B3E}">
            <xm:f>AND(IF(Q363='F:\Users\norela.briceno\Documents\Plan de acción\Plan Accion 2018\[Plan Accion Integrado ADRES Vigencia 2018 con Cuadro de Mando V6..xlsx]Plan de Accion 2018'!#REF!,Q363&lt;&gt;"N/A"))</xm:f>
            <x14:dxf>
              <fill>
                <patternFill>
                  <bgColor rgb="FF00B050"/>
                </patternFill>
              </fill>
            </x14:dxf>
          </x14:cfRule>
          <x14:cfRule type="expression" priority="8323" stopIfTrue="1" id="{FECDC918-56D5-46F8-8825-5A09E9E18F28}">
            <xm:f>AND(IF(Q363&lt;'F:\Users\norela.briceno\Documents\Plan de acción\Plan Accion 2018\[Plan Accion Integrado ADRES Vigencia 2018 con Cuadro de Mando V6..xlsx]Plan de Accion 2018'!#REF!,Q363&lt;&gt;"N/A"))</xm:f>
            <x14:dxf>
              <fill>
                <patternFill>
                  <bgColor indexed="10"/>
                </patternFill>
              </fill>
            </x14:dxf>
          </x14:cfRule>
          <xm:sqref>Q363</xm:sqref>
        </x14:conditionalFormatting>
        <x14:conditionalFormatting xmlns:xm="http://schemas.microsoft.com/office/excel/2006/main">
          <x14:cfRule type="expression" priority="8318" id="{FC584531-032D-438C-BA1B-334CBBEA355C}">
            <xm:f>AND(IF(Q360&gt;'F:\Users\norela.briceno\Documents\Plan de acción\Plan Accion 2018\[Plan Accion Integrado ADRES Vigencia 2018 con Cuadro de Mando V6..xlsx]Plan de Accion 2018'!#REF!,Q360&lt;&gt;¨N/A¨))</xm:f>
            <x14:dxf>
              <fill>
                <patternFill>
                  <bgColor theme="1" tint="0.499984740745262"/>
                </patternFill>
              </fill>
            </x14:dxf>
          </x14:cfRule>
          <x14:cfRule type="expression" priority="8319" stopIfTrue="1" id="{48FEE00D-0170-4F73-8AE7-EA10125D9AF2}">
            <xm:f>AND(IF(Q360='F:\Users\norela.briceno\Documents\Plan de acción\Plan Accion 2018\[Plan Accion Integrado ADRES Vigencia 2018 con Cuadro de Mando V6..xlsx]Plan de Accion 2018'!#REF!,Q360&lt;&gt;"N/A"))</xm:f>
            <x14:dxf>
              <fill>
                <patternFill>
                  <bgColor rgb="FF00B050"/>
                </patternFill>
              </fill>
            </x14:dxf>
          </x14:cfRule>
          <x14:cfRule type="expression" priority="8320" stopIfTrue="1" id="{96DC58FC-D635-4607-9085-2A909D250D10}">
            <xm:f>AND(IF(Q360&lt;'F:\Users\norela.briceno\Documents\Plan de acción\Plan Accion 2018\[Plan Accion Integrado ADRES Vigencia 2018 con Cuadro de Mando V6..xlsx]Plan de Accion 2018'!#REF!,Q360&lt;&gt;"N/A"))</xm:f>
            <x14:dxf>
              <fill>
                <patternFill>
                  <bgColor indexed="10"/>
                </patternFill>
              </fill>
            </x14:dxf>
          </x14:cfRule>
          <xm:sqref>Q360 Q362</xm:sqref>
        </x14:conditionalFormatting>
        <x14:conditionalFormatting xmlns:xm="http://schemas.microsoft.com/office/excel/2006/main">
          <x14:cfRule type="expression" priority="8315" id="{25949B3C-659B-4579-B94D-88FA857F4C68}">
            <xm:f>AND(IF(Q359&gt;'F:\Users\norela.briceno\Documents\Plan de acción\Plan Accion 2018\[Plan Accion Integrado ADRES Vigencia 2018 con Cuadro de Mando V6..xlsx]Plan de Accion 2018'!#REF!,Q359&lt;&gt;¨N/A¨))</xm:f>
            <x14:dxf>
              <fill>
                <patternFill>
                  <bgColor theme="1" tint="0.499984740745262"/>
                </patternFill>
              </fill>
            </x14:dxf>
          </x14:cfRule>
          <x14:cfRule type="expression" priority="8316" stopIfTrue="1" id="{C239CC11-DB06-466A-9BBB-CEB32D1502EA}">
            <xm:f>AND(IF(Q359='F:\Users\norela.briceno\Documents\Plan de acción\Plan Accion 2018\[Plan Accion Integrado ADRES Vigencia 2018 con Cuadro de Mando V6..xlsx]Plan de Accion 2018'!#REF!,Q359&lt;&gt;"N/A"))</xm:f>
            <x14:dxf>
              <fill>
                <patternFill>
                  <bgColor rgb="FF00B050"/>
                </patternFill>
              </fill>
            </x14:dxf>
          </x14:cfRule>
          <x14:cfRule type="expression" priority="8317" stopIfTrue="1" id="{490C37F2-2C18-4886-8755-B968E1D2CEA2}">
            <xm:f>AND(IF(Q359&lt;'F:\Users\norela.briceno\Documents\Plan de acción\Plan Accion 2018\[Plan Accion Integrado ADRES Vigencia 2018 con Cuadro de Mando V6..xlsx]Plan de Accion 2018'!#REF!,Q359&lt;&gt;"N/A"))</xm:f>
            <x14:dxf>
              <fill>
                <patternFill>
                  <bgColor indexed="10"/>
                </patternFill>
              </fill>
            </x14:dxf>
          </x14:cfRule>
          <xm:sqref>Q359</xm:sqref>
        </x14:conditionalFormatting>
        <x14:conditionalFormatting xmlns:xm="http://schemas.microsoft.com/office/excel/2006/main">
          <x14:cfRule type="expression" priority="8312" id="{2B7B2B13-E1A1-4C2A-9175-A7A61F2AC04B}">
            <xm:f>AND(IF(Q358&gt;'F:\Users\norela.briceno\Documents\Plan de acción\Plan Accion 2018\[Plan Accion Integrado ADRES Vigencia 2018 con Cuadro de Mando V6..xlsx]Plan de Accion 2018'!#REF!,Q358&lt;&gt;¨N/A¨))</xm:f>
            <x14:dxf>
              <fill>
                <patternFill>
                  <bgColor theme="1" tint="0.499984740745262"/>
                </patternFill>
              </fill>
            </x14:dxf>
          </x14:cfRule>
          <x14:cfRule type="expression" priority="8313" stopIfTrue="1" id="{76F3ADF6-165B-4635-BC6B-8060666FBCC4}">
            <xm:f>AND(IF(Q358='F:\Users\norela.briceno\Documents\Plan de acción\Plan Accion 2018\[Plan Accion Integrado ADRES Vigencia 2018 con Cuadro de Mando V6..xlsx]Plan de Accion 2018'!#REF!,Q358&lt;&gt;"N/A"))</xm:f>
            <x14:dxf>
              <fill>
                <patternFill>
                  <bgColor rgb="FF00B050"/>
                </patternFill>
              </fill>
            </x14:dxf>
          </x14:cfRule>
          <x14:cfRule type="expression" priority="8314" stopIfTrue="1" id="{551B4BD0-ACED-47FD-B773-B7B2817E72DA}">
            <xm:f>AND(IF(Q358&lt;'F:\Users\norela.briceno\Documents\Plan de acción\Plan Accion 2018\[Plan Accion Integrado ADRES Vigencia 2018 con Cuadro de Mando V6..xlsx]Plan de Accion 2018'!#REF!,Q358&lt;&gt;"N/A"))</xm:f>
            <x14:dxf>
              <fill>
                <patternFill>
                  <bgColor indexed="10"/>
                </patternFill>
              </fill>
            </x14:dxf>
          </x14:cfRule>
          <xm:sqref>Q358</xm:sqref>
        </x14:conditionalFormatting>
        <x14:conditionalFormatting xmlns:xm="http://schemas.microsoft.com/office/excel/2006/main">
          <x14:cfRule type="expression" priority="8309" id="{316FCC8D-21B2-427A-B83B-6E0FE0393375}">
            <xm:f>AND(IF(Q357&gt;'F:\Users\norela.briceno\Documents\Plan de acción\Plan Accion 2018\[Plan Accion Integrado ADRES Vigencia 2018 con Cuadro de Mando V6..xlsx]Plan de Accion 2018'!#REF!,Q357&lt;&gt;¨N/A¨))</xm:f>
            <x14:dxf>
              <fill>
                <patternFill>
                  <bgColor theme="1" tint="0.499984740745262"/>
                </patternFill>
              </fill>
            </x14:dxf>
          </x14:cfRule>
          <x14:cfRule type="expression" priority="8310" stopIfTrue="1" id="{4D7C8248-86B3-4DAF-89FE-DF5CC3BCC76F}">
            <xm:f>AND(IF(Q357='F:\Users\norela.briceno\Documents\Plan de acción\Plan Accion 2018\[Plan Accion Integrado ADRES Vigencia 2018 con Cuadro de Mando V6..xlsx]Plan de Accion 2018'!#REF!,Q357&lt;&gt;"N/A"))</xm:f>
            <x14:dxf>
              <fill>
                <patternFill>
                  <bgColor rgb="FF00B050"/>
                </patternFill>
              </fill>
            </x14:dxf>
          </x14:cfRule>
          <x14:cfRule type="expression" priority="8311" stopIfTrue="1" id="{B642CCC0-6F7C-4C23-A9E1-BE408E5C54AA}">
            <xm:f>AND(IF(Q357&lt;'F:\Users\norela.briceno\Documents\Plan de acción\Plan Accion 2018\[Plan Accion Integrado ADRES Vigencia 2018 con Cuadro de Mando V6..xlsx]Plan de Accion 2018'!#REF!,Q357&lt;&gt;"N/A"))</xm:f>
            <x14:dxf>
              <fill>
                <patternFill>
                  <bgColor indexed="10"/>
                </patternFill>
              </fill>
            </x14:dxf>
          </x14:cfRule>
          <xm:sqref>Q357</xm:sqref>
        </x14:conditionalFormatting>
        <x14:conditionalFormatting xmlns:xm="http://schemas.microsoft.com/office/excel/2006/main">
          <x14:cfRule type="expression" priority="8288" id="{D7ED292D-60E2-4CB8-ADFD-EAE965422B22}">
            <xm:f>AND(IF(Q353&gt;'F:\Users\norela.briceno\Documents\Plan de acción\Plan Accion 2018\[Plan Accion Integrado ADRES Vigencia 2018 con Cuadro de Mando V6..xlsx]Plan de Accion 2018'!#REF!,Q353&lt;&gt;¨N/A¨))</xm:f>
            <x14:dxf>
              <fill>
                <patternFill>
                  <bgColor theme="1" tint="0.499984740745262"/>
                </patternFill>
              </fill>
            </x14:dxf>
          </x14:cfRule>
          <x14:cfRule type="expression" priority="8289" stopIfTrue="1" id="{0D9BE612-2712-4552-837E-5A01C1D9A53A}">
            <xm:f>AND(IF(Q353='F:\Users\norela.briceno\Documents\Plan de acción\Plan Accion 2018\[Plan Accion Integrado ADRES Vigencia 2018 con Cuadro de Mando V6..xlsx]Plan de Accion 2018'!#REF!,Q353&lt;&gt;"N/A"))</xm:f>
            <x14:dxf>
              <fill>
                <patternFill>
                  <bgColor rgb="FF00B050"/>
                </patternFill>
              </fill>
            </x14:dxf>
          </x14:cfRule>
          <x14:cfRule type="expression" priority="8290" stopIfTrue="1" id="{FFC3F677-8073-46ED-BC87-A8B393F04338}">
            <xm:f>AND(IF(Q353&lt;'F:\Users\norela.briceno\Documents\Plan de acción\Plan Accion 2018\[Plan Accion Integrado ADRES Vigencia 2018 con Cuadro de Mando V6..xlsx]Plan de Accion 2018'!#REF!,Q353&lt;&gt;"N/A"))</xm:f>
            <x14:dxf>
              <fill>
                <patternFill>
                  <bgColor indexed="10"/>
                </patternFill>
              </fill>
            </x14:dxf>
          </x14:cfRule>
          <xm:sqref>Q353</xm:sqref>
        </x14:conditionalFormatting>
        <x14:conditionalFormatting xmlns:xm="http://schemas.microsoft.com/office/excel/2006/main">
          <x14:cfRule type="expression" priority="8285" id="{FEA3261B-BCAF-468B-BEF8-8A4975589B26}">
            <xm:f>AND(IF(Q351&gt;'F:\Users\norela.briceno\Documents\Plan de acción\Plan Accion 2018\[Plan Accion Integrado ADRES Vigencia 2018 con Cuadro de Mando V6..xlsx]Plan de Accion 2018'!#REF!,Q351&lt;&gt;¨N/A¨))</xm:f>
            <x14:dxf>
              <fill>
                <patternFill>
                  <bgColor theme="1" tint="0.499984740745262"/>
                </patternFill>
              </fill>
            </x14:dxf>
          </x14:cfRule>
          <x14:cfRule type="expression" priority="8286" stopIfTrue="1" id="{77DD2168-BA2D-4D42-9353-FF64ACE1B151}">
            <xm:f>AND(IF(Q351='F:\Users\norela.briceno\Documents\Plan de acción\Plan Accion 2018\[Plan Accion Integrado ADRES Vigencia 2018 con Cuadro de Mando V6..xlsx]Plan de Accion 2018'!#REF!,Q351&lt;&gt;"N/A"))</xm:f>
            <x14:dxf>
              <fill>
                <patternFill>
                  <bgColor rgb="FF00B050"/>
                </patternFill>
              </fill>
            </x14:dxf>
          </x14:cfRule>
          <x14:cfRule type="expression" priority="8287" stopIfTrue="1" id="{B3DA84CC-99E8-47F9-84D3-0B836DE9ED97}">
            <xm:f>AND(IF(Q351&lt;'F:\Users\norela.briceno\Documents\Plan de acción\Plan Accion 2018\[Plan Accion Integrado ADRES Vigencia 2018 con Cuadro de Mando V6..xlsx]Plan de Accion 2018'!#REF!,Q351&lt;&gt;"N/A"))</xm:f>
            <x14:dxf>
              <fill>
                <patternFill>
                  <bgColor indexed="10"/>
                </patternFill>
              </fill>
            </x14:dxf>
          </x14:cfRule>
          <xm:sqref>Q351</xm:sqref>
        </x14:conditionalFormatting>
        <x14:conditionalFormatting xmlns:xm="http://schemas.microsoft.com/office/excel/2006/main">
          <x14:cfRule type="expression" priority="8240" id="{CE39ECD4-818F-4457-882A-5D9B07DF7FA2}">
            <xm:f>AND(IF(Q332&gt;'F:\Users\norela.briceno\Documents\Plan de acción\Plan Accion 2018\[Plan Accion Integrado ADRES Vigencia 2018 con Cuadro de Mando V6..xlsx]Plan de Accion 2018'!#REF!,Q332&lt;&gt;¨N/A¨))</xm:f>
            <x14:dxf>
              <fill>
                <patternFill>
                  <bgColor theme="1" tint="0.499984740745262"/>
                </patternFill>
              </fill>
            </x14:dxf>
          </x14:cfRule>
          <x14:cfRule type="expression" priority="8241" stopIfTrue="1" id="{6B8F79EB-1A30-4FD1-A2DE-754E6CEB7DD9}">
            <xm:f>AND(IF(Q332='F:\Users\norela.briceno\Documents\Plan de acción\Plan Accion 2018\[Plan Accion Integrado ADRES Vigencia 2018 con Cuadro de Mando V6..xlsx]Plan de Accion 2018'!#REF!,Q332&lt;&gt;"N/A"))</xm:f>
            <x14:dxf>
              <fill>
                <patternFill>
                  <bgColor rgb="FF00B050"/>
                </patternFill>
              </fill>
            </x14:dxf>
          </x14:cfRule>
          <x14:cfRule type="expression" priority="8242" stopIfTrue="1" id="{A2545940-2C01-454F-B03E-55F5226AD51F}">
            <xm:f>AND(IF(Q332&lt;'F:\Users\norela.briceno\Documents\Plan de acción\Plan Accion 2018\[Plan Accion Integrado ADRES Vigencia 2018 con Cuadro de Mando V6..xlsx]Plan de Accion 2018'!#REF!,Q332&lt;&gt;"N/A"))</xm:f>
            <x14:dxf>
              <fill>
                <patternFill>
                  <bgColor indexed="10"/>
                </patternFill>
              </fill>
            </x14:dxf>
          </x14:cfRule>
          <xm:sqref>Q332</xm:sqref>
        </x14:conditionalFormatting>
        <x14:conditionalFormatting xmlns:xm="http://schemas.microsoft.com/office/excel/2006/main">
          <x14:cfRule type="expression" priority="8237" id="{339DBA48-3968-48AB-8182-22EBCDAF47E4}">
            <xm:f>AND(IF(Q331&gt;'F:\Users\norela.briceno\Documents\Plan de acción\Plan Accion 2018\[Plan Accion Integrado ADRES Vigencia 2018 con Cuadro de Mando V6..xlsx]Plan de Accion 2018'!#REF!,Q331&lt;&gt;¨N/A¨))</xm:f>
            <x14:dxf>
              <fill>
                <patternFill>
                  <bgColor theme="1" tint="0.499984740745262"/>
                </patternFill>
              </fill>
            </x14:dxf>
          </x14:cfRule>
          <x14:cfRule type="expression" priority="8238" stopIfTrue="1" id="{1527EA26-912E-48C2-BD74-4C9670F86E2B}">
            <xm:f>AND(IF(Q331='F:\Users\norela.briceno\Documents\Plan de acción\Plan Accion 2018\[Plan Accion Integrado ADRES Vigencia 2018 con Cuadro de Mando V6..xlsx]Plan de Accion 2018'!#REF!,Q331&lt;&gt;"N/A"))</xm:f>
            <x14:dxf>
              <fill>
                <patternFill>
                  <bgColor rgb="FF00B050"/>
                </patternFill>
              </fill>
            </x14:dxf>
          </x14:cfRule>
          <x14:cfRule type="expression" priority="8239" stopIfTrue="1" id="{8F824863-50E2-46F5-ADA2-1A065BEC9A78}">
            <xm:f>AND(IF(Q331&lt;'F:\Users\norela.briceno\Documents\Plan de acción\Plan Accion 2018\[Plan Accion Integrado ADRES Vigencia 2018 con Cuadro de Mando V6..xlsx]Plan de Accion 2018'!#REF!,Q331&lt;&gt;"N/A"))</xm:f>
            <x14:dxf>
              <fill>
                <patternFill>
                  <bgColor indexed="10"/>
                </patternFill>
              </fill>
            </x14:dxf>
          </x14:cfRule>
          <xm:sqref>Q331</xm:sqref>
        </x14:conditionalFormatting>
        <x14:conditionalFormatting xmlns:xm="http://schemas.microsoft.com/office/excel/2006/main">
          <x14:cfRule type="expression" priority="8234" id="{629B2119-3616-4811-93C2-E10A58EAA988}">
            <xm:f>AND(IF(Q330&gt;'F:\Users\norela.briceno\Documents\Plan de acción\Plan Accion 2018\[Plan Accion Integrado ADRES Vigencia 2018 con Cuadro de Mando V6..xlsx]Plan de Accion 2018'!#REF!,Q330&lt;&gt;¨N/A¨))</xm:f>
            <x14:dxf>
              <fill>
                <patternFill>
                  <bgColor theme="1" tint="0.499984740745262"/>
                </patternFill>
              </fill>
            </x14:dxf>
          </x14:cfRule>
          <x14:cfRule type="expression" priority="8235" stopIfTrue="1" id="{39EBF56C-1F6C-40DA-8E93-E369D99879CC}">
            <xm:f>AND(IF(Q330='F:\Users\norela.briceno\Documents\Plan de acción\Plan Accion 2018\[Plan Accion Integrado ADRES Vigencia 2018 con Cuadro de Mando V6..xlsx]Plan de Accion 2018'!#REF!,Q330&lt;&gt;"N/A"))</xm:f>
            <x14:dxf>
              <fill>
                <patternFill>
                  <bgColor rgb="FF00B050"/>
                </patternFill>
              </fill>
            </x14:dxf>
          </x14:cfRule>
          <x14:cfRule type="expression" priority="8236" stopIfTrue="1" id="{6522A9CF-2DC0-419F-B98F-F0B761953E84}">
            <xm:f>AND(IF(Q330&lt;'F:\Users\norela.briceno\Documents\Plan de acción\Plan Accion 2018\[Plan Accion Integrado ADRES Vigencia 2018 con Cuadro de Mando V6..xlsx]Plan de Accion 2018'!#REF!,Q330&lt;&gt;"N/A"))</xm:f>
            <x14:dxf>
              <fill>
                <patternFill>
                  <bgColor indexed="10"/>
                </patternFill>
              </fill>
            </x14:dxf>
          </x14:cfRule>
          <xm:sqref>Q330</xm:sqref>
        </x14:conditionalFormatting>
        <x14:conditionalFormatting xmlns:xm="http://schemas.microsoft.com/office/excel/2006/main">
          <x14:cfRule type="expression" priority="8231" id="{EC215BAD-74CE-4B46-BD57-BA25A343D0FF}">
            <xm:f>AND(IF(Q329&gt;'F:\Users\norela.briceno\Documents\Plan de acción\Plan Accion 2018\[Plan Accion Integrado ADRES Vigencia 2018 con Cuadro de Mando V6..xlsx]Plan de Accion 2018'!#REF!,Q329&lt;&gt;¨N/A¨))</xm:f>
            <x14:dxf>
              <fill>
                <patternFill>
                  <bgColor theme="1" tint="0.499984740745262"/>
                </patternFill>
              </fill>
            </x14:dxf>
          </x14:cfRule>
          <x14:cfRule type="expression" priority="8232" stopIfTrue="1" id="{A11A15C1-BF24-499C-B987-9EE46106C759}">
            <xm:f>AND(IF(Q329='F:\Users\norela.briceno\Documents\Plan de acción\Plan Accion 2018\[Plan Accion Integrado ADRES Vigencia 2018 con Cuadro de Mando V6..xlsx]Plan de Accion 2018'!#REF!,Q329&lt;&gt;"N/A"))</xm:f>
            <x14:dxf>
              <fill>
                <patternFill>
                  <bgColor rgb="FF00B050"/>
                </patternFill>
              </fill>
            </x14:dxf>
          </x14:cfRule>
          <x14:cfRule type="expression" priority="8233" stopIfTrue="1" id="{D867A8B7-430D-4D54-8AD4-9D1B22BD0F1E}">
            <xm:f>AND(IF(Q329&lt;'F:\Users\norela.briceno\Documents\Plan de acción\Plan Accion 2018\[Plan Accion Integrado ADRES Vigencia 2018 con Cuadro de Mando V6..xlsx]Plan de Accion 2018'!#REF!,Q329&lt;&gt;"N/A"))</xm:f>
            <x14:dxf>
              <fill>
                <patternFill>
                  <bgColor indexed="10"/>
                </patternFill>
              </fill>
            </x14:dxf>
          </x14:cfRule>
          <xm:sqref>Q329</xm:sqref>
        </x14:conditionalFormatting>
        <x14:conditionalFormatting xmlns:xm="http://schemas.microsoft.com/office/excel/2006/main">
          <x14:cfRule type="expression" priority="8228" id="{CBA8902D-B5F8-4878-990F-C22E57FCD105}">
            <xm:f>AND(IF(Q328&gt;'F:\Users\norela.briceno\Documents\Plan de acción\Plan Accion 2018\[Plan Accion Integrado ADRES Vigencia 2018 con Cuadro de Mando V6..xlsx]Plan de Accion 2018'!#REF!,Q328&lt;&gt;¨N/A¨))</xm:f>
            <x14:dxf>
              <fill>
                <patternFill>
                  <bgColor theme="1" tint="0.499984740745262"/>
                </patternFill>
              </fill>
            </x14:dxf>
          </x14:cfRule>
          <x14:cfRule type="expression" priority="8229" stopIfTrue="1" id="{001102EA-C33C-4383-B312-DBE34FFCC61D}">
            <xm:f>AND(IF(Q328='F:\Users\norela.briceno\Documents\Plan de acción\Plan Accion 2018\[Plan Accion Integrado ADRES Vigencia 2018 con Cuadro de Mando V6..xlsx]Plan de Accion 2018'!#REF!,Q328&lt;&gt;"N/A"))</xm:f>
            <x14:dxf>
              <fill>
                <patternFill>
                  <bgColor rgb="FF00B050"/>
                </patternFill>
              </fill>
            </x14:dxf>
          </x14:cfRule>
          <x14:cfRule type="expression" priority="8230" stopIfTrue="1" id="{6956BE61-4C30-47C7-97AC-8D4A9DD3AE56}">
            <xm:f>AND(IF(Q328&lt;'F:\Users\norela.briceno\Documents\Plan de acción\Plan Accion 2018\[Plan Accion Integrado ADRES Vigencia 2018 con Cuadro de Mando V6..xlsx]Plan de Accion 2018'!#REF!,Q328&lt;&gt;"N/A"))</xm:f>
            <x14:dxf>
              <fill>
                <patternFill>
                  <bgColor indexed="10"/>
                </patternFill>
              </fill>
            </x14:dxf>
          </x14:cfRule>
          <xm:sqref>Q328</xm:sqref>
        </x14:conditionalFormatting>
        <x14:conditionalFormatting xmlns:xm="http://schemas.microsoft.com/office/excel/2006/main">
          <x14:cfRule type="expression" priority="8225" id="{1CF7E5CE-0229-42B1-BD02-CF78083ED6F0}">
            <xm:f>AND(IF(Q327&gt;'F:\Users\norela.briceno\Documents\Plan de acción\Plan Accion 2018\[Plan Accion Integrado ADRES Vigencia 2018 con Cuadro de Mando V6..xlsx]Plan de Accion 2018'!#REF!,Q327&lt;&gt;¨N/A¨))</xm:f>
            <x14:dxf>
              <fill>
                <patternFill>
                  <bgColor theme="1" tint="0.499984740745262"/>
                </patternFill>
              </fill>
            </x14:dxf>
          </x14:cfRule>
          <x14:cfRule type="expression" priority="8226" stopIfTrue="1" id="{A8EDFA31-5282-41BA-8F49-08014DDF273C}">
            <xm:f>AND(IF(Q327='F:\Users\norela.briceno\Documents\Plan de acción\Plan Accion 2018\[Plan Accion Integrado ADRES Vigencia 2018 con Cuadro de Mando V6..xlsx]Plan de Accion 2018'!#REF!,Q327&lt;&gt;"N/A"))</xm:f>
            <x14:dxf>
              <fill>
                <patternFill>
                  <bgColor rgb="FF00B050"/>
                </patternFill>
              </fill>
            </x14:dxf>
          </x14:cfRule>
          <x14:cfRule type="expression" priority="8227" stopIfTrue="1" id="{E1B69B8D-1B49-40EE-80BD-00E5EA5366FD}">
            <xm:f>AND(IF(Q327&lt;'F:\Users\norela.briceno\Documents\Plan de acción\Plan Accion 2018\[Plan Accion Integrado ADRES Vigencia 2018 con Cuadro de Mando V6..xlsx]Plan de Accion 2018'!#REF!,Q327&lt;&gt;"N/A"))</xm:f>
            <x14:dxf>
              <fill>
                <patternFill>
                  <bgColor indexed="10"/>
                </patternFill>
              </fill>
            </x14:dxf>
          </x14:cfRule>
          <xm:sqref>Q327</xm:sqref>
        </x14:conditionalFormatting>
        <x14:conditionalFormatting xmlns:xm="http://schemas.microsoft.com/office/excel/2006/main">
          <x14:cfRule type="expression" priority="8222" id="{D001B3AF-A742-4CC9-8ADE-FAF3B70A50B9}">
            <xm:f>AND(IF(Q314&gt;'F:\Users\norela.briceno\Documents\Plan de acción\Plan Accion 2018\[Plan Accion Integrado ADRES Vigencia 2018 con Cuadro de Mando V6..xlsx]Plan de Accion 2018'!#REF!,Q314&lt;&gt;¨N/A¨))</xm:f>
            <x14:dxf>
              <fill>
                <patternFill>
                  <bgColor theme="1" tint="0.499984740745262"/>
                </patternFill>
              </fill>
            </x14:dxf>
          </x14:cfRule>
          <x14:cfRule type="expression" priority="8223" stopIfTrue="1" id="{DAEAB4D4-0B75-4EB8-A85A-9A586FC7D190}">
            <xm:f>AND(IF(Q314='F:\Users\norela.briceno\Documents\Plan de acción\Plan Accion 2018\[Plan Accion Integrado ADRES Vigencia 2018 con Cuadro de Mando V6..xlsx]Plan de Accion 2018'!#REF!,Q314&lt;&gt;"N/A"))</xm:f>
            <x14:dxf>
              <fill>
                <patternFill>
                  <bgColor rgb="FF00B050"/>
                </patternFill>
              </fill>
            </x14:dxf>
          </x14:cfRule>
          <x14:cfRule type="expression" priority="8224" stopIfTrue="1" id="{18ADDED9-EAEF-4FD7-AB9D-550DC0E5AEF5}">
            <xm:f>AND(IF(Q314&lt;'F:\Users\norela.briceno\Documents\Plan de acción\Plan Accion 2018\[Plan Accion Integrado ADRES Vigencia 2018 con Cuadro de Mando V6..xlsx]Plan de Accion 2018'!#REF!,Q314&lt;&gt;"N/A"))</xm:f>
            <x14:dxf>
              <fill>
                <patternFill>
                  <bgColor indexed="10"/>
                </patternFill>
              </fill>
            </x14:dxf>
          </x14:cfRule>
          <xm:sqref>Q314</xm:sqref>
        </x14:conditionalFormatting>
        <x14:conditionalFormatting xmlns:xm="http://schemas.microsoft.com/office/excel/2006/main">
          <x14:cfRule type="expression" priority="8219" id="{1BA629DF-D098-47A8-AED2-B99E9E24792C}">
            <xm:f>AND(IF(Q315&gt;'F:\Users\norela.briceno\Documents\Plan de acción\Plan Accion 2018\[Plan Accion Integrado ADRES Vigencia 2018 con Cuadro de Mando V6..xlsx]Plan de Accion 2018'!#REF!,Q315&lt;&gt;¨N/A¨))</xm:f>
            <x14:dxf>
              <fill>
                <patternFill>
                  <bgColor theme="1" tint="0.499984740745262"/>
                </patternFill>
              </fill>
            </x14:dxf>
          </x14:cfRule>
          <x14:cfRule type="expression" priority="8220" stopIfTrue="1" id="{C5E87288-9EDD-44C8-8732-E3C3D4B3F804}">
            <xm:f>AND(IF(Q315='F:\Users\norela.briceno\Documents\Plan de acción\Plan Accion 2018\[Plan Accion Integrado ADRES Vigencia 2018 con Cuadro de Mando V6..xlsx]Plan de Accion 2018'!#REF!,Q315&lt;&gt;"N/A"))</xm:f>
            <x14:dxf>
              <fill>
                <patternFill>
                  <bgColor rgb="FF00B050"/>
                </patternFill>
              </fill>
            </x14:dxf>
          </x14:cfRule>
          <x14:cfRule type="expression" priority="8221" stopIfTrue="1" id="{ADFA4F46-2B57-4C78-8C44-342DFEBC7823}">
            <xm:f>AND(IF(Q315&lt;'F:\Users\norela.briceno\Documents\Plan de acción\Plan Accion 2018\[Plan Accion Integrado ADRES Vigencia 2018 con Cuadro de Mando V6..xlsx]Plan de Accion 2018'!#REF!,Q315&lt;&gt;"N/A"))</xm:f>
            <x14:dxf>
              <fill>
                <patternFill>
                  <bgColor indexed="10"/>
                </patternFill>
              </fill>
            </x14:dxf>
          </x14:cfRule>
          <xm:sqref>Q315</xm:sqref>
        </x14:conditionalFormatting>
        <x14:conditionalFormatting xmlns:xm="http://schemas.microsoft.com/office/excel/2006/main">
          <x14:cfRule type="expression" priority="8216" id="{F66FB7F0-D91C-4E7C-90E8-6DE049EE4C91}">
            <xm:f>AND(IF(Q316&gt;'F:\Users\norela.briceno\Documents\Plan de acción\Plan Accion 2018\[Plan Accion Integrado ADRES Vigencia 2018 con Cuadro de Mando V6..xlsx]Plan de Accion 2018'!#REF!,Q316&lt;&gt;¨N/A¨))</xm:f>
            <x14:dxf>
              <fill>
                <patternFill>
                  <bgColor theme="1" tint="0.499984740745262"/>
                </patternFill>
              </fill>
            </x14:dxf>
          </x14:cfRule>
          <x14:cfRule type="expression" priority="8217" stopIfTrue="1" id="{D1AF330E-877A-475E-8D55-18444C452D2D}">
            <xm:f>AND(IF(Q316='F:\Users\norela.briceno\Documents\Plan de acción\Plan Accion 2018\[Plan Accion Integrado ADRES Vigencia 2018 con Cuadro de Mando V6..xlsx]Plan de Accion 2018'!#REF!,Q316&lt;&gt;"N/A"))</xm:f>
            <x14:dxf>
              <fill>
                <patternFill>
                  <bgColor rgb="FF00B050"/>
                </patternFill>
              </fill>
            </x14:dxf>
          </x14:cfRule>
          <x14:cfRule type="expression" priority="8218" stopIfTrue="1" id="{3DE237D6-406A-447F-B189-94BF06F670DF}">
            <xm:f>AND(IF(Q316&lt;'F:\Users\norela.briceno\Documents\Plan de acción\Plan Accion 2018\[Plan Accion Integrado ADRES Vigencia 2018 con Cuadro de Mando V6..xlsx]Plan de Accion 2018'!#REF!,Q316&lt;&gt;"N/A"))</xm:f>
            <x14:dxf>
              <fill>
                <patternFill>
                  <bgColor indexed="10"/>
                </patternFill>
              </fill>
            </x14:dxf>
          </x14:cfRule>
          <xm:sqref>Q316</xm:sqref>
        </x14:conditionalFormatting>
        <x14:conditionalFormatting xmlns:xm="http://schemas.microsoft.com/office/excel/2006/main">
          <x14:cfRule type="expression" priority="8207" id="{C076C11C-6F27-4A31-BD9D-D76B7241ED11}">
            <xm:f>AND(IF(Q322&gt;'F:\Users\norela.briceno\Documents\Plan de acción\Plan Accion 2018\[Plan Accion Integrado ADRES Vigencia 2018 con Cuadro de Mando V6..xlsx]Plan de Accion 2018'!#REF!,Q322&lt;&gt;¨N/A¨))</xm:f>
            <x14:dxf>
              <fill>
                <patternFill>
                  <bgColor theme="1" tint="0.499984740745262"/>
                </patternFill>
              </fill>
            </x14:dxf>
          </x14:cfRule>
          <x14:cfRule type="expression" priority="8208" stopIfTrue="1" id="{AD069A11-BBD9-47C0-93B6-5C910CE5B506}">
            <xm:f>AND(IF(Q322='F:\Users\norela.briceno\Documents\Plan de acción\Plan Accion 2018\[Plan Accion Integrado ADRES Vigencia 2018 con Cuadro de Mando V6..xlsx]Plan de Accion 2018'!#REF!,Q322&lt;&gt;"N/A"))</xm:f>
            <x14:dxf>
              <fill>
                <patternFill>
                  <bgColor rgb="FF00B050"/>
                </patternFill>
              </fill>
            </x14:dxf>
          </x14:cfRule>
          <x14:cfRule type="expression" priority="8209" stopIfTrue="1" id="{612AEF15-7C4A-4335-BD6F-7E01486E5FFC}">
            <xm:f>AND(IF(Q322&lt;'F:\Users\norela.briceno\Documents\Plan de acción\Plan Accion 2018\[Plan Accion Integrado ADRES Vigencia 2018 con Cuadro de Mando V6..xlsx]Plan de Accion 2018'!#REF!,Q322&lt;&gt;"N/A"))</xm:f>
            <x14:dxf>
              <fill>
                <patternFill>
                  <bgColor indexed="10"/>
                </patternFill>
              </fill>
            </x14:dxf>
          </x14:cfRule>
          <xm:sqref>Q322</xm:sqref>
        </x14:conditionalFormatting>
        <x14:conditionalFormatting xmlns:xm="http://schemas.microsoft.com/office/excel/2006/main">
          <x14:cfRule type="expression" priority="8204" id="{6AEC11B5-A80D-47D6-96D7-DD3D6800726D}">
            <xm:f>AND(IF(Q323&gt;'F:\Users\norela.briceno\Documents\Plan de acción\Plan Accion 2018\[Plan Accion Integrado ADRES Vigencia 2018 con Cuadro de Mando V6..xlsx]Plan de Accion 2018'!#REF!,Q323&lt;&gt;¨N/A¨))</xm:f>
            <x14:dxf>
              <fill>
                <patternFill>
                  <bgColor theme="1" tint="0.499984740745262"/>
                </patternFill>
              </fill>
            </x14:dxf>
          </x14:cfRule>
          <x14:cfRule type="expression" priority="8205" stopIfTrue="1" id="{51B08F18-41D3-4E14-A638-FF5A8B6C74B1}">
            <xm:f>AND(IF(Q323='F:\Users\norela.briceno\Documents\Plan de acción\Plan Accion 2018\[Plan Accion Integrado ADRES Vigencia 2018 con Cuadro de Mando V6..xlsx]Plan de Accion 2018'!#REF!,Q323&lt;&gt;"N/A"))</xm:f>
            <x14:dxf>
              <fill>
                <patternFill>
                  <bgColor rgb="FF00B050"/>
                </patternFill>
              </fill>
            </x14:dxf>
          </x14:cfRule>
          <x14:cfRule type="expression" priority="8206" stopIfTrue="1" id="{B1D06204-B8BE-4449-BAB7-57BFB5D051CB}">
            <xm:f>AND(IF(Q323&lt;'F:\Users\norela.briceno\Documents\Plan de acción\Plan Accion 2018\[Plan Accion Integrado ADRES Vigencia 2018 con Cuadro de Mando V6..xlsx]Plan de Accion 2018'!#REF!,Q323&lt;&gt;"N/A"))</xm:f>
            <x14:dxf>
              <fill>
                <patternFill>
                  <bgColor indexed="10"/>
                </patternFill>
              </fill>
            </x14:dxf>
          </x14:cfRule>
          <xm:sqref>Q323</xm:sqref>
        </x14:conditionalFormatting>
        <x14:conditionalFormatting xmlns:xm="http://schemas.microsoft.com/office/excel/2006/main">
          <x14:cfRule type="expression" priority="8192" id="{6F2A72DA-1431-43EA-BA85-CC54EFE9E5D0}">
            <xm:f>AND(IF(Q324&gt;'F:\Users\norela.briceno\Documents\Plan de acción\Plan Accion 2018\[Plan Accion Integrado ADRES Vigencia 2018 con Cuadro de Mando V6..xlsx]Plan de Accion 2018'!#REF!,Q324&lt;&gt;¨N/A¨))</xm:f>
            <x14:dxf>
              <fill>
                <patternFill>
                  <bgColor theme="1" tint="0.499984740745262"/>
                </patternFill>
              </fill>
            </x14:dxf>
          </x14:cfRule>
          <x14:cfRule type="expression" priority="8193" stopIfTrue="1" id="{4B8EB4DA-A838-4F6F-A289-5504EE923DA9}">
            <xm:f>AND(IF(Q324='F:\Users\norela.briceno\Documents\Plan de acción\Plan Accion 2018\[Plan Accion Integrado ADRES Vigencia 2018 con Cuadro de Mando V6..xlsx]Plan de Accion 2018'!#REF!,Q324&lt;&gt;"N/A"))</xm:f>
            <x14:dxf>
              <fill>
                <patternFill>
                  <bgColor rgb="FF00B050"/>
                </patternFill>
              </fill>
            </x14:dxf>
          </x14:cfRule>
          <x14:cfRule type="expression" priority="8194" stopIfTrue="1" id="{895543DC-106B-4041-B76A-D8E9471C03AD}">
            <xm:f>AND(IF(Q324&lt;'F:\Users\norela.briceno\Documents\Plan de acción\Plan Accion 2018\[Plan Accion Integrado ADRES Vigencia 2018 con Cuadro de Mando V6..xlsx]Plan de Accion 2018'!#REF!,Q324&lt;&gt;"N/A"))</xm:f>
            <x14:dxf>
              <fill>
                <patternFill>
                  <bgColor indexed="10"/>
                </patternFill>
              </fill>
            </x14:dxf>
          </x14:cfRule>
          <xm:sqref>Q324</xm:sqref>
        </x14:conditionalFormatting>
        <x14:conditionalFormatting xmlns:xm="http://schemas.microsoft.com/office/excel/2006/main">
          <x14:cfRule type="expression" priority="8189" id="{FDC61587-0526-49C7-91D2-247A71D3B9D2}">
            <xm:f>AND(IF(Q325&gt;'F:\Users\norela.briceno\Documents\Plan de acción\Plan Accion 2018\[Plan Accion Integrado ADRES Vigencia 2018 con Cuadro de Mando V6..xlsx]Plan de Accion 2018'!#REF!,Q325&lt;&gt;¨N/A¨))</xm:f>
            <x14:dxf>
              <fill>
                <patternFill>
                  <bgColor theme="1" tint="0.499984740745262"/>
                </patternFill>
              </fill>
            </x14:dxf>
          </x14:cfRule>
          <x14:cfRule type="expression" priority="8190" stopIfTrue="1" id="{CEE3E200-B3C8-435B-BE39-DD99F9567178}">
            <xm:f>AND(IF(Q325='F:\Users\norela.briceno\Documents\Plan de acción\Plan Accion 2018\[Plan Accion Integrado ADRES Vigencia 2018 con Cuadro de Mando V6..xlsx]Plan de Accion 2018'!#REF!,Q325&lt;&gt;"N/A"))</xm:f>
            <x14:dxf>
              <fill>
                <patternFill>
                  <bgColor rgb="FF00B050"/>
                </patternFill>
              </fill>
            </x14:dxf>
          </x14:cfRule>
          <x14:cfRule type="expression" priority="8191" stopIfTrue="1" id="{02FDE205-7992-4BC8-8F4B-4FFC88D47C78}">
            <xm:f>AND(IF(Q325&lt;'F:\Users\norela.briceno\Documents\Plan de acción\Plan Accion 2018\[Plan Accion Integrado ADRES Vigencia 2018 con Cuadro de Mando V6..xlsx]Plan de Accion 2018'!#REF!,Q325&lt;&gt;"N/A"))</xm:f>
            <x14:dxf>
              <fill>
                <patternFill>
                  <bgColor indexed="10"/>
                </patternFill>
              </fill>
            </x14:dxf>
          </x14:cfRule>
          <xm:sqref>Q325</xm:sqref>
        </x14:conditionalFormatting>
        <x14:conditionalFormatting xmlns:xm="http://schemas.microsoft.com/office/excel/2006/main">
          <x14:cfRule type="expression" priority="8186" id="{6EF11A64-4931-4EB8-AFDE-699ABCF2D0C9}">
            <xm:f>AND(IF(Q326&gt;'F:\Users\norela.briceno\Documents\Plan de acción\Plan Accion 2018\[Plan Accion Integrado ADRES Vigencia 2018 con Cuadro de Mando V6..xlsx]Plan de Accion 2018'!#REF!,Q326&lt;&gt;¨N/A¨))</xm:f>
            <x14:dxf>
              <fill>
                <patternFill>
                  <bgColor theme="1" tint="0.499984740745262"/>
                </patternFill>
              </fill>
            </x14:dxf>
          </x14:cfRule>
          <x14:cfRule type="expression" priority="8187" stopIfTrue="1" id="{1D2202C9-959A-42C9-B044-F233BC63559D}">
            <xm:f>AND(IF(Q326='F:\Users\norela.briceno\Documents\Plan de acción\Plan Accion 2018\[Plan Accion Integrado ADRES Vigencia 2018 con Cuadro de Mando V6..xlsx]Plan de Accion 2018'!#REF!,Q326&lt;&gt;"N/A"))</xm:f>
            <x14:dxf>
              <fill>
                <patternFill>
                  <bgColor rgb="FF00B050"/>
                </patternFill>
              </fill>
            </x14:dxf>
          </x14:cfRule>
          <x14:cfRule type="expression" priority="8188" stopIfTrue="1" id="{B759A0BC-51FA-428E-9212-C57FA34BFA1D}">
            <xm:f>AND(IF(Q326&lt;'F:\Users\norela.briceno\Documents\Plan de acción\Plan Accion 2018\[Plan Accion Integrado ADRES Vigencia 2018 con Cuadro de Mando V6..xlsx]Plan de Accion 2018'!#REF!,Q326&lt;&gt;"N/A"))</xm:f>
            <x14:dxf>
              <fill>
                <patternFill>
                  <bgColor indexed="10"/>
                </patternFill>
              </fill>
            </x14:dxf>
          </x14:cfRule>
          <xm:sqref>Q326</xm:sqref>
        </x14:conditionalFormatting>
        <x14:conditionalFormatting xmlns:xm="http://schemas.microsoft.com/office/excel/2006/main">
          <x14:cfRule type="expression" priority="8183" id="{78870969-2676-4334-B6A5-107716AB3AAB}">
            <xm:f>AND(IF(Q312&gt;'F:\Users\norela.briceno\Documents\Plan de acción\Plan Accion 2018\[Plan Accion Integrado ADRES Vigencia 2018 con Cuadro de Mando V6..xlsx]Plan de Accion 2018'!#REF!,Q312&lt;&gt;¨N/A¨))</xm:f>
            <x14:dxf>
              <fill>
                <patternFill>
                  <bgColor theme="1" tint="0.499984740745262"/>
                </patternFill>
              </fill>
            </x14:dxf>
          </x14:cfRule>
          <x14:cfRule type="expression" priority="8184" stopIfTrue="1" id="{148E8CB6-3096-4F6C-8945-E12663C2E2A6}">
            <xm:f>AND(IF(Q312='F:\Users\norela.briceno\Documents\Plan de acción\Plan Accion 2018\[Plan Accion Integrado ADRES Vigencia 2018 con Cuadro de Mando V6..xlsx]Plan de Accion 2018'!#REF!,Q312&lt;&gt;"N/A"))</xm:f>
            <x14:dxf>
              <fill>
                <patternFill>
                  <bgColor rgb="FF00B050"/>
                </patternFill>
              </fill>
            </x14:dxf>
          </x14:cfRule>
          <x14:cfRule type="expression" priority="8185" stopIfTrue="1" id="{B2772353-2E38-462D-BEAE-68CBF70E6EA9}">
            <xm:f>AND(IF(Q312&lt;'F:\Users\norela.briceno\Documents\Plan de acción\Plan Accion 2018\[Plan Accion Integrado ADRES Vigencia 2018 con Cuadro de Mando V6..xlsx]Plan de Accion 2018'!#REF!,Q312&lt;&gt;"N/A"))</xm:f>
            <x14:dxf>
              <fill>
                <patternFill>
                  <bgColor indexed="10"/>
                </patternFill>
              </fill>
            </x14:dxf>
          </x14:cfRule>
          <xm:sqref>Q312</xm:sqref>
        </x14:conditionalFormatting>
        <x14:conditionalFormatting xmlns:xm="http://schemas.microsoft.com/office/excel/2006/main">
          <x14:cfRule type="expression" priority="8180" id="{D433D182-5795-4B5F-9B84-D6335A597D09}">
            <xm:f>AND(IF(Q311&gt;'F:\Users\norela.briceno\Documents\Plan de acción\Plan Accion 2018\[Plan Accion Integrado ADRES Vigencia 2018 con Cuadro de Mando V6..xlsx]Plan de Accion 2018'!#REF!,Q311&lt;&gt;¨N/A¨))</xm:f>
            <x14:dxf>
              <fill>
                <patternFill>
                  <bgColor theme="1" tint="0.499984740745262"/>
                </patternFill>
              </fill>
            </x14:dxf>
          </x14:cfRule>
          <x14:cfRule type="expression" priority="8181" stopIfTrue="1" id="{7A791112-F4F8-44D1-A431-FCDE34449F21}">
            <xm:f>AND(IF(Q311='F:\Users\norela.briceno\Documents\Plan de acción\Plan Accion 2018\[Plan Accion Integrado ADRES Vigencia 2018 con Cuadro de Mando V6..xlsx]Plan de Accion 2018'!#REF!,Q311&lt;&gt;"N/A"))</xm:f>
            <x14:dxf>
              <fill>
                <patternFill>
                  <bgColor rgb="FF00B050"/>
                </patternFill>
              </fill>
            </x14:dxf>
          </x14:cfRule>
          <x14:cfRule type="expression" priority="8182" stopIfTrue="1" id="{1FC7B3B2-7E16-42EC-90D2-2B5C7E6A71B5}">
            <xm:f>AND(IF(Q311&lt;'F:\Users\norela.briceno\Documents\Plan de acción\Plan Accion 2018\[Plan Accion Integrado ADRES Vigencia 2018 con Cuadro de Mando V6..xlsx]Plan de Accion 2018'!#REF!,Q311&lt;&gt;"N/A"))</xm:f>
            <x14:dxf>
              <fill>
                <patternFill>
                  <bgColor indexed="10"/>
                </patternFill>
              </fill>
            </x14:dxf>
          </x14:cfRule>
          <xm:sqref>Q311</xm:sqref>
        </x14:conditionalFormatting>
        <x14:conditionalFormatting xmlns:xm="http://schemas.microsoft.com/office/excel/2006/main">
          <x14:cfRule type="expression" priority="8177" id="{3F47F11B-A0E0-4FC1-A8E9-74EA80AF4491}">
            <xm:f>AND(IF(Q310&gt;'F:\Users\norela.briceno\Documents\Plan de acción\Plan Accion 2018\[Plan Accion Integrado ADRES Vigencia 2018 con Cuadro de Mando V6..xlsx]Plan de Accion 2018'!#REF!,Q310&lt;&gt;¨N/A¨))</xm:f>
            <x14:dxf>
              <fill>
                <patternFill>
                  <bgColor theme="1" tint="0.499984740745262"/>
                </patternFill>
              </fill>
            </x14:dxf>
          </x14:cfRule>
          <x14:cfRule type="expression" priority="8178" stopIfTrue="1" id="{97557E00-2127-46B9-9524-69D3C113E016}">
            <xm:f>AND(IF(Q310='F:\Users\norela.briceno\Documents\Plan de acción\Plan Accion 2018\[Plan Accion Integrado ADRES Vigencia 2018 con Cuadro de Mando V6..xlsx]Plan de Accion 2018'!#REF!,Q310&lt;&gt;"N/A"))</xm:f>
            <x14:dxf>
              <fill>
                <patternFill>
                  <bgColor rgb="FF00B050"/>
                </patternFill>
              </fill>
            </x14:dxf>
          </x14:cfRule>
          <x14:cfRule type="expression" priority="8179" stopIfTrue="1" id="{59DA1F39-23A0-4C00-90F0-73812C381242}">
            <xm:f>AND(IF(Q310&lt;'F:\Users\norela.briceno\Documents\Plan de acción\Plan Accion 2018\[Plan Accion Integrado ADRES Vigencia 2018 con Cuadro de Mando V6..xlsx]Plan de Accion 2018'!#REF!,Q310&lt;&gt;"N/A"))</xm:f>
            <x14:dxf>
              <fill>
                <patternFill>
                  <bgColor indexed="10"/>
                </patternFill>
              </fill>
            </x14:dxf>
          </x14:cfRule>
          <xm:sqref>Q310</xm:sqref>
        </x14:conditionalFormatting>
        <x14:conditionalFormatting xmlns:xm="http://schemas.microsoft.com/office/excel/2006/main">
          <x14:cfRule type="expression" priority="8174" id="{A59F1C1E-AC9D-4EF5-90F3-BD74D27D7112}">
            <xm:f>AND(IF(Q308&gt;'F:\Users\norela.briceno\Documents\Plan de acción\Plan Accion 2018\[Plan Accion Integrado ADRES Vigencia 2018 con Cuadro de Mando V6..xlsx]Plan de Accion 2018'!#REF!,Q308&lt;&gt;¨N/A¨))</xm:f>
            <x14:dxf>
              <fill>
                <patternFill>
                  <bgColor theme="1" tint="0.499984740745262"/>
                </patternFill>
              </fill>
            </x14:dxf>
          </x14:cfRule>
          <x14:cfRule type="expression" priority="8175" stopIfTrue="1" id="{08CE8891-D731-4A64-ABF2-4D8EEBFB38DE}">
            <xm:f>AND(IF(Q308='F:\Users\norela.briceno\Documents\Plan de acción\Plan Accion 2018\[Plan Accion Integrado ADRES Vigencia 2018 con Cuadro de Mando V6..xlsx]Plan de Accion 2018'!#REF!,Q308&lt;&gt;"N/A"))</xm:f>
            <x14:dxf>
              <fill>
                <patternFill>
                  <bgColor rgb="FF00B050"/>
                </patternFill>
              </fill>
            </x14:dxf>
          </x14:cfRule>
          <x14:cfRule type="expression" priority="8176" stopIfTrue="1" id="{60FCF353-A100-4D14-8914-D5EB581F1F02}">
            <xm:f>AND(IF(Q308&lt;'F:\Users\norela.briceno\Documents\Plan de acción\Plan Accion 2018\[Plan Accion Integrado ADRES Vigencia 2018 con Cuadro de Mando V6..xlsx]Plan de Accion 2018'!#REF!,Q308&lt;&gt;"N/A"))</xm:f>
            <x14:dxf>
              <fill>
                <patternFill>
                  <bgColor indexed="10"/>
                </patternFill>
              </fill>
            </x14:dxf>
          </x14:cfRule>
          <xm:sqref>Q308</xm:sqref>
        </x14:conditionalFormatting>
        <x14:conditionalFormatting xmlns:xm="http://schemas.microsoft.com/office/excel/2006/main">
          <x14:cfRule type="expression" priority="8171" id="{27E32717-1CFB-4A6D-801D-036E26DCD8DD}">
            <xm:f>AND(IF(Q307&gt;'F:\Users\norela.briceno\Documents\Plan de acción\Plan Accion 2018\[Plan Accion Integrado ADRES Vigencia 2018 con Cuadro de Mando V6..xlsx]Plan de Accion 2018'!#REF!,Q307&lt;&gt;¨N/A¨))</xm:f>
            <x14:dxf>
              <fill>
                <patternFill>
                  <bgColor theme="1" tint="0.499984740745262"/>
                </patternFill>
              </fill>
            </x14:dxf>
          </x14:cfRule>
          <x14:cfRule type="expression" priority="8172" stopIfTrue="1" id="{F9865CB0-E4E8-4496-A775-5283956E155F}">
            <xm:f>AND(IF(Q307='F:\Users\norela.briceno\Documents\Plan de acción\Plan Accion 2018\[Plan Accion Integrado ADRES Vigencia 2018 con Cuadro de Mando V6..xlsx]Plan de Accion 2018'!#REF!,Q307&lt;&gt;"N/A"))</xm:f>
            <x14:dxf>
              <fill>
                <patternFill>
                  <bgColor rgb="FF00B050"/>
                </patternFill>
              </fill>
            </x14:dxf>
          </x14:cfRule>
          <x14:cfRule type="expression" priority="8173" stopIfTrue="1" id="{5C23B08C-AB62-44CB-B23B-150E9D2D4E4D}">
            <xm:f>AND(IF(Q307&lt;'F:\Users\norela.briceno\Documents\Plan de acción\Plan Accion 2018\[Plan Accion Integrado ADRES Vigencia 2018 con Cuadro de Mando V6..xlsx]Plan de Accion 2018'!#REF!,Q307&lt;&gt;"N/A"))</xm:f>
            <x14:dxf>
              <fill>
                <patternFill>
                  <bgColor indexed="10"/>
                </patternFill>
              </fill>
            </x14:dxf>
          </x14:cfRule>
          <xm:sqref>Q307</xm:sqref>
        </x14:conditionalFormatting>
        <x14:conditionalFormatting xmlns:xm="http://schemas.microsoft.com/office/excel/2006/main">
          <x14:cfRule type="expression" priority="8168" id="{4D7EE858-014C-4875-AAAE-B202E2C2ADF7}">
            <xm:f>AND(IF(Q306&gt;'F:\Users\norela.briceno\Documents\Plan de acción\Plan Accion 2018\[Plan Accion Integrado ADRES Vigencia 2018 con Cuadro de Mando V6..xlsx]Plan de Accion 2018'!#REF!,Q306&lt;&gt;¨N/A¨))</xm:f>
            <x14:dxf>
              <fill>
                <patternFill>
                  <bgColor theme="1" tint="0.499984740745262"/>
                </patternFill>
              </fill>
            </x14:dxf>
          </x14:cfRule>
          <x14:cfRule type="expression" priority="8169" stopIfTrue="1" id="{922A55D2-2043-4DEC-9C3F-2EAE835C8F87}">
            <xm:f>AND(IF(Q306='F:\Users\norela.briceno\Documents\Plan de acción\Plan Accion 2018\[Plan Accion Integrado ADRES Vigencia 2018 con Cuadro de Mando V6..xlsx]Plan de Accion 2018'!#REF!,Q306&lt;&gt;"N/A"))</xm:f>
            <x14:dxf>
              <fill>
                <patternFill>
                  <bgColor rgb="FF00B050"/>
                </patternFill>
              </fill>
            </x14:dxf>
          </x14:cfRule>
          <x14:cfRule type="expression" priority="8170" stopIfTrue="1" id="{0688A47A-1666-4CC6-ACBA-C4B48236E1FF}">
            <xm:f>AND(IF(Q306&lt;'F:\Users\norela.briceno\Documents\Plan de acción\Plan Accion 2018\[Plan Accion Integrado ADRES Vigencia 2018 con Cuadro de Mando V6..xlsx]Plan de Accion 2018'!#REF!,Q306&lt;&gt;"N/A"))</xm:f>
            <x14:dxf>
              <fill>
                <patternFill>
                  <bgColor indexed="10"/>
                </patternFill>
              </fill>
            </x14:dxf>
          </x14:cfRule>
          <xm:sqref>Q306</xm:sqref>
        </x14:conditionalFormatting>
        <x14:conditionalFormatting xmlns:xm="http://schemas.microsoft.com/office/excel/2006/main">
          <x14:cfRule type="expression" priority="8162" id="{7AFF9AA7-A0B6-4133-876A-57FC8E9BE616}">
            <xm:f>AND(IF(Q302&gt;'F:\Users\norela.briceno\Documents\Plan de acción\Plan Accion 2018\[Plan Accion Integrado ADRES Vigencia 2018 con Cuadro de Mando V6..xlsx]Plan de Accion 2018'!#REF!,Q302&lt;&gt;¨N/A¨))</xm:f>
            <x14:dxf>
              <fill>
                <patternFill>
                  <bgColor theme="1" tint="0.499984740745262"/>
                </patternFill>
              </fill>
            </x14:dxf>
          </x14:cfRule>
          <x14:cfRule type="expression" priority="8163" stopIfTrue="1" id="{DE48BC5C-4574-430E-96AD-5A82AD0476E8}">
            <xm:f>AND(IF(Q302='F:\Users\norela.briceno\Documents\Plan de acción\Plan Accion 2018\[Plan Accion Integrado ADRES Vigencia 2018 con Cuadro de Mando V6..xlsx]Plan de Accion 2018'!#REF!,Q302&lt;&gt;"N/A"))</xm:f>
            <x14:dxf>
              <fill>
                <patternFill>
                  <bgColor rgb="FF00B050"/>
                </patternFill>
              </fill>
            </x14:dxf>
          </x14:cfRule>
          <x14:cfRule type="expression" priority="8164" stopIfTrue="1" id="{6A2DC972-8E6C-42FA-B999-5CC8EB8B3C08}">
            <xm:f>AND(IF(Q302&lt;'F:\Users\norela.briceno\Documents\Plan de acción\Plan Accion 2018\[Plan Accion Integrado ADRES Vigencia 2018 con Cuadro de Mando V6..xlsx]Plan de Accion 2018'!#REF!,Q302&lt;&gt;"N/A"))</xm:f>
            <x14:dxf>
              <fill>
                <patternFill>
                  <bgColor indexed="10"/>
                </patternFill>
              </fill>
            </x14:dxf>
          </x14:cfRule>
          <xm:sqref>Q302</xm:sqref>
        </x14:conditionalFormatting>
        <x14:conditionalFormatting xmlns:xm="http://schemas.microsoft.com/office/excel/2006/main">
          <x14:cfRule type="expression" priority="8159" id="{DB8AB4B3-13B8-4731-9DEC-2695249ED57D}">
            <xm:f>AND(IF(Q300&gt;'F:\Users\norela.briceno\Documents\Plan de acción\Plan Accion 2018\[Plan Accion Integrado ADRES Vigencia 2018 con Cuadro de Mando V6..xlsx]Plan de Accion 2018'!#REF!,Q300&lt;&gt;¨N/A¨))</xm:f>
            <x14:dxf>
              <fill>
                <patternFill>
                  <bgColor theme="1" tint="0.499984740745262"/>
                </patternFill>
              </fill>
            </x14:dxf>
          </x14:cfRule>
          <x14:cfRule type="expression" priority="8160" stopIfTrue="1" id="{ABED446F-2E3D-4A97-995E-0CB7411240C9}">
            <xm:f>AND(IF(Q300='F:\Users\norela.briceno\Documents\Plan de acción\Plan Accion 2018\[Plan Accion Integrado ADRES Vigencia 2018 con Cuadro de Mando V6..xlsx]Plan de Accion 2018'!#REF!,Q300&lt;&gt;"N/A"))</xm:f>
            <x14:dxf>
              <fill>
                <patternFill>
                  <bgColor rgb="FF00B050"/>
                </patternFill>
              </fill>
            </x14:dxf>
          </x14:cfRule>
          <x14:cfRule type="expression" priority="8161" stopIfTrue="1" id="{AF719678-3B89-4B4D-870B-BA4633711913}">
            <xm:f>AND(IF(Q300&lt;'F:\Users\norela.briceno\Documents\Plan de acción\Plan Accion 2018\[Plan Accion Integrado ADRES Vigencia 2018 con Cuadro de Mando V6..xlsx]Plan de Accion 2018'!#REF!,Q300&lt;&gt;"N/A"))</xm:f>
            <x14:dxf>
              <fill>
                <patternFill>
                  <bgColor indexed="10"/>
                </patternFill>
              </fill>
            </x14:dxf>
          </x14:cfRule>
          <xm:sqref>Q300</xm:sqref>
        </x14:conditionalFormatting>
        <x14:conditionalFormatting xmlns:xm="http://schemas.microsoft.com/office/excel/2006/main">
          <x14:cfRule type="expression" priority="8156" id="{D8D87B07-06E4-4634-8318-052D5707A2A7}">
            <xm:f>AND(IF(Q299&gt;'F:\Users\norela.briceno\Documents\Plan de acción\Plan Accion 2018\[Plan Accion Integrado ADRES Vigencia 2018 con Cuadro de Mando V6..xlsx]Plan de Accion 2018'!#REF!,Q299&lt;&gt;¨N/A¨))</xm:f>
            <x14:dxf>
              <fill>
                <patternFill>
                  <bgColor theme="1" tint="0.499984740745262"/>
                </patternFill>
              </fill>
            </x14:dxf>
          </x14:cfRule>
          <x14:cfRule type="expression" priority="8157" stopIfTrue="1" id="{E7408FD0-9A96-46A2-AADB-444923134D45}">
            <xm:f>AND(IF(Q299='F:\Users\norela.briceno\Documents\Plan de acción\Plan Accion 2018\[Plan Accion Integrado ADRES Vigencia 2018 con Cuadro de Mando V6..xlsx]Plan de Accion 2018'!#REF!,Q299&lt;&gt;"N/A"))</xm:f>
            <x14:dxf>
              <fill>
                <patternFill>
                  <bgColor rgb="FF00B050"/>
                </patternFill>
              </fill>
            </x14:dxf>
          </x14:cfRule>
          <x14:cfRule type="expression" priority="8158" stopIfTrue="1" id="{A3E656B9-301D-424B-AA6D-2EE250F91CAA}">
            <xm:f>AND(IF(Q299&lt;'F:\Users\norela.briceno\Documents\Plan de acción\Plan Accion 2018\[Plan Accion Integrado ADRES Vigencia 2018 con Cuadro de Mando V6..xlsx]Plan de Accion 2018'!#REF!,Q299&lt;&gt;"N/A"))</xm:f>
            <x14:dxf>
              <fill>
                <patternFill>
                  <bgColor indexed="10"/>
                </patternFill>
              </fill>
            </x14:dxf>
          </x14:cfRule>
          <xm:sqref>Q299</xm:sqref>
        </x14:conditionalFormatting>
        <x14:conditionalFormatting xmlns:xm="http://schemas.microsoft.com/office/excel/2006/main">
          <x14:cfRule type="expression" priority="8153" id="{B7ADEEF5-E7D6-4137-ACFF-2CBBEA6CFEE5}">
            <xm:f>AND(IF(Q298&gt;'F:\Users\norela.briceno\Documents\Plan de acción\Plan Accion 2018\[Plan Accion Integrado ADRES Vigencia 2018 con Cuadro de Mando V6..xlsx]Plan de Accion 2018'!#REF!,Q298&lt;&gt;¨N/A¨))</xm:f>
            <x14:dxf>
              <fill>
                <patternFill>
                  <bgColor theme="1" tint="0.499984740745262"/>
                </patternFill>
              </fill>
            </x14:dxf>
          </x14:cfRule>
          <x14:cfRule type="expression" priority="8154" stopIfTrue="1" id="{E19F388A-8885-4A14-B1FF-AB0070E64F29}">
            <xm:f>AND(IF(Q298='F:\Users\norela.briceno\Documents\Plan de acción\Plan Accion 2018\[Plan Accion Integrado ADRES Vigencia 2018 con Cuadro de Mando V6..xlsx]Plan de Accion 2018'!#REF!,Q298&lt;&gt;"N/A"))</xm:f>
            <x14:dxf>
              <fill>
                <patternFill>
                  <bgColor rgb="FF00B050"/>
                </patternFill>
              </fill>
            </x14:dxf>
          </x14:cfRule>
          <x14:cfRule type="expression" priority="8155" stopIfTrue="1" id="{412F2353-869D-4BA4-A631-CFF4813517DC}">
            <xm:f>AND(IF(Q298&lt;'F:\Users\norela.briceno\Documents\Plan de acción\Plan Accion 2018\[Plan Accion Integrado ADRES Vigencia 2018 con Cuadro de Mando V6..xlsx]Plan de Accion 2018'!#REF!,Q298&lt;&gt;"N/A"))</xm:f>
            <x14:dxf>
              <fill>
                <patternFill>
                  <bgColor indexed="10"/>
                </patternFill>
              </fill>
            </x14:dxf>
          </x14:cfRule>
          <xm:sqref>Q298</xm:sqref>
        </x14:conditionalFormatting>
        <x14:conditionalFormatting xmlns:xm="http://schemas.microsoft.com/office/excel/2006/main">
          <x14:cfRule type="expression" priority="8150" id="{836EB339-266D-4EDC-B4BF-A243E5402E3B}">
            <xm:f>AND(IF(Q295&gt;'F:\Users\norela.briceno\Documents\Plan de acción\Plan Accion 2018\[Plan Accion Integrado ADRES Vigencia 2018 con Cuadro de Mando V6..xlsx]Plan de Accion 2018'!#REF!,Q295&lt;&gt;¨N/A¨))</xm:f>
            <x14:dxf>
              <fill>
                <patternFill>
                  <bgColor theme="1" tint="0.499984740745262"/>
                </patternFill>
              </fill>
            </x14:dxf>
          </x14:cfRule>
          <x14:cfRule type="expression" priority="8151" stopIfTrue="1" id="{82FB3BC5-344D-41EC-B66B-C2F86C4CD312}">
            <xm:f>AND(IF(Q295='F:\Users\norela.briceno\Documents\Plan de acción\Plan Accion 2018\[Plan Accion Integrado ADRES Vigencia 2018 con Cuadro de Mando V6..xlsx]Plan de Accion 2018'!#REF!,Q295&lt;&gt;"N/A"))</xm:f>
            <x14:dxf>
              <fill>
                <patternFill>
                  <bgColor rgb="FF00B050"/>
                </patternFill>
              </fill>
            </x14:dxf>
          </x14:cfRule>
          <x14:cfRule type="expression" priority="8152" stopIfTrue="1" id="{194B1924-8796-44CA-A59F-42D34CB97208}">
            <xm:f>AND(IF(Q295&lt;'F:\Users\norela.briceno\Documents\Plan de acción\Plan Accion 2018\[Plan Accion Integrado ADRES Vigencia 2018 con Cuadro de Mando V6..xlsx]Plan de Accion 2018'!#REF!,Q295&lt;&gt;"N/A"))</xm:f>
            <x14:dxf>
              <fill>
                <patternFill>
                  <bgColor indexed="10"/>
                </patternFill>
              </fill>
            </x14:dxf>
          </x14:cfRule>
          <xm:sqref>Q295</xm:sqref>
        </x14:conditionalFormatting>
        <x14:conditionalFormatting xmlns:xm="http://schemas.microsoft.com/office/excel/2006/main">
          <x14:cfRule type="expression" priority="8147" id="{218B9540-79A0-4228-AD96-8FB607CE9B34}">
            <xm:f>AND(IF(Q294&gt;'F:\Users\norela.briceno\Documents\Plan de acción\Plan Accion 2018\[Plan Accion Integrado ADRES Vigencia 2018 con Cuadro de Mando V6..xlsx]Plan de Accion 2018'!#REF!,Q294&lt;&gt;¨N/A¨))</xm:f>
            <x14:dxf>
              <fill>
                <patternFill>
                  <bgColor theme="1" tint="0.499984740745262"/>
                </patternFill>
              </fill>
            </x14:dxf>
          </x14:cfRule>
          <x14:cfRule type="expression" priority="8148" stopIfTrue="1" id="{4217F48A-DA59-46CA-AABB-9861B878AB3E}">
            <xm:f>AND(IF(Q294='F:\Users\norela.briceno\Documents\Plan de acción\Plan Accion 2018\[Plan Accion Integrado ADRES Vigencia 2018 con Cuadro de Mando V6..xlsx]Plan de Accion 2018'!#REF!,Q294&lt;&gt;"N/A"))</xm:f>
            <x14:dxf>
              <fill>
                <patternFill>
                  <bgColor rgb="FF00B050"/>
                </patternFill>
              </fill>
            </x14:dxf>
          </x14:cfRule>
          <x14:cfRule type="expression" priority="8149" stopIfTrue="1" id="{248DE532-9BC9-4E49-A751-17C8B2FCCD1E}">
            <xm:f>AND(IF(Q294&lt;'F:\Users\norela.briceno\Documents\Plan de acción\Plan Accion 2018\[Plan Accion Integrado ADRES Vigencia 2018 con Cuadro de Mando V6..xlsx]Plan de Accion 2018'!#REF!,Q294&lt;&gt;"N/A"))</xm:f>
            <x14:dxf>
              <fill>
                <patternFill>
                  <bgColor indexed="10"/>
                </patternFill>
              </fill>
            </x14:dxf>
          </x14:cfRule>
          <xm:sqref>Q294</xm:sqref>
        </x14:conditionalFormatting>
        <x14:conditionalFormatting xmlns:xm="http://schemas.microsoft.com/office/excel/2006/main">
          <x14:cfRule type="expression" priority="8144" id="{E3B166DC-A35E-43FE-9DF6-AA3E76F76840}">
            <xm:f>AND(IF(Q293&gt;'F:\Users\norela.briceno\Documents\Plan de acción\Plan Accion 2018\[Plan Accion Integrado ADRES Vigencia 2018 con Cuadro de Mando V6..xlsx]Plan de Accion 2018'!#REF!,Q293&lt;&gt;¨N/A¨))</xm:f>
            <x14:dxf>
              <fill>
                <patternFill>
                  <bgColor theme="1" tint="0.499984740745262"/>
                </patternFill>
              </fill>
            </x14:dxf>
          </x14:cfRule>
          <x14:cfRule type="expression" priority="8145" stopIfTrue="1" id="{C960ADBB-A933-40F6-A6DF-9EC7A66CB3A6}">
            <xm:f>AND(IF(Q293='F:\Users\norela.briceno\Documents\Plan de acción\Plan Accion 2018\[Plan Accion Integrado ADRES Vigencia 2018 con Cuadro de Mando V6..xlsx]Plan de Accion 2018'!#REF!,Q293&lt;&gt;"N/A"))</xm:f>
            <x14:dxf>
              <fill>
                <patternFill>
                  <bgColor rgb="FF00B050"/>
                </patternFill>
              </fill>
            </x14:dxf>
          </x14:cfRule>
          <x14:cfRule type="expression" priority="8146" stopIfTrue="1" id="{7C8DEBA2-D849-4958-948C-20CA3BBD7D12}">
            <xm:f>AND(IF(Q293&lt;'F:\Users\norela.briceno\Documents\Plan de acción\Plan Accion 2018\[Plan Accion Integrado ADRES Vigencia 2018 con Cuadro de Mando V6..xlsx]Plan de Accion 2018'!#REF!,Q293&lt;&gt;"N/A"))</xm:f>
            <x14:dxf>
              <fill>
                <patternFill>
                  <bgColor indexed="10"/>
                </patternFill>
              </fill>
            </x14:dxf>
          </x14:cfRule>
          <xm:sqref>Q293</xm:sqref>
        </x14:conditionalFormatting>
        <x14:conditionalFormatting xmlns:xm="http://schemas.microsoft.com/office/excel/2006/main">
          <x14:cfRule type="expression" priority="8141" id="{32ADA052-E3BA-4D2C-8C24-21EFFE081894}">
            <xm:f>AND(IF(Q292&gt;'F:\Users\norela.briceno\Documents\Plan de acción\Plan Accion 2018\[Plan Accion Integrado ADRES Vigencia 2018 con Cuadro de Mando V6..xlsx]Plan de Accion 2018'!#REF!,Q292&lt;&gt;¨N/A¨))</xm:f>
            <x14:dxf>
              <fill>
                <patternFill>
                  <bgColor theme="1" tint="0.499984740745262"/>
                </patternFill>
              </fill>
            </x14:dxf>
          </x14:cfRule>
          <x14:cfRule type="expression" priority="8142" stopIfTrue="1" id="{72E3B2A0-F278-45AC-BD84-14B1FE3AE71C}">
            <xm:f>AND(IF(Q292='F:\Users\norela.briceno\Documents\Plan de acción\Plan Accion 2018\[Plan Accion Integrado ADRES Vigencia 2018 con Cuadro de Mando V6..xlsx]Plan de Accion 2018'!#REF!,Q292&lt;&gt;"N/A"))</xm:f>
            <x14:dxf>
              <fill>
                <patternFill>
                  <bgColor rgb="FF00B050"/>
                </patternFill>
              </fill>
            </x14:dxf>
          </x14:cfRule>
          <x14:cfRule type="expression" priority="8143" stopIfTrue="1" id="{78B3DF96-C2D6-4004-BEFD-2381DF887409}">
            <xm:f>AND(IF(Q292&lt;'F:\Users\norela.briceno\Documents\Plan de acción\Plan Accion 2018\[Plan Accion Integrado ADRES Vigencia 2018 con Cuadro de Mando V6..xlsx]Plan de Accion 2018'!#REF!,Q292&lt;&gt;"N/A"))</xm:f>
            <x14:dxf>
              <fill>
                <patternFill>
                  <bgColor indexed="10"/>
                </patternFill>
              </fill>
            </x14:dxf>
          </x14:cfRule>
          <xm:sqref>Q292</xm:sqref>
        </x14:conditionalFormatting>
        <x14:conditionalFormatting xmlns:xm="http://schemas.microsoft.com/office/excel/2006/main">
          <x14:cfRule type="expression" priority="8138" id="{7BCCF3B7-1331-4450-996A-73EC35DDBE7D}">
            <xm:f>AND(IF(Q289&gt;'F:\Users\norela.briceno\Documents\Plan de acción\Plan Accion 2018\[Plan Accion Integrado ADRES Vigencia 2018 con Cuadro de Mando V6..xlsx]Plan de Accion 2018'!#REF!,Q289&lt;&gt;¨N/A¨))</xm:f>
            <x14:dxf>
              <fill>
                <patternFill>
                  <bgColor theme="1" tint="0.499984740745262"/>
                </patternFill>
              </fill>
            </x14:dxf>
          </x14:cfRule>
          <x14:cfRule type="expression" priority="8139" stopIfTrue="1" id="{F28E4655-CF83-467D-9D17-6607F31BBF84}">
            <xm:f>AND(IF(Q289='F:\Users\norela.briceno\Documents\Plan de acción\Plan Accion 2018\[Plan Accion Integrado ADRES Vigencia 2018 con Cuadro de Mando V6..xlsx]Plan de Accion 2018'!#REF!,Q289&lt;&gt;"N/A"))</xm:f>
            <x14:dxf>
              <fill>
                <patternFill>
                  <bgColor rgb="FF00B050"/>
                </patternFill>
              </fill>
            </x14:dxf>
          </x14:cfRule>
          <x14:cfRule type="expression" priority="8140" stopIfTrue="1" id="{93A84798-E8D1-4829-B4F5-D5ADD775C3C6}">
            <xm:f>AND(IF(Q289&lt;'F:\Users\norela.briceno\Documents\Plan de acción\Plan Accion 2018\[Plan Accion Integrado ADRES Vigencia 2018 con Cuadro de Mando V6..xlsx]Plan de Accion 2018'!#REF!,Q289&lt;&gt;"N/A"))</xm:f>
            <x14:dxf>
              <fill>
                <patternFill>
                  <bgColor indexed="10"/>
                </patternFill>
              </fill>
            </x14:dxf>
          </x14:cfRule>
          <xm:sqref>Q289</xm:sqref>
        </x14:conditionalFormatting>
        <x14:conditionalFormatting xmlns:xm="http://schemas.microsoft.com/office/excel/2006/main">
          <x14:cfRule type="expression" priority="8135" id="{9C440EF3-7860-4DD0-A0C6-F04CAC426B87}">
            <xm:f>AND(IF(Q282&gt;'F:\Users\norela.briceno\Documents\Plan de acción\Plan Accion 2018\[Plan Accion Integrado ADRES Vigencia 2018 con Cuadro de Mando V6..xlsx]Plan de Accion 2018'!#REF!,Q282&lt;&gt;¨N/A¨))</xm:f>
            <x14:dxf>
              <fill>
                <patternFill>
                  <bgColor theme="1" tint="0.499984740745262"/>
                </patternFill>
              </fill>
            </x14:dxf>
          </x14:cfRule>
          <x14:cfRule type="expression" priority="8136" stopIfTrue="1" id="{24260473-5B34-4B01-BA96-F8E288D9AA3C}">
            <xm:f>AND(IF(Q282='F:\Users\norela.briceno\Documents\Plan de acción\Plan Accion 2018\[Plan Accion Integrado ADRES Vigencia 2018 con Cuadro de Mando V6..xlsx]Plan de Accion 2018'!#REF!,Q282&lt;&gt;"N/A"))</xm:f>
            <x14:dxf>
              <fill>
                <patternFill>
                  <bgColor rgb="FF00B050"/>
                </patternFill>
              </fill>
            </x14:dxf>
          </x14:cfRule>
          <x14:cfRule type="expression" priority="8137" stopIfTrue="1" id="{FF65AB1E-3AD4-4737-99A4-67B2EDD3F345}">
            <xm:f>AND(IF(Q282&lt;'F:\Users\norela.briceno\Documents\Plan de acción\Plan Accion 2018\[Plan Accion Integrado ADRES Vigencia 2018 con Cuadro de Mando V6..xlsx]Plan de Accion 2018'!#REF!,Q282&lt;&gt;"N/A"))</xm:f>
            <x14:dxf>
              <fill>
                <patternFill>
                  <bgColor indexed="10"/>
                </patternFill>
              </fill>
            </x14:dxf>
          </x14:cfRule>
          <xm:sqref>Q282</xm:sqref>
        </x14:conditionalFormatting>
        <x14:conditionalFormatting xmlns:xm="http://schemas.microsoft.com/office/excel/2006/main">
          <x14:cfRule type="expression" priority="8132" id="{9207E794-ECF5-46D1-9A0A-9E2035C14C0D}">
            <xm:f>AND(IF(Q281&gt;'F:\Users\norela.briceno\Documents\Plan de acción\Plan Accion 2018\[Plan Accion Integrado ADRES Vigencia 2018 con Cuadro de Mando V6..xlsx]Plan de Accion 2018'!#REF!,Q281&lt;&gt;¨N/A¨))</xm:f>
            <x14:dxf>
              <fill>
                <patternFill>
                  <bgColor theme="1" tint="0.499984740745262"/>
                </patternFill>
              </fill>
            </x14:dxf>
          </x14:cfRule>
          <x14:cfRule type="expression" priority="8133" stopIfTrue="1" id="{25560152-F61D-4DCD-ADC4-601B4E25C8AA}">
            <xm:f>AND(IF(Q281='F:\Users\norela.briceno\Documents\Plan de acción\Plan Accion 2018\[Plan Accion Integrado ADRES Vigencia 2018 con Cuadro de Mando V6..xlsx]Plan de Accion 2018'!#REF!,Q281&lt;&gt;"N/A"))</xm:f>
            <x14:dxf>
              <fill>
                <patternFill>
                  <bgColor rgb="FF00B050"/>
                </patternFill>
              </fill>
            </x14:dxf>
          </x14:cfRule>
          <x14:cfRule type="expression" priority="8134" stopIfTrue="1" id="{EC45CD89-74E9-4256-B39E-B129B473C85B}">
            <xm:f>AND(IF(Q281&lt;'F:\Users\norela.briceno\Documents\Plan de acción\Plan Accion 2018\[Plan Accion Integrado ADRES Vigencia 2018 con Cuadro de Mando V6..xlsx]Plan de Accion 2018'!#REF!,Q281&lt;&gt;"N/A"))</xm:f>
            <x14:dxf>
              <fill>
                <patternFill>
                  <bgColor indexed="10"/>
                </patternFill>
              </fill>
            </x14:dxf>
          </x14:cfRule>
          <xm:sqref>Q281</xm:sqref>
        </x14:conditionalFormatting>
        <x14:conditionalFormatting xmlns:xm="http://schemas.microsoft.com/office/excel/2006/main">
          <x14:cfRule type="expression" priority="8129" id="{6267B253-9E91-4C4B-B811-0BF71BFAD79B}">
            <xm:f>AND(IF(Q280&gt;'F:\Users\norela.briceno\Documents\Plan de acción\Plan Accion 2018\[Plan Accion Integrado ADRES Vigencia 2018 con Cuadro de Mando V6..xlsx]Plan de Accion 2018'!#REF!,Q280&lt;&gt;¨N/A¨))</xm:f>
            <x14:dxf>
              <fill>
                <patternFill>
                  <bgColor theme="1" tint="0.499984740745262"/>
                </patternFill>
              </fill>
            </x14:dxf>
          </x14:cfRule>
          <x14:cfRule type="expression" priority="8130" stopIfTrue="1" id="{B88633DC-ED8B-4CE2-B2FF-C3A356F8E359}">
            <xm:f>AND(IF(Q280='F:\Users\norela.briceno\Documents\Plan de acción\Plan Accion 2018\[Plan Accion Integrado ADRES Vigencia 2018 con Cuadro de Mando V6..xlsx]Plan de Accion 2018'!#REF!,Q280&lt;&gt;"N/A"))</xm:f>
            <x14:dxf>
              <fill>
                <patternFill>
                  <bgColor rgb="FF00B050"/>
                </patternFill>
              </fill>
            </x14:dxf>
          </x14:cfRule>
          <x14:cfRule type="expression" priority="8131" stopIfTrue="1" id="{41D85693-8C8F-4719-8AF1-3F393D83E1C1}">
            <xm:f>AND(IF(Q280&lt;'F:\Users\norela.briceno\Documents\Plan de acción\Plan Accion 2018\[Plan Accion Integrado ADRES Vigencia 2018 con Cuadro de Mando V6..xlsx]Plan de Accion 2018'!#REF!,Q280&lt;&gt;"N/A"))</xm:f>
            <x14:dxf>
              <fill>
                <patternFill>
                  <bgColor indexed="10"/>
                </patternFill>
              </fill>
            </x14:dxf>
          </x14:cfRule>
          <xm:sqref>Q280</xm:sqref>
        </x14:conditionalFormatting>
        <x14:conditionalFormatting xmlns:xm="http://schemas.microsoft.com/office/excel/2006/main">
          <x14:cfRule type="expression" priority="8126" id="{60D34CA8-AD89-4E61-B3B5-848D175BE4D4}">
            <xm:f>AND(IF(Q279&gt;'F:\Users\norela.briceno\Documents\Plan de acción\Plan Accion 2018\[Plan Accion Integrado ADRES Vigencia 2018 con Cuadro de Mando V6..xlsx]Plan de Accion 2018'!#REF!,Q279&lt;&gt;¨N/A¨))</xm:f>
            <x14:dxf>
              <fill>
                <patternFill>
                  <bgColor theme="1" tint="0.499984740745262"/>
                </patternFill>
              </fill>
            </x14:dxf>
          </x14:cfRule>
          <x14:cfRule type="expression" priority="8127" stopIfTrue="1" id="{F49279E3-10B3-44A0-944E-E6C46BA3F537}">
            <xm:f>AND(IF(Q279='F:\Users\norela.briceno\Documents\Plan de acción\Plan Accion 2018\[Plan Accion Integrado ADRES Vigencia 2018 con Cuadro de Mando V6..xlsx]Plan de Accion 2018'!#REF!,Q279&lt;&gt;"N/A"))</xm:f>
            <x14:dxf>
              <fill>
                <patternFill>
                  <bgColor rgb="FF00B050"/>
                </patternFill>
              </fill>
            </x14:dxf>
          </x14:cfRule>
          <x14:cfRule type="expression" priority="8128" stopIfTrue="1" id="{ED57B0C9-B10B-4A7E-A844-2681DD1CB460}">
            <xm:f>AND(IF(Q279&lt;'F:\Users\norela.briceno\Documents\Plan de acción\Plan Accion 2018\[Plan Accion Integrado ADRES Vigencia 2018 con Cuadro de Mando V6..xlsx]Plan de Accion 2018'!#REF!,Q279&lt;&gt;"N/A"))</xm:f>
            <x14:dxf>
              <fill>
                <patternFill>
                  <bgColor indexed="10"/>
                </patternFill>
              </fill>
            </x14:dxf>
          </x14:cfRule>
          <xm:sqref>Q279</xm:sqref>
        </x14:conditionalFormatting>
        <x14:conditionalFormatting xmlns:xm="http://schemas.microsoft.com/office/excel/2006/main">
          <x14:cfRule type="expression" priority="8123" id="{903E05A1-7840-4A21-998A-5F7511048A08}">
            <xm:f>AND(IF(Q278&gt;'F:\Users\norela.briceno\Documents\Plan de acción\Plan Accion 2018\[Plan Accion Integrado ADRES Vigencia 2018 con Cuadro de Mando V6..xlsx]Plan de Accion 2018'!#REF!,Q278&lt;&gt;¨N/A¨))</xm:f>
            <x14:dxf>
              <fill>
                <patternFill>
                  <bgColor theme="1" tint="0.499984740745262"/>
                </patternFill>
              </fill>
            </x14:dxf>
          </x14:cfRule>
          <x14:cfRule type="expression" priority="8124" stopIfTrue="1" id="{CB57298C-C95E-4936-A235-3315D0B8F891}">
            <xm:f>AND(IF(Q278='F:\Users\norela.briceno\Documents\Plan de acción\Plan Accion 2018\[Plan Accion Integrado ADRES Vigencia 2018 con Cuadro de Mando V6..xlsx]Plan de Accion 2018'!#REF!,Q278&lt;&gt;"N/A"))</xm:f>
            <x14:dxf>
              <fill>
                <patternFill>
                  <bgColor rgb="FF00B050"/>
                </patternFill>
              </fill>
            </x14:dxf>
          </x14:cfRule>
          <x14:cfRule type="expression" priority="8125" stopIfTrue="1" id="{2154DF10-393C-4C8D-A7BD-839DEF28E8F9}">
            <xm:f>AND(IF(Q278&lt;'F:\Users\norela.briceno\Documents\Plan de acción\Plan Accion 2018\[Plan Accion Integrado ADRES Vigencia 2018 con Cuadro de Mando V6..xlsx]Plan de Accion 2018'!#REF!,Q278&lt;&gt;"N/A"))</xm:f>
            <x14:dxf>
              <fill>
                <patternFill>
                  <bgColor indexed="10"/>
                </patternFill>
              </fill>
            </x14:dxf>
          </x14:cfRule>
          <xm:sqref>Q278</xm:sqref>
        </x14:conditionalFormatting>
        <x14:conditionalFormatting xmlns:xm="http://schemas.microsoft.com/office/excel/2006/main">
          <x14:cfRule type="expression" priority="8120" id="{4FAC7172-DDF5-4314-857D-087D51F3B164}">
            <xm:f>AND(IF(Q277&gt;'F:\Users\norela.briceno\Documents\Plan de acción\Plan Accion 2018\[Plan Accion Integrado ADRES Vigencia 2018 con Cuadro de Mando V6..xlsx]Plan de Accion 2018'!#REF!,Q277&lt;&gt;¨N/A¨))</xm:f>
            <x14:dxf>
              <fill>
                <patternFill>
                  <bgColor theme="1" tint="0.499984740745262"/>
                </patternFill>
              </fill>
            </x14:dxf>
          </x14:cfRule>
          <x14:cfRule type="expression" priority="8121" stopIfTrue="1" id="{2939C42F-92BD-4752-9394-AAA97521E974}">
            <xm:f>AND(IF(Q277='F:\Users\norela.briceno\Documents\Plan de acción\Plan Accion 2018\[Plan Accion Integrado ADRES Vigencia 2018 con Cuadro de Mando V6..xlsx]Plan de Accion 2018'!#REF!,Q277&lt;&gt;"N/A"))</xm:f>
            <x14:dxf>
              <fill>
                <patternFill>
                  <bgColor rgb="FF00B050"/>
                </patternFill>
              </fill>
            </x14:dxf>
          </x14:cfRule>
          <x14:cfRule type="expression" priority="8122" stopIfTrue="1" id="{94B4D1F1-4ACB-4FDD-A359-CC1B3BD7D475}">
            <xm:f>AND(IF(Q277&lt;'F:\Users\norela.briceno\Documents\Plan de acción\Plan Accion 2018\[Plan Accion Integrado ADRES Vigencia 2018 con Cuadro de Mando V6..xlsx]Plan de Accion 2018'!#REF!,Q277&lt;&gt;"N/A"))</xm:f>
            <x14:dxf>
              <fill>
                <patternFill>
                  <bgColor indexed="10"/>
                </patternFill>
              </fill>
            </x14:dxf>
          </x14:cfRule>
          <xm:sqref>Q277</xm:sqref>
        </x14:conditionalFormatting>
        <x14:conditionalFormatting xmlns:xm="http://schemas.microsoft.com/office/excel/2006/main">
          <x14:cfRule type="expression" priority="8117" id="{54C3AD6A-724E-4391-99AF-867E6A93ED6A}">
            <xm:f>AND(IF(Q276&gt;'F:\Users\norela.briceno\Documents\Plan de acción\Plan Accion 2018\[Plan Accion Integrado ADRES Vigencia 2018 con Cuadro de Mando V6..xlsx]Plan de Accion 2018'!#REF!,Q276&lt;&gt;¨N/A¨))</xm:f>
            <x14:dxf>
              <fill>
                <patternFill>
                  <bgColor theme="1" tint="0.499984740745262"/>
                </patternFill>
              </fill>
            </x14:dxf>
          </x14:cfRule>
          <x14:cfRule type="expression" priority="8118" stopIfTrue="1" id="{D45070E1-7DE9-4D00-A999-6E98A133DEB2}">
            <xm:f>AND(IF(Q276='F:\Users\norela.briceno\Documents\Plan de acción\Plan Accion 2018\[Plan Accion Integrado ADRES Vigencia 2018 con Cuadro de Mando V6..xlsx]Plan de Accion 2018'!#REF!,Q276&lt;&gt;"N/A"))</xm:f>
            <x14:dxf>
              <fill>
                <patternFill>
                  <bgColor rgb="FF00B050"/>
                </patternFill>
              </fill>
            </x14:dxf>
          </x14:cfRule>
          <x14:cfRule type="expression" priority="8119" stopIfTrue="1" id="{F099F879-0972-4C61-9B22-371149C86269}">
            <xm:f>AND(IF(Q276&lt;'F:\Users\norela.briceno\Documents\Plan de acción\Plan Accion 2018\[Plan Accion Integrado ADRES Vigencia 2018 con Cuadro de Mando V6..xlsx]Plan de Accion 2018'!#REF!,Q276&lt;&gt;"N/A"))</xm:f>
            <x14:dxf>
              <fill>
                <patternFill>
                  <bgColor indexed="10"/>
                </patternFill>
              </fill>
            </x14:dxf>
          </x14:cfRule>
          <xm:sqref>Q276</xm:sqref>
        </x14:conditionalFormatting>
        <x14:conditionalFormatting xmlns:xm="http://schemas.microsoft.com/office/excel/2006/main">
          <x14:cfRule type="expression" priority="8114" id="{00FCEDDD-4AB2-424E-86D0-2875C2CA9365}">
            <xm:f>AND(IF(Q275&gt;'F:\Users\norela.briceno\Documents\Plan de acción\Plan Accion 2018\[Plan Accion Integrado ADRES Vigencia 2018 con Cuadro de Mando V6..xlsx]Plan de Accion 2018'!#REF!,Q275&lt;&gt;¨N/A¨))</xm:f>
            <x14:dxf>
              <fill>
                <patternFill>
                  <bgColor theme="1" tint="0.499984740745262"/>
                </patternFill>
              </fill>
            </x14:dxf>
          </x14:cfRule>
          <x14:cfRule type="expression" priority="8115" stopIfTrue="1" id="{83573090-F625-4817-93D9-5F0D4560003E}">
            <xm:f>AND(IF(Q275='F:\Users\norela.briceno\Documents\Plan de acción\Plan Accion 2018\[Plan Accion Integrado ADRES Vigencia 2018 con Cuadro de Mando V6..xlsx]Plan de Accion 2018'!#REF!,Q275&lt;&gt;"N/A"))</xm:f>
            <x14:dxf>
              <fill>
                <patternFill>
                  <bgColor rgb="FF00B050"/>
                </patternFill>
              </fill>
            </x14:dxf>
          </x14:cfRule>
          <x14:cfRule type="expression" priority="8116" stopIfTrue="1" id="{7D7216F7-5546-4729-81B9-9B823BC2FC2D}">
            <xm:f>AND(IF(Q275&lt;'F:\Users\norela.briceno\Documents\Plan de acción\Plan Accion 2018\[Plan Accion Integrado ADRES Vigencia 2018 con Cuadro de Mando V6..xlsx]Plan de Accion 2018'!#REF!,Q275&lt;&gt;"N/A"))</xm:f>
            <x14:dxf>
              <fill>
                <patternFill>
                  <bgColor indexed="10"/>
                </patternFill>
              </fill>
            </x14:dxf>
          </x14:cfRule>
          <xm:sqref>Q275</xm:sqref>
        </x14:conditionalFormatting>
        <x14:conditionalFormatting xmlns:xm="http://schemas.microsoft.com/office/excel/2006/main">
          <x14:cfRule type="expression" priority="8111" id="{6CF3ACC3-5147-4CC4-9428-846C630FD763}">
            <xm:f>AND(IF(Q274&gt;'F:\Users\norela.briceno\Documents\Plan de acción\Plan Accion 2018\[Plan Accion Integrado ADRES Vigencia 2018 con Cuadro de Mando V6..xlsx]Plan de Accion 2018'!#REF!,Q274&lt;&gt;¨N/A¨))</xm:f>
            <x14:dxf>
              <fill>
                <patternFill>
                  <bgColor theme="1" tint="0.499984740745262"/>
                </patternFill>
              </fill>
            </x14:dxf>
          </x14:cfRule>
          <x14:cfRule type="expression" priority="8112" stopIfTrue="1" id="{0B80E16E-162A-4A52-844A-2FE5A82F0F2D}">
            <xm:f>AND(IF(Q274='F:\Users\norela.briceno\Documents\Plan de acción\Plan Accion 2018\[Plan Accion Integrado ADRES Vigencia 2018 con Cuadro de Mando V6..xlsx]Plan de Accion 2018'!#REF!,Q274&lt;&gt;"N/A"))</xm:f>
            <x14:dxf>
              <fill>
                <patternFill>
                  <bgColor rgb="FF00B050"/>
                </patternFill>
              </fill>
            </x14:dxf>
          </x14:cfRule>
          <x14:cfRule type="expression" priority="8113" stopIfTrue="1" id="{C3CDC453-7185-419F-AF67-2D5BF84CFDE0}">
            <xm:f>AND(IF(Q274&lt;'F:\Users\norela.briceno\Documents\Plan de acción\Plan Accion 2018\[Plan Accion Integrado ADRES Vigencia 2018 con Cuadro de Mando V6..xlsx]Plan de Accion 2018'!#REF!,Q274&lt;&gt;"N/A"))</xm:f>
            <x14:dxf>
              <fill>
                <patternFill>
                  <bgColor indexed="10"/>
                </patternFill>
              </fill>
            </x14:dxf>
          </x14:cfRule>
          <xm:sqref>Q274</xm:sqref>
        </x14:conditionalFormatting>
        <x14:conditionalFormatting xmlns:xm="http://schemas.microsoft.com/office/excel/2006/main">
          <x14:cfRule type="expression" priority="8108" id="{4C3E909C-D989-445F-A9DE-8A41059D0D3A}">
            <xm:f>AND(IF(Q273&gt;'F:\Users\norela.briceno\Documents\Plan de acción\Plan Accion 2018\[Plan Accion Integrado ADRES Vigencia 2018 con Cuadro de Mando V6..xlsx]Plan de Accion 2018'!#REF!,Q273&lt;&gt;¨N/A¨))</xm:f>
            <x14:dxf>
              <fill>
                <patternFill>
                  <bgColor theme="1" tint="0.499984740745262"/>
                </patternFill>
              </fill>
            </x14:dxf>
          </x14:cfRule>
          <x14:cfRule type="expression" priority="8109" stopIfTrue="1" id="{B3637E8D-EC80-4F26-8708-968003326D9D}">
            <xm:f>AND(IF(Q273='F:\Users\norela.briceno\Documents\Plan de acción\Plan Accion 2018\[Plan Accion Integrado ADRES Vigencia 2018 con Cuadro de Mando V6..xlsx]Plan de Accion 2018'!#REF!,Q273&lt;&gt;"N/A"))</xm:f>
            <x14:dxf>
              <fill>
                <patternFill>
                  <bgColor rgb="FF00B050"/>
                </patternFill>
              </fill>
            </x14:dxf>
          </x14:cfRule>
          <x14:cfRule type="expression" priority="8110" stopIfTrue="1" id="{96BF8A69-3660-4C48-991C-DD3218310390}">
            <xm:f>AND(IF(Q273&lt;'F:\Users\norela.briceno\Documents\Plan de acción\Plan Accion 2018\[Plan Accion Integrado ADRES Vigencia 2018 con Cuadro de Mando V6..xlsx]Plan de Accion 2018'!#REF!,Q273&lt;&gt;"N/A"))</xm:f>
            <x14:dxf>
              <fill>
                <patternFill>
                  <bgColor indexed="10"/>
                </patternFill>
              </fill>
            </x14:dxf>
          </x14:cfRule>
          <xm:sqref>Q273</xm:sqref>
        </x14:conditionalFormatting>
        <x14:conditionalFormatting xmlns:xm="http://schemas.microsoft.com/office/excel/2006/main">
          <x14:cfRule type="expression" priority="8105" id="{E8410DCE-F1B8-4B38-867A-9309122B3E96}">
            <xm:f>AND(IF(Q272&gt;'F:\Users\norela.briceno\Documents\Plan de acción\Plan Accion 2018\[Plan Accion Integrado ADRES Vigencia 2018 con Cuadro de Mando V6..xlsx]Plan de Accion 2018'!#REF!,Q272&lt;&gt;¨N/A¨))</xm:f>
            <x14:dxf>
              <fill>
                <patternFill>
                  <bgColor theme="1" tint="0.499984740745262"/>
                </patternFill>
              </fill>
            </x14:dxf>
          </x14:cfRule>
          <x14:cfRule type="expression" priority="8106" stopIfTrue="1" id="{C53009D0-54C0-4EAA-AE48-83A2401C82BA}">
            <xm:f>AND(IF(Q272='F:\Users\norela.briceno\Documents\Plan de acción\Plan Accion 2018\[Plan Accion Integrado ADRES Vigencia 2018 con Cuadro de Mando V6..xlsx]Plan de Accion 2018'!#REF!,Q272&lt;&gt;"N/A"))</xm:f>
            <x14:dxf>
              <fill>
                <patternFill>
                  <bgColor rgb="FF00B050"/>
                </patternFill>
              </fill>
            </x14:dxf>
          </x14:cfRule>
          <x14:cfRule type="expression" priority="8107" stopIfTrue="1" id="{91D61431-3A2B-479F-BA33-2FFD5FE0D94A}">
            <xm:f>AND(IF(Q272&lt;'F:\Users\norela.briceno\Documents\Plan de acción\Plan Accion 2018\[Plan Accion Integrado ADRES Vigencia 2018 con Cuadro de Mando V6..xlsx]Plan de Accion 2018'!#REF!,Q272&lt;&gt;"N/A"))</xm:f>
            <x14:dxf>
              <fill>
                <patternFill>
                  <bgColor indexed="10"/>
                </patternFill>
              </fill>
            </x14:dxf>
          </x14:cfRule>
          <xm:sqref>Q272</xm:sqref>
        </x14:conditionalFormatting>
        <x14:conditionalFormatting xmlns:xm="http://schemas.microsoft.com/office/excel/2006/main">
          <x14:cfRule type="expression" priority="8102" id="{D3547650-DD2E-409E-9C1E-AB94B486DAB5}">
            <xm:f>AND(IF(Q271&gt;'F:\Users\norela.briceno\Documents\Plan de acción\Plan Accion 2018\[Plan Accion Integrado ADRES Vigencia 2018 con Cuadro de Mando V6..xlsx]Plan de Accion 2018'!#REF!,Q271&lt;&gt;¨N/A¨))</xm:f>
            <x14:dxf>
              <fill>
                <patternFill>
                  <bgColor theme="1" tint="0.499984740745262"/>
                </patternFill>
              </fill>
            </x14:dxf>
          </x14:cfRule>
          <x14:cfRule type="expression" priority="8103" stopIfTrue="1" id="{A733E44F-138E-49BD-A186-1B451909520B}">
            <xm:f>AND(IF(Q271='F:\Users\norela.briceno\Documents\Plan de acción\Plan Accion 2018\[Plan Accion Integrado ADRES Vigencia 2018 con Cuadro de Mando V6..xlsx]Plan de Accion 2018'!#REF!,Q271&lt;&gt;"N/A"))</xm:f>
            <x14:dxf>
              <fill>
                <patternFill>
                  <bgColor rgb="FF00B050"/>
                </patternFill>
              </fill>
            </x14:dxf>
          </x14:cfRule>
          <x14:cfRule type="expression" priority="8104" stopIfTrue="1" id="{D990B784-7B65-4A46-AE0B-B58279FC5C79}">
            <xm:f>AND(IF(Q271&lt;'F:\Users\norela.briceno\Documents\Plan de acción\Plan Accion 2018\[Plan Accion Integrado ADRES Vigencia 2018 con Cuadro de Mando V6..xlsx]Plan de Accion 2018'!#REF!,Q271&lt;&gt;"N/A"))</xm:f>
            <x14:dxf>
              <fill>
                <patternFill>
                  <bgColor indexed="10"/>
                </patternFill>
              </fill>
            </x14:dxf>
          </x14:cfRule>
          <xm:sqref>Q271</xm:sqref>
        </x14:conditionalFormatting>
        <x14:conditionalFormatting xmlns:xm="http://schemas.microsoft.com/office/excel/2006/main">
          <x14:cfRule type="expression" priority="8060" id="{2F07D530-BE55-43D2-9F5E-25D0D0D93442}">
            <xm:f>AND(IF(Q255&gt;'F:\Users\norela.briceno\Documents\Plan de acción\Plan Accion 2018\[Plan Accion Integrado ADRES Vigencia 2018 con Cuadro de Mando V6..xlsx]Plan de Accion 2018'!#REF!,Q255&lt;&gt;¨N/A¨))</xm:f>
            <x14:dxf>
              <fill>
                <patternFill>
                  <bgColor theme="1" tint="0.499984740745262"/>
                </patternFill>
              </fill>
            </x14:dxf>
          </x14:cfRule>
          <x14:cfRule type="expression" priority="8061" stopIfTrue="1" id="{4D085D8F-B65E-4299-8F17-557BCB360078}">
            <xm:f>AND(IF(Q255='F:\Users\norela.briceno\Documents\Plan de acción\Plan Accion 2018\[Plan Accion Integrado ADRES Vigencia 2018 con Cuadro de Mando V6..xlsx]Plan de Accion 2018'!#REF!,Q255&lt;&gt;"N/A"))</xm:f>
            <x14:dxf>
              <fill>
                <patternFill>
                  <bgColor rgb="FF00B050"/>
                </patternFill>
              </fill>
            </x14:dxf>
          </x14:cfRule>
          <x14:cfRule type="expression" priority="8062" stopIfTrue="1" id="{B8DA13EC-3557-45F4-B485-D582BA328AA7}">
            <xm:f>AND(IF(Q255&lt;'F:\Users\norela.briceno\Documents\Plan de acción\Plan Accion 2018\[Plan Accion Integrado ADRES Vigencia 2018 con Cuadro de Mando V6..xlsx]Plan de Accion 2018'!#REF!,Q255&lt;&gt;"N/A"))</xm:f>
            <x14:dxf>
              <fill>
                <patternFill>
                  <bgColor indexed="10"/>
                </patternFill>
              </fill>
            </x14:dxf>
          </x14:cfRule>
          <xm:sqref>Q255</xm:sqref>
        </x14:conditionalFormatting>
        <x14:conditionalFormatting xmlns:xm="http://schemas.microsoft.com/office/excel/2006/main">
          <x14:cfRule type="expression" priority="8096" id="{1E2D09D2-0733-42C4-9AF5-A5D35C84A9BD}">
            <xm:f>AND(IF(Q268&gt;'F:\Users\norela.briceno\Documents\Plan de acción\Plan Accion 2018\[Plan Accion Integrado ADRES Vigencia 2018 con Cuadro de Mando V6..xlsx]Plan de Accion 2018'!#REF!,Q268&lt;&gt;¨N/A¨))</xm:f>
            <x14:dxf>
              <fill>
                <patternFill>
                  <bgColor theme="1" tint="0.499984740745262"/>
                </patternFill>
              </fill>
            </x14:dxf>
          </x14:cfRule>
          <x14:cfRule type="expression" priority="8097" stopIfTrue="1" id="{1A4EB3AF-16C5-41CE-95C2-A020F8117B53}">
            <xm:f>AND(IF(Q268='F:\Users\norela.briceno\Documents\Plan de acción\Plan Accion 2018\[Plan Accion Integrado ADRES Vigencia 2018 con Cuadro de Mando V6..xlsx]Plan de Accion 2018'!#REF!,Q268&lt;&gt;"N/A"))</xm:f>
            <x14:dxf>
              <fill>
                <patternFill>
                  <bgColor rgb="FF00B050"/>
                </patternFill>
              </fill>
            </x14:dxf>
          </x14:cfRule>
          <x14:cfRule type="expression" priority="8098" stopIfTrue="1" id="{41A316C2-FDB6-4AB0-AEE9-0F847B49599A}">
            <xm:f>AND(IF(Q268&lt;'F:\Users\norela.briceno\Documents\Plan de acción\Plan Accion 2018\[Plan Accion Integrado ADRES Vigencia 2018 con Cuadro de Mando V6..xlsx]Plan de Accion 2018'!#REF!,Q268&lt;&gt;"N/A"))</xm:f>
            <x14:dxf>
              <fill>
                <patternFill>
                  <bgColor indexed="10"/>
                </patternFill>
              </fill>
            </x14:dxf>
          </x14:cfRule>
          <xm:sqref>Q268</xm:sqref>
        </x14:conditionalFormatting>
        <x14:conditionalFormatting xmlns:xm="http://schemas.microsoft.com/office/excel/2006/main">
          <x14:cfRule type="expression" priority="8093" id="{E7C0FD2B-CE26-4825-9C5D-0521747E865C}">
            <xm:f>AND(IF(Q267&gt;'F:\Users\norela.briceno\Documents\Plan de acción\Plan Accion 2018\[Plan Accion Integrado ADRES Vigencia 2018 con Cuadro de Mando V6..xlsx]Plan de Accion 2018'!#REF!,Q267&lt;&gt;¨N/A¨))</xm:f>
            <x14:dxf>
              <fill>
                <patternFill>
                  <bgColor theme="1" tint="0.499984740745262"/>
                </patternFill>
              </fill>
            </x14:dxf>
          </x14:cfRule>
          <x14:cfRule type="expression" priority="8094" stopIfTrue="1" id="{5FE2F556-976C-485B-9791-E006C1E490E5}">
            <xm:f>AND(IF(Q267='F:\Users\norela.briceno\Documents\Plan de acción\Plan Accion 2018\[Plan Accion Integrado ADRES Vigencia 2018 con Cuadro de Mando V6..xlsx]Plan de Accion 2018'!#REF!,Q267&lt;&gt;"N/A"))</xm:f>
            <x14:dxf>
              <fill>
                <patternFill>
                  <bgColor rgb="FF00B050"/>
                </patternFill>
              </fill>
            </x14:dxf>
          </x14:cfRule>
          <x14:cfRule type="expression" priority="8095" stopIfTrue="1" id="{3B74B324-3C2A-4B99-9B76-9C2E1EC69C71}">
            <xm:f>AND(IF(Q267&lt;'F:\Users\norela.briceno\Documents\Plan de acción\Plan Accion 2018\[Plan Accion Integrado ADRES Vigencia 2018 con Cuadro de Mando V6..xlsx]Plan de Accion 2018'!#REF!,Q267&lt;&gt;"N/A"))</xm:f>
            <x14:dxf>
              <fill>
                <patternFill>
                  <bgColor indexed="10"/>
                </patternFill>
              </fill>
            </x14:dxf>
          </x14:cfRule>
          <xm:sqref>Q267</xm:sqref>
        </x14:conditionalFormatting>
        <x14:conditionalFormatting xmlns:xm="http://schemas.microsoft.com/office/excel/2006/main">
          <x14:cfRule type="expression" priority="8090" id="{4D8F727A-1E31-435F-81F4-D7D46B54974A}">
            <xm:f>AND(IF(Q266&gt;'F:\Users\norela.briceno\Documents\Plan de acción\Plan Accion 2018\[Plan Accion Integrado ADRES Vigencia 2018 con Cuadro de Mando V6..xlsx]Plan de Accion 2018'!#REF!,Q266&lt;&gt;¨N/A¨))</xm:f>
            <x14:dxf>
              <fill>
                <patternFill>
                  <bgColor theme="1" tint="0.499984740745262"/>
                </patternFill>
              </fill>
            </x14:dxf>
          </x14:cfRule>
          <x14:cfRule type="expression" priority="8091" stopIfTrue="1" id="{988CA33E-F1E7-4A95-9AA4-389019DFFA53}">
            <xm:f>AND(IF(Q266='F:\Users\norela.briceno\Documents\Plan de acción\Plan Accion 2018\[Plan Accion Integrado ADRES Vigencia 2018 con Cuadro de Mando V6..xlsx]Plan de Accion 2018'!#REF!,Q266&lt;&gt;"N/A"))</xm:f>
            <x14:dxf>
              <fill>
                <patternFill>
                  <bgColor rgb="FF00B050"/>
                </patternFill>
              </fill>
            </x14:dxf>
          </x14:cfRule>
          <x14:cfRule type="expression" priority="8092" stopIfTrue="1" id="{784D0B97-1FD8-49C3-A38D-44E791B178C2}">
            <xm:f>AND(IF(Q266&lt;'F:\Users\norela.briceno\Documents\Plan de acción\Plan Accion 2018\[Plan Accion Integrado ADRES Vigencia 2018 con Cuadro de Mando V6..xlsx]Plan de Accion 2018'!#REF!,Q266&lt;&gt;"N/A"))</xm:f>
            <x14:dxf>
              <fill>
                <patternFill>
                  <bgColor indexed="10"/>
                </patternFill>
              </fill>
            </x14:dxf>
          </x14:cfRule>
          <xm:sqref>Q266</xm:sqref>
        </x14:conditionalFormatting>
        <x14:conditionalFormatting xmlns:xm="http://schemas.microsoft.com/office/excel/2006/main">
          <x14:cfRule type="expression" priority="8087" id="{C6718257-64BB-4797-B0BC-240344834122}">
            <xm:f>AND(IF(Q265&gt;'F:\Users\norela.briceno\Documents\Plan de acción\Plan Accion 2018\[Plan Accion Integrado ADRES Vigencia 2018 con Cuadro de Mando V6..xlsx]Plan de Accion 2018'!#REF!,Q265&lt;&gt;¨N/A¨))</xm:f>
            <x14:dxf>
              <fill>
                <patternFill>
                  <bgColor theme="1" tint="0.499984740745262"/>
                </patternFill>
              </fill>
            </x14:dxf>
          </x14:cfRule>
          <x14:cfRule type="expression" priority="8088" stopIfTrue="1" id="{9E21A80B-F243-46B9-AC32-A5F76F57F488}">
            <xm:f>AND(IF(Q265='F:\Users\norela.briceno\Documents\Plan de acción\Plan Accion 2018\[Plan Accion Integrado ADRES Vigencia 2018 con Cuadro de Mando V6..xlsx]Plan de Accion 2018'!#REF!,Q265&lt;&gt;"N/A"))</xm:f>
            <x14:dxf>
              <fill>
                <patternFill>
                  <bgColor rgb="FF00B050"/>
                </patternFill>
              </fill>
            </x14:dxf>
          </x14:cfRule>
          <x14:cfRule type="expression" priority="8089" stopIfTrue="1" id="{C575DEE4-C831-4FF1-9151-CDABFF91F127}">
            <xm:f>AND(IF(Q265&lt;'F:\Users\norela.briceno\Documents\Plan de acción\Plan Accion 2018\[Plan Accion Integrado ADRES Vigencia 2018 con Cuadro de Mando V6..xlsx]Plan de Accion 2018'!#REF!,Q265&lt;&gt;"N/A"))</xm:f>
            <x14:dxf>
              <fill>
                <patternFill>
                  <bgColor indexed="10"/>
                </patternFill>
              </fill>
            </x14:dxf>
          </x14:cfRule>
          <xm:sqref>Q265</xm:sqref>
        </x14:conditionalFormatting>
        <x14:conditionalFormatting xmlns:xm="http://schemas.microsoft.com/office/excel/2006/main">
          <x14:cfRule type="expression" priority="8084" id="{8AEA59F4-75BE-44E7-8089-BDF53B124999}">
            <xm:f>AND(IF(Q264&gt;'F:\Users\norela.briceno\Documents\Plan de acción\Plan Accion 2018\[Plan Accion Integrado ADRES Vigencia 2018 con Cuadro de Mando V6..xlsx]Plan de Accion 2018'!#REF!,Q264&lt;&gt;¨N/A¨))</xm:f>
            <x14:dxf>
              <fill>
                <patternFill>
                  <bgColor theme="1" tint="0.499984740745262"/>
                </patternFill>
              </fill>
            </x14:dxf>
          </x14:cfRule>
          <x14:cfRule type="expression" priority="8085" stopIfTrue="1" id="{D3DCC1E6-1B31-43D2-8FD2-467A193F348C}">
            <xm:f>AND(IF(Q264='F:\Users\norela.briceno\Documents\Plan de acción\Plan Accion 2018\[Plan Accion Integrado ADRES Vigencia 2018 con Cuadro de Mando V6..xlsx]Plan de Accion 2018'!#REF!,Q264&lt;&gt;"N/A"))</xm:f>
            <x14:dxf>
              <fill>
                <patternFill>
                  <bgColor rgb="FF00B050"/>
                </patternFill>
              </fill>
            </x14:dxf>
          </x14:cfRule>
          <x14:cfRule type="expression" priority="8086" stopIfTrue="1" id="{94ABD2EA-58E3-4EBF-A4AA-649A1B48680C}">
            <xm:f>AND(IF(Q264&lt;'F:\Users\norela.briceno\Documents\Plan de acción\Plan Accion 2018\[Plan Accion Integrado ADRES Vigencia 2018 con Cuadro de Mando V6..xlsx]Plan de Accion 2018'!#REF!,Q264&lt;&gt;"N/A"))</xm:f>
            <x14:dxf>
              <fill>
                <patternFill>
                  <bgColor indexed="10"/>
                </patternFill>
              </fill>
            </x14:dxf>
          </x14:cfRule>
          <xm:sqref>Q264</xm:sqref>
        </x14:conditionalFormatting>
        <x14:conditionalFormatting xmlns:xm="http://schemas.microsoft.com/office/excel/2006/main">
          <x14:cfRule type="expression" priority="8081" id="{8D4FF44B-6E2B-4697-A04D-184FC082DF4B}">
            <xm:f>AND(IF(Q258&gt;'F:\Users\norela.briceno\Documents\Plan de acción\Plan Accion 2018\[Plan Accion Integrado ADRES Vigencia 2018 con Cuadro de Mando V6..xlsx]Plan de Accion 2018'!#REF!,Q258&lt;&gt;¨N/A¨))</xm:f>
            <x14:dxf>
              <fill>
                <patternFill>
                  <bgColor theme="1" tint="0.499984740745262"/>
                </patternFill>
              </fill>
            </x14:dxf>
          </x14:cfRule>
          <x14:cfRule type="expression" priority="8082" stopIfTrue="1" id="{183A8255-6B04-4B48-92E6-91479399637D}">
            <xm:f>AND(IF(Q258='F:\Users\norela.briceno\Documents\Plan de acción\Plan Accion 2018\[Plan Accion Integrado ADRES Vigencia 2018 con Cuadro de Mando V6..xlsx]Plan de Accion 2018'!#REF!,Q258&lt;&gt;"N/A"))</xm:f>
            <x14:dxf>
              <fill>
                <patternFill>
                  <bgColor rgb="FF00B050"/>
                </patternFill>
              </fill>
            </x14:dxf>
          </x14:cfRule>
          <x14:cfRule type="expression" priority="8083" stopIfTrue="1" id="{48F2D5D3-04C3-4148-8062-405B2553BDF1}">
            <xm:f>AND(IF(Q258&lt;'F:\Users\norela.briceno\Documents\Plan de acción\Plan Accion 2018\[Plan Accion Integrado ADRES Vigencia 2018 con Cuadro de Mando V6..xlsx]Plan de Accion 2018'!#REF!,Q258&lt;&gt;"N/A"))</xm:f>
            <x14:dxf>
              <fill>
                <patternFill>
                  <bgColor indexed="10"/>
                </patternFill>
              </fill>
            </x14:dxf>
          </x14:cfRule>
          <xm:sqref>Q258</xm:sqref>
        </x14:conditionalFormatting>
        <x14:conditionalFormatting xmlns:xm="http://schemas.microsoft.com/office/excel/2006/main">
          <x14:cfRule type="expression" priority="8078" id="{DD08D258-8181-4F65-89E0-53F3653BBD48}">
            <xm:f>AND(IF(Q259&gt;'F:\Users\norela.briceno\Documents\Plan de acción\Plan Accion 2018\[Plan Accion Integrado ADRES Vigencia 2018 con Cuadro de Mando V6..xlsx]Plan de Accion 2018'!#REF!,Q259&lt;&gt;¨N/A¨))</xm:f>
            <x14:dxf>
              <fill>
                <patternFill>
                  <bgColor theme="1" tint="0.499984740745262"/>
                </patternFill>
              </fill>
            </x14:dxf>
          </x14:cfRule>
          <x14:cfRule type="expression" priority="8079" stopIfTrue="1" id="{AA820DF7-D55D-49CF-BE2B-6098A130A6F2}">
            <xm:f>AND(IF(Q259='F:\Users\norela.briceno\Documents\Plan de acción\Plan Accion 2018\[Plan Accion Integrado ADRES Vigencia 2018 con Cuadro de Mando V6..xlsx]Plan de Accion 2018'!#REF!,Q259&lt;&gt;"N/A"))</xm:f>
            <x14:dxf>
              <fill>
                <patternFill>
                  <bgColor rgb="FF00B050"/>
                </patternFill>
              </fill>
            </x14:dxf>
          </x14:cfRule>
          <x14:cfRule type="expression" priority="8080" stopIfTrue="1" id="{27F2FDFF-612A-4ACC-A2F7-763ABA8234D8}">
            <xm:f>AND(IF(Q259&lt;'F:\Users\norela.briceno\Documents\Plan de acción\Plan Accion 2018\[Plan Accion Integrado ADRES Vigencia 2018 con Cuadro de Mando V6..xlsx]Plan de Accion 2018'!#REF!,Q259&lt;&gt;"N/A"))</xm:f>
            <x14:dxf>
              <fill>
                <patternFill>
                  <bgColor indexed="10"/>
                </patternFill>
              </fill>
            </x14:dxf>
          </x14:cfRule>
          <xm:sqref>Q259</xm:sqref>
        </x14:conditionalFormatting>
        <x14:conditionalFormatting xmlns:xm="http://schemas.microsoft.com/office/excel/2006/main">
          <x14:cfRule type="expression" priority="8075" id="{74B064E8-CBEE-4576-9FBE-CFA076C8C168}">
            <xm:f>AND(IF(Q260&gt;'F:\Users\norela.briceno\Documents\Plan de acción\Plan Accion 2018\[Plan Accion Integrado ADRES Vigencia 2018 con Cuadro de Mando V6..xlsx]Plan de Accion 2018'!#REF!,Q260&lt;&gt;¨N/A¨))</xm:f>
            <x14:dxf>
              <fill>
                <patternFill>
                  <bgColor theme="1" tint="0.499984740745262"/>
                </patternFill>
              </fill>
            </x14:dxf>
          </x14:cfRule>
          <x14:cfRule type="expression" priority="8076" stopIfTrue="1" id="{7DB5ECAD-BB68-4E6D-A638-173B57EFD7AE}">
            <xm:f>AND(IF(Q260='F:\Users\norela.briceno\Documents\Plan de acción\Plan Accion 2018\[Plan Accion Integrado ADRES Vigencia 2018 con Cuadro de Mando V6..xlsx]Plan de Accion 2018'!#REF!,Q260&lt;&gt;"N/A"))</xm:f>
            <x14:dxf>
              <fill>
                <patternFill>
                  <bgColor rgb="FF00B050"/>
                </patternFill>
              </fill>
            </x14:dxf>
          </x14:cfRule>
          <x14:cfRule type="expression" priority="8077" stopIfTrue="1" id="{D9ED3F5D-A0EE-4B11-88B3-2E4EA1D82E22}">
            <xm:f>AND(IF(Q260&lt;'F:\Users\norela.briceno\Documents\Plan de acción\Plan Accion 2018\[Plan Accion Integrado ADRES Vigencia 2018 con Cuadro de Mando V6..xlsx]Plan de Accion 2018'!#REF!,Q260&lt;&gt;"N/A"))</xm:f>
            <x14:dxf>
              <fill>
                <patternFill>
                  <bgColor indexed="10"/>
                </patternFill>
              </fill>
            </x14:dxf>
          </x14:cfRule>
          <xm:sqref>Q260</xm:sqref>
        </x14:conditionalFormatting>
        <x14:conditionalFormatting xmlns:xm="http://schemas.microsoft.com/office/excel/2006/main">
          <x14:cfRule type="expression" priority="8072" id="{4F0C4D83-7BEE-40C2-97D6-29FCB7E4B6DF}">
            <xm:f>AND(IF(Q261&gt;'F:\Users\norela.briceno\Documents\Plan de acción\Plan Accion 2018\[Plan Accion Integrado ADRES Vigencia 2018 con Cuadro de Mando V6..xlsx]Plan de Accion 2018'!#REF!,Q261&lt;&gt;¨N/A¨))</xm:f>
            <x14:dxf>
              <fill>
                <patternFill>
                  <bgColor theme="1" tint="0.499984740745262"/>
                </patternFill>
              </fill>
            </x14:dxf>
          </x14:cfRule>
          <x14:cfRule type="expression" priority="8073" stopIfTrue="1" id="{BA61EB16-7000-4B42-B207-2391A56D511C}">
            <xm:f>AND(IF(Q261='F:\Users\norela.briceno\Documents\Plan de acción\Plan Accion 2018\[Plan Accion Integrado ADRES Vigencia 2018 con Cuadro de Mando V6..xlsx]Plan de Accion 2018'!#REF!,Q261&lt;&gt;"N/A"))</xm:f>
            <x14:dxf>
              <fill>
                <patternFill>
                  <bgColor rgb="FF00B050"/>
                </patternFill>
              </fill>
            </x14:dxf>
          </x14:cfRule>
          <x14:cfRule type="expression" priority="8074" stopIfTrue="1" id="{874C7AEC-B69E-4C99-AD10-A851465E86FA}">
            <xm:f>AND(IF(Q261&lt;'F:\Users\norela.briceno\Documents\Plan de acción\Plan Accion 2018\[Plan Accion Integrado ADRES Vigencia 2018 con Cuadro de Mando V6..xlsx]Plan de Accion 2018'!#REF!,Q261&lt;&gt;"N/A"))</xm:f>
            <x14:dxf>
              <fill>
                <patternFill>
                  <bgColor indexed="10"/>
                </patternFill>
              </fill>
            </x14:dxf>
          </x14:cfRule>
          <xm:sqref>Q261</xm:sqref>
        </x14:conditionalFormatting>
        <x14:conditionalFormatting xmlns:xm="http://schemas.microsoft.com/office/excel/2006/main">
          <x14:cfRule type="expression" priority="8069" id="{7261D8A0-46B5-4D04-A166-B3F6978963A9}">
            <xm:f>AND(IF(Q262&gt;'F:\Users\norela.briceno\Documents\Plan de acción\Plan Accion 2018\[Plan Accion Integrado ADRES Vigencia 2018 con Cuadro de Mando V6..xlsx]Plan de Accion 2018'!#REF!,Q262&lt;&gt;¨N/A¨))</xm:f>
            <x14:dxf>
              <fill>
                <patternFill>
                  <bgColor theme="1" tint="0.499984740745262"/>
                </patternFill>
              </fill>
            </x14:dxf>
          </x14:cfRule>
          <x14:cfRule type="expression" priority="8070" stopIfTrue="1" id="{9CC7F0BD-4256-4F24-B395-F41E20B0C340}">
            <xm:f>AND(IF(Q262='F:\Users\norela.briceno\Documents\Plan de acción\Plan Accion 2018\[Plan Accion Integrado ADRES Vigencia 2018 con Cuadro de Mando V6..xlsx]Plan de Accion 2018'!#REF!,Q262&lt;&gt;"N/A"))</xm:f>
            <x14:dxf>
              <fill>
                <patternFill>
                  <bgColor rgb="FF00B050"/>
                </patternFill>
              </fill>
            </x14:dxf>
          </x14:cfRule>
          <x14:cfRule type="expression" priority="8071" stopIfTrue="1" id="{8DEAB5FB-2597-4832-9A02-8A50C001020E}">
            <xm:f>AND(IF(Q262&lt;'F:\Users\norela.briceno\Documents\Plan de acción\Plan Accion 2018\[Plan Accion Integrado ADRES Vigencia 2018 con Cuadro de Mando V6..xlsx]Plan de Accion 2018'!#REF!,Q262&lt;&gt;"N/A"))</xm:f>
            <x14:dxf>
              <fill>
                <patternFill>
                  <bgColor indexed="10"/>
                </patternFill>
              </fill>
            </x14:dxf>
          </x14:cfRule>
          <xm:sqref>Q262</xm:sqref>
        </x14:conditionalFormatting>
        <x14:conditionalFormatting xmlns:xm="http://schemas.microsoft.com/office/excel/2006/main">
          <x14:cfRule type="expression" priority="8066" id="{412A7B8A-FCF6-47C5-A006-882DD5F5392F}">
            <xm:f>AND(IF(Q263&gt;'F:\Users\norela.briceno\Documents\Plan de acción\Plan Accion 2018\[Plan Accion Integrado ADRES Vigencia 2018 con Cuadro de Mando V6..xlsx]Plan de Accion 2018'!#REF!,Q263&lt;&gt;¨N/A¨))</xm:f>
            <x14:dxf>
              <fill>
                <patternFill>
                  <bgColor theme="1" tint="0.499984740745262"/>
                </patternFill>
              </fill>
            </x14:dxf>
          </x14:cfRule>
          <x14:cfRule type="expression" priority="8067" stopIfTrue="1" id="{7CA9BE4C-62BA-4B19-BD36-0CF83445CB63}">
            <xm:f>AND(IF(Q263='F:\Users\norela.briceno\Documents\Plan de acción\Plan Accion 2018\[Plan Accion Integrado ADRES Vigencia 2018 con Cuadro de Mando V6..xlsx]Plan de Accion 2018'!#REF!,Q263&lt;&gt;"N/A"))</xm:f>
            <x14:dxf>
              <fill>
                <patternFill>
                  <bgColor rgb="FF00B050"/>
                </patternFill>
              </fill>
            </x14:dxf>
          </x14:cfRule>
          <x14:cfRule type="expression" priority="8068" stopIfTrue="1" id="{2C19F9BD-0E60-43B7-ACEE-4849BE4CADF8}">
            <xm:f>AND(IF(Q263&lt;'F:\Users\norela.briceno\Documents\Plan de acción\Plan Accion 2018\[Plan Accion Integrado ADRES Vigencia 2018 con Cuadro de Mando V6..xlsx]Plan de Accion 2018'!#REF!,Q263&lt;&gt;"N/A"))</xm:f>
            <x14:dxf>
              <fill>
                <patternFill>
                  <bgColor indexed="10"/>
                </patternFill>
              </fill>
            </x14:dxf>
          </x14:cfRule>
          <xm:sqref>Q263</xm:sqref>
        </x14:conditionalFormatting>
        <x14:conditionalFormatting xmlns:xm="http://schemas.microsoft.com/office/excel/2006/main">
          <x14:cfRule type="expression" priority="8063" id="{D5D0A3F0-5A05-4F30-B6E5-61E180EFFC4D}">
            <xm:f>AND(IF(Q256&gt;'F:\Users\norela.briceno\Documents\Plan de acción\Plan Accion 2018\[Plan Accion Integrado ADRES Vigencia 2018 con Cuadro de Mando V6..xlsx]Plan de Accion 2018'!#REF!,Q256&lt;&gt;¨N/A¨))</xm:f>
            <x14:dxf>
              <fill>
                <patternFill>
                  <bgColor theme="1" tint="0.499984740745262"/>
                </patternFill>
              </fill>
            </x14:dxf>
          </x14:cfRule>
          <x14:cfRule type="expression" priority="8064" stopIfTrue="1" id="{B7A8A026-AE7A-45E9-88C1-EDC84973AF1B}">
            <xm:f>AND(IF(Q256='F:\Users\norela.briceno\Documents\Plan de acción\Plan Accion 2018\[Plan Accion Integrado ADRES Vigencia 2018 con Cuadro de Mando V6..xlsx]Plan de Accion 2018'!#REF!,Q256&lt;&gt;"N/A"))</xm:f>
            <x14:dxf>
              <fill>
                <patternFill>
                  <bgColor rgb="FF00B050"/>
                </patternFill>
              </fill>
            </x14:dxf>
          </x14:cfRule>
          <x14:cfRule type="expression" priority="8065" stopIfTrue="1" id="{08C6A71E-CE83-4150-9687-12DDF2762A13}">
            <xm:f>AND(IF(Q256&lt;'F:\Users\norela.briceno\Documents\Plan de acción\Plan Accion 2018\[Plan Accion Integrado ADRES Vigencia 2018 con Cuadro de Mando V6..xlsx]Plan de Accion 2018'!#REF!,Q256&lt;&gt;"N/A"))</xm:f>
            <x14:dxf>
              <fill>
                <patternFill>
                  <bgColor indexed="10"/>
                </patternFill>
              </fill>
            </x14:dxf>
          </x14:cfRule>
          <xm:sqref>Q256</xm:sqref>
        </x14:conditionalFormatting>
        <x14:conditionalFormatting xmlns:xm="http://schemas.microsoft.com/office/excel/2006/main">
          <x14:cfRule type="expression" priority="8057" id="{DF2DDF2A-8933-4F5A-AF8C-7697C8CC5EFF}">
            <xm:f>AND(IF(Q254&gt;'F:\Users\norela.briceno\Documents\Plan de acción\Plan Accion 2018\[Plan Accion Integrado ADRES Vigencia 2018 con Cuadro de Mando V6..xlsx]Plan de Accion 2018'!#REF!,Q254&lt;&gt;¨N/A¨))</xm:f>
            <x14:dxf>
              <fill>
                <patternFill>
                  <bgColor theme="1" tint="0.499984740745262"/>
                </patternFill>
              </fill>
            </x14:dxf>
          </x14:cfRule>
          <x14:cfRule type="expression" priority="8058" stopIfTrue="1" id="{E6F2B62E-4741-43D6-A7A8-4F51FDBDE102}">
            <xm:f>AND(IF(Q254='F:\Users\norela.briceno\Documents\Plan de acción\Plan Accion 2018\[Plan Accion Integrado ADRES Vigencia 2018 con Cuadro de Mando V6..xlsx]Plan de Accion 2018'!#REF!,Q254&lt;&gt;"N/A"))</xm:f>
            <x14:dxf>
              <fill>
                <patternFill>
                  <bgColor rgb="FF00B050"/>
                </patternFill>
              </fill>
            </x14:dxf>
          </x14:cfRule>
          <x14:cfRule type="expression" priority="8059" stopIfTrue="1" id="{8F962656-5FB8-4BA6-B390-0275B72DB106}">
            <xm:f>AND(IF(Q254&lt;'F:\Users\norela.briceno\Documents\Plan de acción\Plan Accion 2018\[Plan Accion Integrado ADRES Vigencia 2018 con Cuadro de Mando V6..xlsx]Plan de Accion 2018'!#REF!,Q254&lt;&gt;"N/A"))</xm:f>
            <x14:dxf>
              <fill>
                <patternFill>
                  <bgColor indexed="10"/>
                </patternFill>
              </fill>
            </x14:dxf>
          </x14:cfRule>
          <xm:sqref>Q254</xm:sqref>
        </x14:conditionalFormatting>
        <x14:conditionalFormatting xmlns:xm="http://schemas.microsoft.com/office/excel/2006/main">
          <x14:cfRule type="expression" priority="8054" id="{E8B674D3-42C2-420E-B5DE-37E700C1D927}">
            <xm:f>AND(IF(Q248&gt;'F:\Users\norela.briceno\Documents\Plan de acción\Plan Accion 2018\[Plan Accion Integrado ADRES Vigencia 2018 con Cuadro de Mando V6..xlsx]Plan de Accion 2018'!#REF!,Q248&lt;&gt;¨N/A¨))</xm:f>
            <x14:dxf>
              <fill>
                <patternFill>
                  <bgColor theme="1" tint="0.499984740745262"/>
                </patternFill>
              </fill>
            </x14:dxf>
          </x14:cfRule>
          <x14:cfRule type="expression" priority="8055" stopIfTrue="1" id="{94A0298D-1E61-4EAE-8F32-FA88412FF50A}">
            <xm:f>AND(IF(Q248='F:\Users\norela.briceno\Documents\Plan de acción\Plan Accion 2018\[Plan Accion Integrado ADRES Vigencia 2018 con Cuadro de Mando V6..xlsx]Plan de Accion 2018'!#REF!,Q248&lt;&gt;"N/A"))</xm:f>
            <x14:dxf>
              <fill>
                <patternFill>
                  <bgColor rgb="FF00B050"/>
                </patternFill>
              </fill>
            </x14:dxf>
          </x14:cfRule>
          <x14:cfRule type="expression" priority="8056" stopIfTrue="1" id="{1CD55B05-0E89-4DE8-8293-0FA3C5100A7C}">
            <xm:f>AND(IF(Q248&lt;'F:\Users\norela.briceno\Documents\Plan de acción\Plan Accion 2018\[Plan Accion Integrado ADRES Vigencia 2018 con Cuadro de Mando V6..xlsx]Plan de Accion 2018'!#REF!,Q248&lt;&gt;"N/A"))</xm:f>
            <x14:dxf>
              <fill>
                <patternFill>
                  <bgColor indexed="10"/>
                </patternFill>
              </fill>
            </x14:dxf>
          </x14:cfRule>
          <xm:sqref>Q248</xm:sqref>
        </x14:conditionalFormatting>
        <x14:conditionalFormatting xmlns:xm="http://schemas.microsoft.com/office/excel/2006/main">
          <x14:cfRule type="expression" priority="8051" id="{8212538F-4EF6-438B-9D73-04578E6D88D4}">
            <xm:f>AND(IF(Q249&gt;'F:\Users\norela.briceno\Documents\Plan de acción\Plan Accion 2018\[Plan Accion Integrado ADRES Vigencia 2018 con Cuadro de Mando V6..xlsx]Plan de Accion 2018'!#REF!,Q249&lt;&gt;¨N/A¨))</xm:f>
            <x14:dxf>
              <fill>
                <patternFill>
                  <bgColor theme="1" tint="0.499984740745262"/>
                </patternFill>
              </fill>
            </x14:dxf>
          </x14:cfRule>
          <x14:cfRule type="expression" priority="8052" stopIfTrue="1" id="{4506CA3B-B829-429B-9AD3-318379EA49DA}">
            <xm:f>AND(IF(Q249='F:\Users\norela.briceno\Documents\Plan de acción\Plan Accion 2018\[Plan Accion Integrado ADRES Vigencia 2018 con Cuadro de Mando V6..xlsx]Plan de Accion 2018'!#REF!,Q249&lt;&gt;"N/A"))</xm:f>
            <x14:dxf>
              <fill>
                <patternFill>
                  <bgColor rgb="FF00B050"/>
                </patternFill>
              </fill>
            </x14:dxf>
          </x14:cfRule>
          <x14:cfRule type="expression" priority="8053" stopIfTrue="1" id="{52EA98E4-09B2-4E66-B002-41AAF4784B8D}">
            <xm:f>AND(IF(Q249&lt;'F:\Users\norela.briceno\Documents\Plan de acción\Plan Accion 2018\[Plan Accion Integrado ADRES Vigencia 2018 con Cuadro de Mando V6..xlsx]Plan de Accion 2018'!#REF!,Q249&lt;&gt;"N/A"))</xm:f>
            <x14:dxf>
              <fill>
                <patternFill>
                  <bgColor indexed="10"/>
                </patternFill>
              </fill>
            </x14:dxf>
          </x14:cfRule>
          <xm:sqref>Q249</xm:sqref>
        </x14:conditionalFormatting>
        <x14:conditionalFormatting xmlns:xm="http://schemas.microsoft.com/office/excel/2006/main">
          <x14:cfRule type="expression" priority="8048" id="{8A49D60A-352C-49F8-A483-F09BDD57CDEE}">
            <xm:f>AND(IF(Q250&gt;'F:\Users\norela.briceno\Documents\Plan de acción\Plan Accion 2018\[Plan Accion Integrado ADRES Vigencia 2018 con Cuadro de Mando V6..xlsx]Plan de Accion 2018'!#REF!,Q250&lt;&gt;¨N/A¨))</xm:f>
            <x14:dxf>
              <fill>
                <patternFill>
                  <bgColor theme="1" tint="0.499984740745262"/>
                </patternFill>
              </fill>
            </x14:dxf>
          </x14:cfRule>
          <x14:cfRule type="expression" priority="8049" stopIfTrue="1" id="{6C11AD44-26CC-4381-A64B-1EC669EABB14}">
            <xm:f>AND(IF(Q250='F:\Users\norela.briceno\Documents\Plan de acción\Plan Accion 2018\[Plan Accion Integrado ADRES Vigencia 2018 con Cuadro de Mando V6..xlsx]Plan de Accion 2018'!#REF!,Q250&lt;&gt;"N/A"))</xm:f>
            <x14:dxf>
              <fill>
                <patternFill>
                  <bgColor rgb="FF00B050"/>
                </patternFill>
              </fill>
            </x14:dxf>
          </x14:cfRule>
          <x14:cfRule type="expression" priority="8050" stopIfTrue="1" id="{F35EE8A2-FB56-41E7-8E75-935803E89792}">
            <xm:f>AND(IF(Q250&lt;'F:\Users\norela.briceno\Documents\Plan de acción\Plan Accion 2018\[Plan Accion Integrado ADRES Vigencia 2018 con Cuadro de Mando V6..xlsx]Plan de Accion 2018'!#REF!,Q250&lt;&gt;"N/A"))</xm:f>
            <x14:dxf>
              <fill>
                <patternFill>
                  <bgColor indexed="10"/>
                </patternFill>
              </fill>
            </x14:dxf>
          </x14:cfRule>
          <xm:sqref>Q250</xm:sqref>
        </x14:conditionalFormatting>
        <x14:conditionalFormatting xmlns:xm="http://schemas.microsoft.com/office/excel/2006/main">
          <x14:cfRule type="expression" priority="8045" id="{BA572D3D-9378-406C-92A1-438727259487}">
            <xm:f>AND(IF(Q251&gt;'F:\Users\norela.briceno\Documents\Plan de acción\Plan Accion 2018\[Plan Accion Integrado ADRES Vigencia 2018 con Cuadro de Mando V6..xlsx]Plan de Accion 2018'!#REF!,Q251&lt;&gt;¨N/A¨))</xm:f>
            <x14:dxf>
              <fill>
                <patternFill>
                  <bgColor theme="1" tint="0.499984740745262"/>
                </patternFill>
              </fill>
            </x14:dxf>
          </x14:cfRule>
          <x14:cfRule type="expression" priority="8046" stopIfTrue="1" id="{9491E56B-527C-4BAF-8441-EBE7A266166A}">
            <xm:f>AND(IF(Q251='F:\Users\norela.briceno\Documents\Plan de acción\Plan Accion 2018\[Plan Accion Integrado ADRES Vigencia 2018 con Cuadro de Mando V6..xlsx]Plan de Accion 2018'!#REF!,Q251&lt;&gt;"N/A"))</xm:f>
            <x14:dxf>
              <fill>
                <patternFill>
                  <bgColor rgb="FF00B050"/>
                </patternFill>
              </fill>
            </x14:dxf>
          </x14:cfRule>
          <x14:cfRule type="expression" priority="8047" stopIfTrue="1" id="{F3C84872-95AC-4371-935A-368FEF91A849}">
            <xm:f>AND(IF(Q251&lt;'F:\Users\norela.briceno\Documents\Plan de acción\Plan Accion 2018\[Plan Accion Integrado ADRES Vigencia 2018 con Cuadro de Mando V6..xlsx]Plan de Accion 2018'!#REF!,Q251&lt;&gt;"N/A"))</xm:f>
            <x14:dxf>
              <fill>
                <patternFill>
                  <bgColor indexed="10"/>
                </patternFill>
              </fill>
            </x14:dxf>
          </x14:cfRule>
          <xm:sqref>Q251</xm:sqref>
        </x14:conditionalFormatting>
        <x14:conditionalFormatting xmlns:xm="http://schemas.microsoft.com/office/excel/2006/main">
          <x14:cfRule type="expression" priority="8042" id="{E7B71B23-1E6A-4976-9413-209E92B1D604}">
            <xm:f>AND(IF(Q252&gt;'F:\Users\norela.briceno\Documents\Plan de acción\Plan Accion 2018\[Plan Accion Integrado ADRES Vigencia 2018 con Cuadro de Mando V6..xlsx]Plan de Accion 2018'!#REF!,Q252&lt;&gt;¨N/A¨))</xm:f>
            <x14:dxf>
              <fill>
                <patternFill>
                  <bgColor theme="1" tint="0.499984740745262"/>
                </patternFill>
              </fill>
            </x14:dxf>
          </x14:cfRule>
          <x14:cfRule type="expression" priority="8043" stopIfTrue="1" id="{227F23AC-6CCF-4C9A-8547-F87667224D40}">
            <xm:f>AND(IF(Q252='F:\Users\norela.briceno\Documents\Plan de acción\Plan Accion 2018\[Plan Accion Integrado ADRES Vigencia 2018 con Cuadro de Mando V6..xlsx]Plan de Accion 2018'!#REF!,Q252&lt;&gt;"N/A"))</xm:f>
            <x14:dxf>
              <fill>
                <patternFill>
                  <bgColor rgb="FF00B050"/>
                </patternFill>
              </fill>
            </x14:dxf>
          </x14:cfRule>
          <x14:cfRule type="expression" priority="8044" stopIfTrue="1" id="{DBCF1DDB-ED2A-4AEB-907B-F8436A41A8C2}">
            <xm:f>AND(IF(Q252&lt;'F:\Users\norela.briceno\Documents\Plan de acción\Plan Accion 2018\[Plan Accion Integrado ADRES Vigencia 2018 con Cuadro de Mando V6..xlsx]Plan de Accion 2018'!#REF!,Q252&lt;&gt;"N/A"))</xm:f>
            <x14:dxf>
              <fill>
                <patternFill>
                  <bgColor indexed="10"/>
                </patternFill>
              </fill>
            </x14:dxf>
          </x14:cfRule>
          <xm:sqref>Q252</xm:sqref>
        </x14:conditionalFormatting>
        <x14:conditionalFormatting xmlns:xm="http://schemas.microsoft.com/office/excel/2006/main">
          <x14:cfRule type="expression" priority="8039" id="{21577FCA-E68C-4BA4-B408-B65038C2B41F}">
            <xm:f>AND(IF(Q253&gt;'F:\Users\norela.briceno\Documents\Plan de acción\Plan Accion 2018\[Plan Accion Integrado ADRES Vigencia 2018 con Cuadro de Mando V6..xlsx]Plan de Accion 2018'!#REF!,Q253&lt;&gt;¨N/A¨))</xm:f>
            <x14:dxf>
              <fill>
                <patternFill>
                  <bgColor theme="1" tint="0.499984740745262"/>
                </patternFill>
              </fill>
            </x14:dxf>
          </x14:cfRule>
          <x14:cfRule type="expression" priority="8040" stopIfTrue="1" id="{A8869639-F6E8-4A07-92C5-F4641A26F378}">
            <xm:f>AND(IF(Q253='F:\Users\norela.briceno\Documents\Plan de acción\Plan Accion 2018\[Plan Accion Integrado ADRES Vigencia 2018 con Cuadro de Mando V6..xlsx]Plan de Accion 2018'!#REF!,Q253&lt;&gt;"N/A"))</xm:f>
            <x14:dxf>
              <fill>
                <patternFill>
                  <bgColor rgb="FF00B050"/>
                </patternFill>
              </fill>
            </x14:dxf>
          </x14:cfRule>
          <x14:cfRule type="expression" priority="8041" stopIfTrue="1" id="{A19DC533-E548-457A-AAF7-4952450E6A44}">
            <xm:f>AND(IF(Q253&lt;'F:\Users\norela.briceno\Documents\Plan de acción\Plan Accion 2018\[Plan Accion Integrado ADRES Vigencia 2018 con Cuadro de Mando V6..xlsx]Plan de Accion 2018'!#REF!,Q253&lt;&gt;"N/A"))</xm:f>
            <x14:dxf>
              <fill>
                <patternFill>
                  <bgColor indexed="10"/>
                </patternFill>
              </fill>
            </x14:dxf>
          </x14:cfRule>
          <xm:sqref>Q253</xm:sqref>
        </x14:conditionalFormatting>
        <x14:conditionalFormatting xmlns:xm="http://schemas.microsoft.com/office/excel/2006/main">
          <x14:cfRule type="expression" priority="8036" id="{8E9A9087-A3BE-443C-8F9B-C8B18CB8DAEA}">
            <xm:f>AND(IF(Q362&gt;'F:\Users\norela.briceno\Documents\Plan de acción\Plan Accion 2018\[Plan Accion Integrado ADRES Vigencia 2018 con Cuadro de Mando V6..xlsx]Plan de Accion 2018'!#REF!,Q362&lt;&gt;¨N/A¨))</xm:f>
            <x14:dxf>
              <fill>
                <patternFill>
                  <bgColor theme="1" tint="0.499984740745262"/>
                </patternFill>
              </fill>
            </x14:dxf>
          </x14:cfRule>
          <x14:cfRule type="expression" priority="8037" stopIfTrue="1" id="{6A759C2F-0440-4D8B-9A98-6A7512E90AA0}">
            <xm:f>AND(IF(Q362='F:\Users\norela.briceno\Documents\Plan de acción\Plan Accion 2018\[Plan Accion Integrado ADRES Vigencia 2018 con Cuadro de Mando V6..xlsx]Plan de Accion 2018'!#REF!,Q362&lt;&gt;"N/A"))</xm:f>
            <x14:dxf>
              <fill>
                <patternFill>
                  <bgColor rgb="FF00B050"/>
                </patternFill>
              </fill>
            </x14:dxf>
          </x14:cfRule>
          <x14:cfRule type="expression" priority="8038" stopIfTrue="1" id="{1E6EF003-42AC-4D47-BA39-8CC8C0E5D3BB}">
            <xm:f>AND(IF(Q362&lt;'F:\Users\norela.briceno\Documents\Plan de acción\Plan Accion 2018\[Plan Accion Integrado ADRES Vigencia 2018 con Cuadro de Mando V6..xlsx]Plan de Accion 2018'!#REF!,Q362&lt;&gt;"N/A"))</xm:f>
            <x14:dxf>
              <fill>
                <patternFill>
                  <bgColor indexed="10"/>
                </patternFill>
              </fill>
            </x14:dxf>
          </x14:cfRule>
          <xm:sqref>Q362</xm:sqref>
        </x14:conditionalFormatting>
        <x14:conditionalFormatting xmlns:xm="http://schemas.microsoft.com/office/excel/2006/main">
          <x14:cfRule type="expression" priority="8033" id="{80B22C1A-F19F-4ACC-AFF2-42CE83018D3D}">
            <xm:f>AND(IF(Q244&gt;'F:\Users\norela.briceno\Documents\Plan de acción\Plan Accion 2018\[Plan Accion Integrado ADRES Vigencia 2018 con Cuadro de Mando V6..xlsx]Plan de Accion 2018'!#REF!,Q244&lt;&gt;¨N/A¨))</xm:f>
            <x14:dxf>
              <fill>
                <patternFill>
                  <bgColor theme="1" tint="0.499984740745262"/>
                </patternFill>
              </fill>
            </x14:dxf>
          </x14:cfRule>
          <x14:cfRule type="expression" priority="8034" stopIfTrue="1" id="{7BF79D33-808D-40D5-8E20-D0119BF724B7}">
            <xm:f>AND(IF(Q244='F:\Users\norela.briceno\Documents\Plan de acción\Plan Accion 2018\[Plan Accion Integrado ADRES Vigencia 2018 con Cuadro de Mando V6..xlsx]Plan de Accion 2018'!#REF!,Q244&lt;&gt;"N/A"))</xm:f>
            <x14:dxf>
              <fill>
                <patternFill>
                  <bgColor rgb="FF00B050"/>
                </patternFill>
              </fill>
            </x14:dxf>
          </x14:cfRule>
          <x14:cfRule type="expression" priority="8035" stopIfTrue="1" id="{8E09D616-33D3-42CA-B9F2-52CAFDADA3A3}">
            <xm:f>AND(IF(Q244&lt;'F:\Users\norela.briceno\Documents\Plan de acción\Plan Accion 2018\[Plan Accion Integrado ADRES Vigencia 2018 con Cuadro de Mando V6..xlsx]Plan de Accion 2018'!#REF!,Q244&lt;&gt;"N/A"))</xm:f>
            <x14:dxf>
              <fill>
                <patternFill>
                  <bgColor indexed="10"/>
                </patternFill>
              </fill>
            </x14:dxf>
          </x14:cfRule>
          <xm:sqref>Q244</xm:sqref>
        </x14:conditionalFormatting>
        <x14:conditionalFormatting xmlns:xm="http://schemas.microsoft.com/office/excel/2006/main">
          <x14:cfRule type="expression" priority="8030" id="{243535CB-4817-4C1A-8C12-321706690F1E}">
            <xm:f>AND(IF(Q241&gt;'F:\Users\norela.briceno\Documents\Plan de acción\Plan Accion 2018\[Plan Accion Integrado ADRES Vigencia 2018 con Cuadro de Mando V6..xlsx]Plan de Accion 2018'!#REF!,Q241&lt;&gt;¨N/A¨))</xm:f>
            <x14:dxf>
              <fill>
                <patternFill>
                  <bgColor theme="1" tint="0.499984740745262"/>
                </patternFill>
              </fill>
            </x14:dxf>
          </x14:cfRule>
          <x14:cfRule type="expression" priority="8031" stopIfTrue="1" id="{CA9DE4A1-D0A6-46EF-9A39-F227C271BD2A}">
            <xm:f>AND(IF(Q241='F:\Users\norela.briceno\Documents\Plan de acción\Plan Accion 2018\[Plan Accion Integrado ADRES Vigencia 2018 con Cuadro de Mando V6..xlsx]Plan de Accion 2018'!#REF!,Q241&lt;&gt;"N/A"))</xm:f>
            <x14:dxf>
              <fill>
                <patternFill>
                  <bgColor rgb="FF00B050"/>
                </patternFill>
              </fill>
            </x14:dxf>
          </x14:cfRule>
          <x14:cfRule type="expression" priority="8032" stopIfTrue="1" id="{A4EA7926-259C-4766-89B8-05FF7599112B}">
            <xm:f>AND(IF(Q241&lt;'F:\Users\norela.briceno\Documents\Plan de acción\Plan Accion 2018\[Plan Accion Integrado ADRES Vigencia 2018 con Cuadro de Mando V6..xlsx]Plan de Accion 2018'!#REF!,Q241&lt;&gt;"N/A"))</xm:f>
            <x14:dxf>
              <fill>
                <patternFill>
                  <bgColor indexed="10"/>
                </patternFill>
              </fill>
            </x14:dxf>
          </x14:cfRule>
          <xm:sqref>Q241</xm:sqref>
        </x14:conditionalFormatting>
        <x14:conditionalFormatting xmlns:xm="http://schemas.microsoft.com/office/excel/2006/main">
          <x14:cfRule type="expression" priority="8027" id="{EEEE11B0-F4B1-4C51-A7D9-E2CFD4867936}">
            <xm:f>AND(IF(Q238&gt;'F:\Users\norela.briceno\Documents\Plan de acción\Plan Accion 2018\[Plan Accion Integrado ADRES Vigencia 2018 con Cuadro de Mando V6..xlsx]Plan de Accion 2018'!#REF!,Q238&lt;&gt;¨N/A¨))</xm:f>
            <x14:dxf>
              <fill>
                <patternFill>
                  <bgColor theme="1" tint="0.499984740745262"/>
                </patternFill>
              </fill>
            </x14:dxf>
          </x14:cfRule>
          <x14:cfRule type="expression" priority="8028" stopIfTrue="1" id="{25342094-88AE-487B-BD7C-1288471D7BCA}">
            <xm:f>AND(IF(Q238='F:\Users\norela.briceno\Documents\Plan de acción\Plan Accion 2018\[Plan Accion Integrado ADRES Vigencia 2018 con Cuadro de Mando V6..xlsx]Plan de Accion 2018'!#REF!,Q238&lt;&gt;"N/A"))</xm:f>
            <x14:dxf>
              <fill>
                <patternFill>
                  <bgColor rgb="FF00B050"/>
                </patternFill>
              </fill>
            </x14:dxf>
          </x14:cfRule>
          <x14:cfRule type="expression" priority="8029" stopIfTrue="1" id="{11E3C403-97EC-49E2-80E2-2E67C29A33ED}">
            <xm:f>AND(IF(Q238&lt;'F:\Users\norela.briceno\Documents\Plan de acción\Plan Accion 2018\[Plan Accion Integrado ADRES Vigencia 2018 con Cuadro de Mando V6..xlsx]Plan de Accion 2018'!#REF!,Q238&lt;&gt;"N/A"))</xm:f>
            <x14:dxf>
              <fill>
                <patternFill>
                  <bgColor indexed="10"/>
                </patternFill>
              </fill>
            </x14:dxf>
          </x14:cfRule>
          <xm:sqref>Q238</xm:sqref>
        </x14:conditionalFormatting>
        <x14:conditionalFormatting xmlns:xm="http://schemas.microsoft.com/office/excel/2006/main">
          <x14:cfRule type="expression" priority="8024" id="{0CCA29E5-4A49-4D67-8449-45FFEC3355FD}">
            <xm:f>AND(IF(Q237&gt;'F:\Users\norela.briceno\Documents\Plan de acción\Plan Accion 2018\[Plan Accion Integrado ADRES Vigencia 2018 con Cuadro de Mando V6..xlsx]Plan de Accion 2018'!#REF!,Q237&lt;&gt;¨N/A¨))</xm:f>
            <x14:dxf>
              <fill>
                <patternFill>
                  <bgColor theme="1" tint="0.499984740745262"/>
                </patternFill>
              </fill>
            </x14:dxf>
          </x14:cfRule>
          <x14:cfRule type="expression" priority="8025" stopIfTrue="1" id="{58E88CD6-3600-43AD-B8F3-89C4E3CDBD30}">
            <xm:f>AND(IF(Q237='F:\Users\norela.briceno\Documents\Plan de acción\Plan Accion 2018\[Plan Accion Integrado ADRES Vigencia 2018 con Cuadro de Mando V6..xlsx]Plan de Accion 2018'!#REF!,Q237&lt;&gt;"N/A"))</xm:f>
            <x14:dxf>
              <fill>
                <patternFill>
                  <bgColor rgb="FF00B050"/>
                </patternFill>
              </fill>
            </x14:dxf>
          </x14:cfRule>
          <x14:cfRule type="expression" priority="8026" stopIfTrue="1" id="{4C9C9E1C-5E1E-4BB1-8E7B-0263B8A04900}">
            <xm:f>AND(IF(Q237&lt;'F:\Users\norela.briceno\Documents\Plan de acción\Plan Accion 2018\[Plan Accion Integrado ADRES Vigencia 2018 con Cuadro de Mando V6..xlsx]Plan de Accion 2018'!#REF!,Q237&lt;&gt;"N/A"))</xm:f>
            <x14:dxf>
              <fill>
                <patternFill>
                  <bgColor indexed="10"/>
                </patternFill>
              </fill>
            </x14:dxf>
          </x14:cfRule>
          <xm:sqref>Q237</xm:sqref>
        </x14:conditionalFormatting>
        <x14:conditionalFormatting xmlns:xm="http://schemas.microsoft.com/office/excel/2006/main">
          <x14:cfRule type="expression" priority="8021" id="{AB9F732A-8BB8-4900-8867-1D83F8BCDC1B}">
            <xm:f>AND(IF(Q217&gt;'F:\Users\norela.briceno\Documents\Plan de acción\Plan Accion 2018\[Plan Accion Integrado ADRES Vigencia 2018 con Cuadro de Mando V6..xlsx]Plan de Accion 2018'!#REF!,Q217&lt;&gt;¨N/A¨))</xm:f>
            <x14:dxf>
              <fill>
                <patternFill>
                  <bgColor theme="1" tint="0.499984740745262"/>
                </patternFill>
              </fill>
            </x14:dxf>
          </x14:cfRule>
          <x14:cfRule type="expression" priority="8022" stopIfTrue="1" id="{152DBB52-D35E-447C-AB9E-E4D248FE6E3E}">
            <xm:f>AND(IF(Q217='F:\Users\norela.briceno\Documents\Plan de acción\Plan Accion 2018\[Plan Accion Integrado ADRES Vigencia 2018 con Cuadro de Mando V6..xlsx]Plan de Accion 2018'!#REF!,Q217&lt;&gt;"N/A"))</xm:f>
            <x14:dxf>
              <fill>
                <patternFill>
                  <bgColor rgb="FF00B050"/>
                </patternFill>
              </fill>
            </x14:dxf>
          </x14:cfRule>
          <x14:cfRule type="expression" priority="8023" stopIfTrue="1" id="{12B1EFB5-45A7-47FF-B9C1-47DD818233F9}">
            <xm:f>AND(IF(Q217&lt;'F:\Users\norela.briceno\Documents\Plan de acción\Plan Accion 2018\[Plan Accion Integrado ADRES Vigencia 2018 con Cuadro de Mando V6..xlsx]Plan de Accion 2018'!#REF!,Q217&lt;&gt;"N/A"))</xm:f>
            <x14:dxf>
              <fill>
                <patternFill>
                  <bgColor indexed="10"/>
                </patternFill>
              </fill>
            </x14:dxf>
          </x14:cfRule>
          <xm:sqref>Q217</xm:sqref>
        </x14:conditionalFormatting>
        <x14:conditionalFormatting xmlns:xm="http://schemas.microsoft.com/office/excel/2006/main">
          <x14:cfRule type="expression" priority="8018" id="{268696CB-151D-4D3B-ADD8-C7697BE859AD}">
            <xm:f>AND(IF(Q216&gt;'F:\Users\norela.briceno\Documents\Plan de acción\Plan Accion 2018\[Plan Accion Integrado ADRES Vigencia 2018 con Cuadro de Mando V6..xlsx]Plan de Accion 2018'!#REF!,Q216&lt;&gt;¨N/A¨))</xm:f>
            <x14:dxf>
              <fill>
                <patternFill>
                  <bgColor theme="1" tint="0.499984740745262"/>
                </patternFill>
              </fill>
            </x14:dxf>
          </x14:cfRule>
          <x14:cfRule type="expression" priority="8019" stopIfTrue="1" id="{CBACFA9C-FA3E-498D-A793-26964BCFC394}">
            <xm:f>AND(IF(Q216='F:\Users\norela.briceno\Documents\Plan de acción\Plan Accion 2018\[Plan Accion Integrado ADRES Vigencia 2018 con Cuadro de Mando V6..xlsx]Plan de Accion 2018'!#REF!,Q216&lt;&gt;"N/A"))</xm:f>
            <x14:dxf>
              <fill>
                <patternFill>
                  <bgColor rgb="FF00B050"/>
                </patternFill>
              </fill>
            </x14:dxf>
          </x14:cfRule>
          <x14:cfRule type="expression" priority="8020" stopIfTrue="1" id="{F3C2F469-8F37-4BA5-B64B-01E1FD818DA6}">
            <xm:f>AND(IF(Q216&lt;'F:\Users\norela.briceno\Documents\Plan de acción\Plan Accion 2018\[Plan Accion Integrado ADRES Vigencia 2018 con Cuadro de Mando V6..xlsx]Plan de Accion 2018'!#REF!,Q216&lt;&gt;"N/A"))</xm:f>
            <x14:dxf>
              <fill>
                <patternFill>
                  <bgColor indexed="10"/>
                </patternFill>
              </fill>
            </x14:dxf>
          </x14:cfRule>
          <xm:sqref>Q216</xm:sqref>
        </x14:conditionalFormatting>
        <x14:conditionalFormatting xmlns:xm="http://schemas.microsoft.com/office/excel/2006/main">
          <x14:cfRule type="expression" priority="8015" id="{B9F306A1-F535-4E96-B7D3-9743F8D3F706}">
            <xm:f>AND(IF(Q215&gt;'F:\Users\norela.briceno\Documents\Plan de acción\Plan Accion 2018\[Plan Accion Integrado ADRES Vigencia 2018 con Cuadro de Mando V6..xlsx]Plan de Accion 2018'!#REF!,Q215&lt;&gt;¨N/A¨))</xm:f>
            <x14:dxf>
              <fill>
                <patternFill>
                  <bgColor theme="1" tint="0.499984740745262"/>
                </patternFill>
              </fill>
            </x14:dxf>
          </x14:cfRule>
          <x14:cfRule type="expression" priority="8016" stopIfTrue="1" id="{A34A957D-15FF-4717-8A4F-8EE24BC50670}">
            <xm:f>AND(IF(Q215='F:\Users\norela.briceno\Documents\Plan de acción\Plan Accion 2018\[Plan Accion Integrado ADRES Vigencia 2018 con Cuadro de Mando V6..xlsx]Plan de Accion 2018'!#REF!,Q215&lt;&gt;"N/A"))</xm:f>
            <x14:dxf>
              <fill>
                <patternFill>
                  <bgColor rgb="FF00B050"/>
                </patternFill>
              </fill>
            </x14:dxf>
          </x14:cfRule>
          <x14:cfRule type="expression" priority="8017" stopIfTrue="1" id="{B08B57EB-2674-40F9-B81F-F07B87505A32}">
            <xm:f>AND(IF(Q215&lt;'F:\Users\norela.briceno\Documents\Plan de acción\Plan Accion 2018\[Plan Accion Integrado ADRES Vigencia 2018 con Cuadro de Mando V6..xlsx]Plan de Accion 2018'!#REF!,Q215&lt;&gt;"N/A"))</xm:f>
            <x14:dxf>
              <fill>
                <patternFill>
                  <bgColor indexed="10"/>
                </patternFill>
              </fill>
            </x14:dxf>
          </x14:cfRule>
          <xm:sqref>Q215</xm:sqref>
        </x14:conditionalFormatting>
        <x14:conditionalFormatting xmlns:xm="http://schemas.microsoft.com/office/excel/2006/main">
          <x14:cfRule type="expression" priority="8012" id="{A245F5A0-B22C-49AE-B754-F0CAA18C5AE9}">
            <xm:f>AND(IF(Q214&gt;'F:\Users\norela.briceno\Documents\Plan de acción\Plan Accion 2018\[Plan Accion Integrado ADRES Vigencia 2018 con Cuadro de Mando V6..xlsx]Plan de Accion 2018'!#REF!,Q214&lt;&gt;¨N/A¨))</xm:f>
            <x14:dxf>
              <fill>
                <patternFill>
                  <bgColor theme="1" tint="0.499984740745262"/>
                </patternFill>
              </fill>
            </x14:dxf>
          </x14:cfRule>
          <x14:cfRule type="expression" priority="8013" stopIfTrue="1" id="{948C908B-E33A-48EA-A971-A0516A320347}">
            <xm:f>AND(IF(Q214='F:\Users\norela.briceno\Documents\Plan de acción\Plan Accion 2018\[Plan Accion Integrado ADRES Vigencia 2018 con Cuadro de Mando V6..xlsx]Plan de Accion 2018'!#REF!,Q214&lt;&gt;"N/A"))</xm:f>
            <x14:dxf>
              <fill>
                <patternFill>
                  <bgColor rgb="FF00B050"/>
                </patternFill>
              </fill>
            </x14:dxf>
          </x14:cfRule>
          <x14:cfRule type="expression" priority="8014" stopIfTrue="1" id="{0F8F6A38-00B4-4EB4-861E-F6246C94F7E4}">
            <xm:f>AND(IF(Q214&lt;'F:\Users\norela.briceno\Documents\Plan de acción\Plan Accion 2018\[Plan Accion Integrado ADRES Vigencia 2018 con Cuadro de Mando V6..xlsx]Plan de Accion 2018'!#REF!,Q214&lt;&gt;"N/A"))</xm:f>
            <x14:dxf>
              <fill>
                <patternFill>
                  <bgColor indexed="10"/>
                </patternFill>
              </fill>
            </x14:dxf>
          </x14:cfRule>
          <xm:sqref>Q214</xm:sqref>
        </x14:conditionalFormatting>
        <x14:conditionalFormatting xmlns:xm="http://schemas.microsoft.com/office/excel/2006/main">
          <x14:cfRule type="expression" priority="8009" id="{1179F379-4C8E-4027-83D1-874427FE8D93}">
            <xm:f>AND(IF(Q212&gt;'F:\Users\norela.briceno\Documents\Plan de acción\Plan Accion 2018\[Plan Accion Integrado ADRES Vigencia 2018 con Cuadro de Mando V6..xlsx]Plan de Accion 2018'!#REF!,Q212&lt;&gt;¨N/A¨))</xm:f>
            <x14:dxf>
              <fill>
                <patternFill>
                  <bgColor theme="1" tint="0.499984740745262"/>
                </patternFill>
              </fill>
            </x14:dxf>
          </x14:cfRule>
          <x14:cfRule type="expression" priority="8010" stopIfTrue="1" id="{26F5C4B9-32F3-47C3-9E56-7D9ED0F76E79}">
            <xm:f>AND(IF(Q212='F:\Users\norela.briceno\Documents\Plan de acción\Plan Accion 2018\[Plan Accion Integrado ADRES Vigencia 2018 con Cuadro de Mando V6..xlsx]Plan de Accion 2018'!#REF!,Q212&lt;&gt;"N/A"))</xm:f>
            <x14:dxf>
              <fill>
                <patternFill>
                  <bgColor rgb="FF00B050"/>
                </patternFill>
              </fill>
            </x14:dxf>
          </x14:cfRule>
          <x14:cfRule type="expression" priority="8011" stopIfTrue="1" id="{822C0EDA-0259-4892-A402-8F19CFE89B5A}">
            <xm:f>AND(IF(Q212&lt;'F:\Users\norela.briceno\Documents\Plan de acción\Plan Accion 2018\[Plan Accion Integrado ADRES Vigencia 2018 con Cuadro de Mando V6..xlsx]Plan de Accion 2018'!#REF!,Q212&lt;&gt;"N/A"))</xm:f>
            <x14:dxf>
              <fill>
                <patternFill>
                  <bgColor indexed="10"/>
                </patternFill>
              </fill>
            </x14:dxf>
          </x14:cfRule>
          <xm:sqref>Q212</xm:sqref>
        </x14:conditionalFormatting>
        <x14:conditionalFormatting xmlns:xm="http://schemas.microsoft.com/office/excel/2006/main">
          <x14:cfRule type="expression" priority="8006" id="{E3ADF93F-28F1-4807-AF27-9CB9A4F2D001}">
            <xm:f>AND(IF(Q210&gt;'F:\Users\norela.briceno\Documents\Plan de acción\Plan Accion 2018\[Plan Accion Integrado ADRES Vigencia 2018 con Cuadro de Mando V6..xlsx]Plan de Accion 2018'!#REF!,Q210&lt;&gt;¨N/A¨))</xm:f>
            <x14:dxf>
              <fill>
                <patternFill>
                  <bgColor theme="1" tint="0.499984740745262"/>
                </patternFill>
              </fill>
            </x14:dxf>
          </x14:cfRule>
          <x14:cfRule type="expression" priority="8007" stopIfTrue="1" id="{E6824D67-F6FC-41A6-98F1-EA439F406BC4}">
            <xm:f>AND(IF(Q210='F:\Users\norela.briceno\Documents\Plan de acción\Plan Accion 2018\[Plan Accion Integrado ADRES Vigencia 2018 con Cuadro de Mando V6..xlsx]Plan de Accion 2018'!#REF!,Q210&lt;&gt;"N/A"))</xm:f>
            <x14:dxf>
              <fill>
                <patternFill>
                  <bgColor rgb="FF00B050"/>
                </patternFill>
              </fill>
            </x14:dxf>
          </x14:cfRule>
          <x14:cfRule type="expression" priority="8008" stopIfTrue="1" id="{F32B000B-E2EE-4017-858E-51367BEC0FD0}">
            <xm:f>AND(IF(Q210&lt;'F:\Users\norela.briceno\Documents\Plan de acción\Plan Accion 2018\[Plan Accion Integrado ADRES Vigencia 2018 con Cuadro de Mando V6..xlsx]Plan de Accion 2018'!#REF!,Q210&lt;&gt;"N/A"))</xm:f>
            <x14:dxf>
              <fill>
                <patternFill>
                  <bgColor indexed="10"/>
                </patternFill>
              </fill>
            </x14:dxf>
          </x14:cfRule>
          <xm:sqref>Q210</xm:sqref>
        </x14:conditionalFormatting>
        <x14:conditionalFormatting xmlns:xm="http://schemas.microsoft.com/office/excel/2006/main">
          <x14:cfRule type="expression" priority="8003" id="{4AEB9673-5520-465E-865D-C7B472D13047}">
            <xm:f>AND(IF(Q206&gt;'F:\Users\norela.briceno\Documents\Plan de acción\Plan Accion 2018\[Plan Accion Integrado ADRES Vigencia 2018 con Cuadro de Mando V6..xlsx]Plan de Accion 2018'!#REF!,Q206&lt;&gt;¨N/A¨))</xm:f>
            <x14:dxf>
              <fill>
                <patternFill>
                  <bgColor theme="1" tint="0.499984740745262"/>
                </patternFill>
              </fill>
            </x14:dxf>
          </x14:cfRule>
          <x14:cfRule type="expression" priority="8004" stopIfTrue="1" id="{3CC6EAE9-3A70-436E-BEE1-D2E8FD830EA6}">
            <xm:f>AND(IF(Q206='F:\Users\norela.briceno\Documents\Plan de acción\Plan Accion 2018\[Plan Accion Integrado ADRES Vigencia 2018 con Cuadro de Mando V6..xlsx]Plan de Accion 2018'!#REF!,Q206&lt;&gt;"N/A"))</xm:f>
            <x14:dxf>
              <fill>
                <patternFill>
                  <bgColor rgb="FF00B050"/>
                </patternFill>
              </fill>
            </x14:dxf>
          </x14:cfRule>
          <x14:cfRule type="expression" priority="8005" stopIfTrue="1" id="{5CF79544-49D0-43EC-AB8E-D6CDBBF21266}">
            <xm:f>AND(IF(Q206&lt;'F:\Users\norela.briceno\Documents\Plan de acción\Plan Accion 2018\[Plan Accion Integrado ADRES Vigencia 2018 con Cuadro de Mando V6..xlsx]Plan de Accion 2018'!#REF!,Q206&lt;&gt;"N/A"))</xm:f>
            <x14:dxf>
              <fill>
                <patternFill>
                  <bgColor indexed="10"/>
                </patternFill>
              </fill>
            </x14:dxf>
          </x14:cfRule>
          <xm:sqref>Q206</xm:sqref>
        </x14:conditionalFormatting>
        <x14:conditionalFormatting xmlns:xm="http://schemas.microsoft.com/office/excel/2006/main">
          <x14:cfRule type="expression" priority="8000" id="{9C774A12-4E79-4397-B1C7-C238D29B4B1E}">
            <xm:f>AND(IF(Q205&gt;'F:\Users\norela.briceno\Documents\Plan de acción\Plan Accion 2018\[Plan Accion Integrado ADRES Vigencia 2018 con Cuadro de Mando V6..xlsx]Plan de Accion 2018'!#REF!,Q205&lt;&gt;¨N/A¨))</xm:f>
            <x14:dxf>
              <fill>
                <patternFill>
                  <bgColor theme="1" tint="0.499984740745262"/>
                </patternFill>
              </fill>
            </x14:dxf>
          </x14:cfRule>
          <x14:cfRule type="expression" priority="8001" stopIfTrue="1" id="{BF883D94-B7F1-4428-8170-A49B2469209C}">
            <xm:f>AND(IF(Q205='F:\Users\norela.briceno\Documents\Plan de acción\Plan Accion 2018\[Plan Accion Integrado ADRES Vigencia 2018 con Cuadro de Mando V6..xlsx]Plan de Accion 2018'!#REF!,Q205&lt;&gt;"N/A"))</xm:f>
            <x14:dxf>
              <fill>
                <patternFill>
                  <bgColor rgb="FF00B050"/>
                </patternFill>
              </fill>
            </x14:dxf>
          </x14:cfRule>
          <x14:cfRule type="expression" priority="8002" stopIfTrue="1" id="{E76F780A-111C-4AC9-B259-8DCEA614BE9E}">
            <xm:f>AND(IF(Q205&lt;'F:\Users\norela.briceno\Documents\Plan de acción\Plan Accion 2018\[Plan Accion Integrado ADRES Vigencia 2018 con Cuadro de Mando V6..xlsx]Plan de Accion 2018'!#REF!,Q205&lt;&gt;"N/A"))</xm:f>
            <x14:dxf>
              <fill>
                <patternFill>
                  <bgColor indexed="10"/>
                </patternFill>
              </fill>
            </x14:dxf>
          </x14:cfRule>
          <xm:sqref>Q205</xm:sqref>
        </x14:conditionalFormatting>
        <x14:conditionalFormatting xmlns:xm="http://schemas.microsoft.com/office/excel/2006/main">
          <x14:cfRule type="expression" priority="7997" id="{135ECAA3-C736-452A-8A64-96DBADF945C0}">
            <xm:f>AND(IF(Q203&gt;'F:\Users\norela.briceno\Documents\Plan de acción\Plan Accion 2018\[Plan Accion Integrado ADRES Vigencia 2018 con Cuadro de Mando V6..xlsx]Plan de Accion 2018'!#REF!,Q203&lt;&gt;¨N/A¨))</xm:f>
            <x14:dxf>
              <fill>
                <patternFill>
                  <bgColor theme="1" tint="0.499984740745262"/>
                </patternFill>
              </fill>
            </x14:dxf>
          </x14:cfRule>
          <x14:cfRule type="expression" priority="7998" stopIfTrue="1" id="{9609E5A3-496B-4D0D-982A-C7044C21B925}">
            <xm:f>AND(IF(Q203='F:\Users\norela.briceno\Documents\Plan de acción\Plan Accion 2018\[Plan Accion Integrado ADRES Vigencia 2018 con Cuadro de Mando V6..xlsx]Plan de Accion 2018'!#REF!,Q203&lt;&gt;"N/A"))</xm:f>
            <x14:dxf>
              <fill>
                <patternFill>
                  <bgColor rgb="FF00B050"/>
                </patternFill>
              </fill>
            </x14:dxf>
          </x14:cfRule>
          <x14:cfRule type="expression" priority="7999" stopIfTrue="1" id="{6A7BE756-222F-4461-A4CA-2609430EADED}">
            <xm:f>AND(IF(Q203&lt;'F:\Users\norela.briceno\Documents\Plan de acción\Plan Accion 2018\[Plan Accion Integrado ADRES Vigencia 2018 con Cuadro de Mando V6..xlsx]Plan de Accion 2018'!#REF!,Q203&lt;&gt;"N/A"))</xm:f>
            <x14:dxf>
              <fill>
                <patternFill>
                  <bgColor indexed="10"/>
                </patternFill>
              </fill>
            </x14:dxf>
          </x14:cfRule>
          <xm:sqref>Q203</xm:sqref>
        </x14:conditionalFormatting>
        <x14:conditionalFormatting xmlns:xm="http://schemas.microsoft.com/office/excel/2006/main">
          <x14:cfRule type="expression" priority="7994" id="{A9FEC2FD-FADF-47AC-88D9-F7AC07F7C425}">
            <xm:f>AND(IF(Q202&gt;'F:\Users\norela.briceno\Documents\Plan de acción\Plan Accion 2018\[Plan Accion Integrado ADRES Vigencia 2018 con Cuadro de Mando V6..xlsx]Plan de Accion 2018'!#REF!,Q202&lt;&gt;¨N/A¨))</xm:f>
            <x14:dxf>
              <fill>
                <patternFill>
                  <bgColor theme="1" tint="0.499984740745262"/>
                </patternFill>
              </fill>
            </x14:dxf>
          </x14:cfRule>
          <x14:cfRule type="expression" priority="7995" stopIfTrue="1" id="{FB22A47D-0E47-4910-A35D-D2128F71AAF1}">
            <xm:f>AND(IF(Q202='F:\Users\norela.briceno\Documents\Plan de acción\Plan Accion 2018\[Plan Accion Integrado ADRES Vigencia 2018 con Cuadro de Mando V6..xlsx]Plan de Accion 2018'!#REF!,Q202&lt;&gt;"N/A"))</xm:f>
            <x14:dxf>
              <fill>
                <patternFill>
                  <bgColor rgb="FF00B050"/>
                </patternFill>
              </fill>
            </x14:dxf>
          </x14:cfRule>
          <x14:cfRule type="expression" priority="7996" stopIfTrue="1" id="{855FA3A6-54AC-4A33-91ED-44DA78571CAD}">
            <xm:f>AND(IF(Q202&lt;'F:\Users\norela.briceno\Documents\Plan de acción\Plan Accion 2018\[Plan Accion Integrado ADRES Vigencia 2018 con Cuadro de Mando V6..xlsx]Plan de Accion 2018'!#REF!,Q202&lt;&gt;"N/A"))</xm:f>
            <x14:dxf>
              <fill>
                <patternFill>
                  <bgColor indexed="10"/>
                </patternFill>
              </fill>
            </x14:dxf>
          </x14:cfRule>
          <xm:sqref>Q202</xm:sqref>
        </x14:conditionalFormatting>
        <x14:conditionalFormatting xmlns:xm="http://schemas.microsoft.com/office/excel/2006/main">
          <x14:cfRule type="expression" priority="7991" id="{A9119D4A-9B28-4CE2-B550-0BDFA8C00FEA}">
            <xm:f>AND(IF(Q201&gt;'F:\Users\norela.briceno\Documents\Plan de acción\Plan Accion 2018\[Plan Accion Integrado ADRES Vigencia 2018 con Cuadro de Mando V6..xlsx]Plan de Accion 2018'!#REF!,Q201&lt;&gt;¨N/A¨))</xm:f>
            <x14:dxf>
              <fill>
                <patternFill>
                  <bgColor theme="1" tint="0.499984740745262"/>
                </patternFill>
              </fill>
            </x14:dxf>
          </x14:cfRule>
          <x14:cfRule type="expression" priority="7992" stopIfTrue="1" id="{B27F3302-5161-4DC9-AD9B-CDD6FB0EEFCB}">
            <xm:f>AND(IF(Q201='F:\Users\norela.briceno\Documents\Plan de acción\Plan Accion 2018\[Plan Accion Integrado ADRES Vigencia 2018 con Cuadro de Mando V6..xlsx]Plan de Accion 2018'!#REF!,Q201&lt;&gt;"N/A"))</xm:f>
            <x14:dxf>
              <fill>
                <patternFill>
                  <bgColor rgb="FF00B050"/>
                </patternFill>
              </fill>
            </x14:dxf>
          </x14:cfRule>
          <x14:cfRule type="expression" priority="7993" stopIfTrue="1" id="{190208EA-6BFF-4B6E-95C6-2FD2076F463C}">
            <xm:f>AND(IF(Q201&lt;'F:\Users\norela.briceno\Documents\Plan de acción\Plan Accion 2018\[Plan Accion Integrado ADRES Vigencia 2018 con Cuadro de Mando V6..xlsx]Plan de Accion 2018'!#REF!,Q201&lt;&gt;"N/A"))</xm:f>
            <x14:dxf>
              <fill>
                <patternFill>
                  <bgColor indexed="10"/>
                </patternFill>
              </fill>
            </x14:dxf>
          </x14:cfRule>
          <xm:sqref>Q201</xm:sqref>
        </x14:conditionalFormatting>
        <x14:conditionalFormatting xmlns:xm="http://schemas.microsoft.com/office/excel/2006/main">
          <x14:cfRule type="expression" priority="7988" id="{CB9C6910-A261-4BEE-BD97-65D9EDC8850F}">
            <xm:f>AND(IF(Q200&gt;'F:\Users\norela.briceno\Documents\Plan de acción\Plan Accion 2018\[Plan Accion Integrado ADRES Vigencia 2018 con Cuadro de Mando V6..xlsx]Plan de Accion 2018'!#REF!,Q200&lt;&gt;¨N/A¨))</xm:f>
            <x14:dxf>
              <fill>
                <patternFill>
                  <bgColor theme="1" tint="0.499984740745262"/>
                </patternFill>
              </fill>
            </x14:dxf>
          </x14:cfRule>
          <x14:cfRule type="expression" priority="7989" stopIfTrue="1" id="{0814B8A7-5DF5-480D-9673-85CAC3BE49AB}">
            <xm:f>AND(IF(Q200='F:\Users\norela.briceno\Documents\Plan de acción\Plan Accion 2018\[Plan Accion Integrado ADRES Vigencia 2018 con Cuadro de Mando V6..xlsx]Plan de Accion 2018'!#REF!,Q200&lt;&gt;"N/A"))</xm:f>
            <x14:dxf>
              <fill>
                <patternFill>
                  <bgColor rgb="FF00B050"/>
                </patternFill>
              </fill>
            </x14:dxf>
          </x14:cfRule>
          <x14:cfRule type="expression" priority="7990" stopIfTrue="1" id="{3A2F4A41-B02C-4FF3-B424-2A63C7656D4F}">
            <xm:f>AND(IF(Q200&lt;'F:\Users\norela.briceno\Documents\Plan de acción\Plan Accion 2018\[Plan Accion Integrado ADRES Vigencia 2018 con Cuadro de Mando V6..xlsx]Plan de Accion 2018'!#REF!,Q200&lt;&gt;"N/A"))</xm:f>
            <x14:dxf>
              <fill>
                <patternFill>
                  <bgColor indexed="10"/>
                </patternFill>
              </fill>
            </x14:dxf>
          </x14:cfRule>
          <xm:sqref>Q200</xm:sqref>
        </x14:conditionalFormatting>
        <x14:conditionalFormatting xmlns:xm="http://schemas.microsoft.com/office/excel/2006/main">
          <x14:cfRule type="expression" priority="7985" id="{F5BD26BA-85B5-4F7D-87AF-F7485454625D}">
            <xm:f>AND(IF(Q199&gt;'F:\Users\norela.briceno\Documents\Plan de acción\Plan Accion 2018\[Plan Accion Integrado ADRES Vigencia 2018 con Cuadro de Mando V6..xlsx]Plan de Accion 2018'!#REF!,Q199&lt;&gt;¨N/A¨))</xm:f>
            <x14:dxf>
              <fill>
                <patternFill>
                  <bgColor theme="1" tint="0.499984740745262"/>
                </patternFill>
              </fill>
            </x14:dxf>
          </x14:cfRule>
          <x14:cfRule type="expression" priority="7986" stopIfTrue="1" id="{0A4E14BC-DC7D-48D1-9912-E844389A3EAD}">
            <xm:f>AND(IF(Q199='F:\Users\norela.briceno\Documents\Plan de acción\Plan Accion 2018\[Plan Accion Integrado ADRES Vigencia 2018 con Cuadro de Mando V6..xlsx]Plan de Accion 2018'!#REF!,Q199&lt;&gt;"N/A"))</xm:f>
            <x14:dxf>
              <fill>
                <patternFill>
                  <bgColor rgb="FF00B050"/>
                </patternFill>
              </fill>
            </x14:dxf>
          </x14:cfRule>
          <x14:cfRule type="expression" priority="7987" stopIfTrue="1" id="{C226F279-55F6-4FB6-99FC-DB9A931B24B7}">
            <xm:f>AND(IF(Q199&lt;'F:\Users\norela.briceno\Documents\Plan de acción\Plan Accion 2018\[Plan Accion Integrado ADRES Vigencia 2018 con Cuadro de Mando V6..xlsx]Plan de Accion 2018'!#REF!,Q199&lt;&gt;"N/A"))</xm:f>
            <x14:dxf>
              <fill>
                <patternFill>
                  <bgColor indexed="10"/>
                </patternFill>
              </fill>
            </x14:dxf>
          </x14:cfRule>
          <xm:sqref>Q199</xm:sqref>
        </x14:conditionalFormatting>
        <x14:conditionalFormatting xmlns:xm="http://schemas.microsoft.com/office/excel/2006/main">
          <x14:cfRule type="expression" priority="7982" id="{F88176A3-65E6-427D-9C88-0C51BECF8ADA}">
            <xm:f>AND(IF(Q198&gt;'F:\Users\norela.briceno\Documents\Plan de acción\Plan Accion 2018\[Plan Accion Integrado ADRES Vigencia 2018 con Cuadro de Mando V6..xlsx]Plan de Accion 2018'!#REF!,Q198&lt;&gt;¨N/A¨))</xm:f>
            <x14:dxf>
              <fill>
                <patternFill>
                  <bgColor theme="1" tint="0.499984740745262"/>
                </patternFill>
              </fill>
            </x14:dxf>
          </x14:cfRule>
          <x14:cfRule type="expression" priority="7983" stopIfTrue="1" id="{7F140A3A-C83F-4F5E-8C90-6AAA0E6A653E}">
            <xm:f>AND(IF(Q198='F:\Users\norela.briceno\Documents\Plan de acción\Plan Accion 2018\[Plan Accion Integrado ADRES Vigencia 2018 con Cuadro de Mando V6..xlsx]Plan de Accion 2018'!#REF!,Q198&lt;&gt;"N/A"))</xm:f>
            <x14:dxf>
              <fill>
                <patternFill>
                  <bgColor rgb="FF00B050"/>
                </patternFill>
              </fill>
            </x14:dxf>
          </x14:cfRule>
          <x14:cfRule type="expression" priority="7984" stopIfTrue="1" id="{A302FD21-12EC-4544-9D84-898D575E63F0}">
            <xm:f>AND(IF(Q198&lt;'F:\Users\norela.briceno\Documents\Plan de acción\Plan Accion 2018\[Plan Accion Integrado ADRES Vigencia 2018 con Cuadro de Mando V6..xlsx]Plan de Accion 2018'!#REF!,Q198&lt;&gt;"N/A"))</xm:f>
            <x14:dxf>
              <fill>
                <patternFill>
                  <bgColor indexed="10"/>
                </patternFill>
              </fill>
            </x14:dxf>
          </x14:cfRule>
          <xm:sqref>Q198</xm:sqref>
        </x14:conditionalFormatting>
        <x14:conditionalFormatting xmlns:xm="http://schemas.microsoft.com/office/excel/2006/main">
          <x14:cfRule type="expression" priority="7979" id="{426C80D4-EE3E-4F2C-BD1A-75A1BA92DA84}">
            <xm:f>AND(IF(Q193&gt;'F:\Users\norela.briceno\Documents\Plan de acción\Plan Accion 2018\[Plan Accion Integrado ADRES Vigencia 2018 con Cuadro de Mando V6..xlsx]Plan de Accion 2018'!#REF!,Q193&lt;&gt;¨N/A¨))</xm:f>
            <x14:dxf>
              <fill>
                <patternFill>
                  <bgColor theme="1" tint="0.499984740745262"/>
                </patternFill>
              </fill>
            </x14:dxf>
          </x14:cfRule>
          <x14:cfRule type="expression" priority="7980" stopIfTrue="1" id="{E82FD5A8-A307-4646-B282-8248E158C4B6}">
            <xm:f>AND(IF(Q193='F:\Users\norela.briceno\Documents\Plan de acción\Plan Accion 2018\[Plan Accion Integrado ADRES Vigencia 2018 con Cuadro de Mando V6..xlsx]Plan de Accion 2018'!#REF!,Q193&lt;&gt;"N/A"))</xm:f>
            <x14:dxf>
              <fill>
                <patternFill>
                  <bgColor rgb="FF00B050"/>
                </patternFill>
              </fill>
            </x14:dxf>
          </x14:cfRule>
          <x14:cfRule type="expression" priority="7981" stopIfTrue="1" id="{C3526A9A-7BBB-46FE-8DFE-55DFB645108D}">
            <xm:f>AND(IF(Q193&lt;'F:\Users\norela.briceno\Documents\Plan de acción\Plan Accion 2018\[Plan Accion Integrado ADRES Vigencia 2018 con Cuadro de Mando V6..xlsx]Plan de Accion 2018'!#REF!,Q193&lt;&gt;"N/A"))</xm:f>
            <x14:dxf>
              <fill>
                <patternFill>
                  <bgColor indexed="10"/>
                </patternFill>
              </fill>
            </x14:dxf>
          </x14:cfRule>
          <xm:sqref>Q193</xm:sqref>
        </x14:conditionalFormatting>
        <x14:conditionalFormatting xmlns:xm="http://schemas.microsoft.com/office/excel/2006/main">
          <x14:cfRule type="expression" priority="7976" id="{BD31C8C9-7C90-43ED-A0F9-7A1154216421}">
            <xm:f>AND(IF(Q192&gt;'F:\Users\norela.briceno\Documents\Plan de acción\Plan Accion 2018\[Plan Accion Integrado ADRES Vigencia 2018 con Cuadro de Mando V6..xlsx]Plan de Accion 2018'!#REF!,Q192&lt;&gt;¨N/A¨))</xm:f>
            <x14:dxf>
              <fill>
                <patternFill>
                  <bgColor theme="1" tint="0.499984740745262"/>
                </patternFill>
              </fill>
            </x14:dxf>
          </x14:cfRule>
          <x14:cfRule type="expression" priority="7977" stopIfTrue="1" id="{C22ECE0E-5686-46E7-9BC4-8D55A8BCA8FB}">
            <xm:f>AND(IF(Q192='F:\Users\norela.briceno\Documents\Plan de acción\Plan Accion 2018\[Plan Accion Integrado ADRES Vigencia 2018 con Cuadro de Mando V6..xlsx]Plan de Accion 2018'!#REF!,Q192&lt;&gt;"N/A"))</xm:f>
            <x14:dxf>
              <fill>
                <patternFill>
                  <bgColor rgb="FF00B050"/>
                </patternFill>
              </fill>
            </x14:dxf>
          </x14:cfRule>
          <x14:cfRule type="expression" priority="7978" stopIfTrue="1" id="{433341C0-EE7D-45C3-B435-28BEF7F815FA}">
            <xm:f>AND(IF(Q192&lt;'F:\Users\norela.briceno\Documents\Plan de acción\Plan Accion 2018\[Plan Accion Integrado ADRES Vigencia 2018 con Cuadro de Mando V6..xlsx]Plan de Accion 2018'!#REF!,Q192&lt;&gt;"N/A"))</xm:f>
            <x14:dxf>
              <fill>
                <patternFill>
                  <bgColor indexed="10"/>
                </patternFill>
              </fill>
            </x14:dxf>
          </x14:cfRule>
          <xm:sqref>Q192</xm:sqref>
        </x14:conditionalFormatting>
        <x14:conditionalFormatting xmlns:xm="http://schemas.microsoft.com/office/excel/2006/main">
          <x14:cfRule type="expression" priority="7973" id="{130C7075-FDD1-48FD-BB5F-D7F597AF12E7}">
            <xm:f>AND(IF(Q184&gt;'F:\Users\norela.briceno\Documents\Plan de acción\Plan Accion 2018\[Plan Accion Integrado ADRES Vigencia 2018 con Cuadro de Mando V6..xlsx]Plan de Accion 2018'!#REF!,Q184&lt;&gt;¨N/A¨))</xm:f>
            <x14:dxf>
              <fill>
                <patternFill>
                  <bgColor theme="1" tint="0.499984740745262"/>
                </patternFill>
              </fill>
            </x14:dxf>
          </x14:cfRule>
          <x14:cfRule type="expression" priority="7974" stopIfTrue="1" id="{241B989C-923E-453C-B6F3-A2332C85BC8F}">
            <xm:f>AND(IF(Q184='F:\Users\norela.briceno\Documents\Plan de acción\Plan Accion 2018\[Plan Accion Integrado ADRES Vigencia 2018 con Cuadro de Mando V6..xlsx]Plan de Accion 2018'!#REF!,Q184&lt;&gt;"N/A"))</xm:f>
            <x14:dxf>
              <fill>
                <patternFill>
                  <bgColor rgb="FF00B050"/>
                </patternFill>
              </fill>
            </x14:dxf>
          </x14:cfRule>
          <x14:cfRule type="expression" priority="7975" stopIfTrue="1" id="{27EAB651-7EE6-445D-90C6-26D1B184D26F}">
            <xm:f>AND(IF(Q184&lt;'F:\Users\norela.briceno\Documents\Plan de acción\Plan Accion 2018\[Plan Accion Integrado ADRES Vigencia 2018 con Cuadro de Mando V6..xlsx]Plan de Accion 2018'!#REF!,Q184&lt;&gt;"N/A"))</xm:f>
            <x14:dxf>
              <fill>
                <patternFill>
                  <bgColor indexed="10"/>
                </patternFill>
              </fill>
            </x14:dxf>
          </x14:cfRule>
          <xm:sqref>Q184</xm:sqref>
        </x14:conditionalFormatting>
        <x14:conditionalFormatting xmlns:xm="http://schemas.microsoft.com/office/excel/2006/main">
          <x14:cfRule type="expression" priority="7970" id="{C8BB0DA0-40E3-4079-BA0D-3B7FA40F989C}">
            <xm:f>AND(IF(Q183&gt;'F:\Users\norela.briceno\Documents\Plan de acción\Plan Accion 2018\[Plan Accion Integrado ADRES Vigencia 2018 con Cuadro de Mando V6..xlsx]Plan de Accion 2018'!#REF!,Q183&lt;&gt;¨N/A¨))</xm:f>
            <x14:dxf>
              <fill>
                <patternFill>
                  <bgColor theme="1" tint="0.499984740745262"/>
                </patternFill>
              </fill>
            </x14:dxf>
          </x14:cfRule>
          <x14:cfRule type="expression" priority="7971" stopIfTrue="1" id="{49D09E95-F701-40B5-89CD-8DA3CBEA3F94}">
            <xm:f>AND(IF(Q183='F:\Users\norela.briceno\Documents\Plan de acción\Plan Accion 2018\[Plan Accion Integrado ADRES Vigencia 2018 con Cuadro de Mando V6..xlsx]Plan de Accion 2018'!#REF!,Q183&lt;&gt;"N/A"))</xm:f>
            <x14:dxf>
              <fill>
                <patternFill>
                  <bgColor rgb="FF00B050"/>
                </patternFill>
              </fill>
            </x14:dxf>
          </x14:cfRule>
          <x14:cfRule type="expression" priority="7972" stopIfTrue="1" id="{04075CFF-D47D-4E97-B14A-17F26154B3F4}">
            <xm:f>AND(IF(Q183&lt;'F:\Users\norela.briceno\Documents\Plan de acción\Plan Accion 2018\[Plan Accion Integrado ADRES Vigencia 2018 con Cuadro de Mando V6..xlsx]Plan de Accion 2018'!#REF!,Q183&lt;&gt;"N/A"))</xm:f>
            <x14:dxf>
              <fill>
                <patternFill>
                  <bgColor indexed="10"/>
                </patternFill>
              </fill>
            </x14:dxf>
          </x14:cfRule>
          <xm:sqref>Q183</xm:sqref>
        </x14:conditionalFormatting>
        <x14:conditionalFormatting xmlns:xm="http://schemas.microsoft.com/office/excel/2006/main">
          <x14:cfRule type="expression" priority="7967" id="{7912BBE8-2139-47DB-93E9-EE2486EE55FA}">
            <xm:f>AND(IF(Q182&gt;'F:\Users\norela.briceno\Documents\Plan de acción\Plan Accion 2018\[Plan Accion Integrado ADRES Vigencia 2018 con Cuadro de Mando V6..xlsx]Plan de Accion 2018'!#REF!,Q182&lt;&gt;¨N/A¨))</xm:f>
            <x14:dxf>
              <fill>
                <patternFill>
                  <bgColor theme="1" tint="0.499984740745262"/>
                </patternFill>
              </fill>
            </x14:dxf>
          </x14:cfRule>
          <x14:cfRule type="expression" priority="7968" stopIfTrue="1" id="{0E52E894-0BD2-42CC-8E45-B7D60904D2C6}">
            <xm:f>AND(IF(Q182='F:\Users\norela.briceno\Documents\Plan de acción\Plan Accion 2018\[Plan Accion Integrado ADRES Vigencia 2018 con Cuadro de Mando V6..xlsx]Plan de Accion 2018'!#REF!,Q182&lt;&gt;"N/A"))</xm:f>
            <x14:dxf>
              <fill>
                <patternFill>
                  <bgColor rgb="FF00B050"/>
                </patternFill>
              </fill>
            </x14:dxf>
          </x14:cfRule>
          <x14:cfRule type="expression" priority="7969" stopIfTrue="1" id="{E529EA68-B2D1-47A6-91DB-DFAE3163D9D8}">
            <xm:f>AND(IF(Q182&lt;'F:\Users\norela.briceno\Documents\Plan de acción\Plan Accion 2018\[Plan Accion Integrado ADRES Vigencia 2018 con Cuadro de Mando V6..xlsx]Plan de Accion 2018'!#REF!,Q182&lt;&gt;"N/A"))</xm:f>
            <x14:dxf>
              <fill>
                <patternFill>
                  <bgColor indexed="10"/>
                </patternFill>
              </fill>
            </x14:dxf>
          </x14:cfRule>
          <xm:sqref>Q182</xm:sqref>
        </x14:conditionalFormatting>
        <x14:conditionalFormatting xmlns:xm="http://schemas.microsoft.com/office/excel/2006/main">
          <x14:cfRule type="expression" priority="7964" id="{C2D83216-FA2E-4214-9563-59A9BC10A82F}">
            <xm:f>AND(IF(Q181&gt;'F:\Users\norela.briceno\Documents\Plan de acción\Plan Accion 2018\[Plan Accion Integrado ADRES Vigencia 2018 con Cuadro de Mando V6..xlsx]Plan de Accion 2018'!#REF!,Q181&lt;&gt;¨N/A¨))</xm:f>
            <x14:dxf>
              <fill>
                <patternFill>
                  <bgColor theme="1" tint="0.499984740745262"/>
                </patternFill>
              </fill>
            </x14:dxf>
          </x14:cfRule>
          <x14:cfRule type="expression" priority="7965" stopIfTrue="1" id="{A57B7B26-8E19-45E2-A4E0-78215D03E91D}">
            <xm:f>AND(IF(Q181='F:\Users\norela.briceno\Documents\Plan de acción\Plan Accion 2018\[Plan Accion Integrado ADRES Vigencia 2018 con Cuadro de Mando V6..xlsx]Plan de Accion 2018'!#REF!,Q181&lt;&gt;"N/A"))</xm:f>
            <x14:dxf>
              <fill>
                <patternFill>
                  <bgColor rgb="FF00B050"/>
                </patternFill>
              </fill>
            </x14:dxf>
          </x14:cfRule>
          <x14:cfRule type="expression" priority="7966" stopIfTrue="1" id="{4B30CD56-785B-4943-AF6D-C048D5D8FA9B}">
            <xm:f>AND(IF(Q181&lt;'F:\Users\norela.briceno\Documents\Plan de acción\Plan Accion 2018\[Plan Accion Integrado ADRES Vigencia 2018 con Cuadro de Mando V6..xlsx]Plan de Accion 2018'!#REF!,Q181&lt;&gt;"N/A"))</xm:f>
            <x14:dxf>
              <fill>
                <patternFill>
                  <bgColor indexed="10"/>
                </patternFill>
              </fill>
            </x14:dxf>
          </x14:cfRule>
          <xm:sqref>Q181</xm:sqref>
        </x14:conditionalFormatting>
        <x14:conditionalFormatting xmlns:xm="http://schemas.microsoft.com/office/excel/2006/main">
          <x14:cfRule type="expression" priority="7961" id="{11F07019-2326-42F3-A6E3-E6838BFF6057}">
            <xm:f>AND(IF(Q179&gt;'F:\Users\norela.briceno\Documents\Plan de acción\Plan Accion 2018\[Plan Accion Integrado ADRES Vigencia 2018 con Cuadro de Mando V6..xlsx]Plan de Accion 2018'!#REF!,Q179&lt;&gt;¨N/A¨))</xm:f>
            <x14:dxf>
              <fill>
                <patternFill>
                  <bgColor theme="1" tint="0.499984740745262"/>
                </patternFill>
              </fill>
            </x14:dxf>
          </x14:cfRule>
          <x14:cfRule type="expression" priority="7962" stopIfTrue="1" id="{15D9BABF-3B82-4EB8-8DDF-0851F1DE6DDE}">
            <xm:f>AND(IF(Q179='F:\Users\norela.briceno\Documents\Plan de acción\Plan Accion 2018\[Plan Accion Integrado ADRES Vigencia 2018 con Cuadro de Mando V6..xlsx]Plan de Accion 2018'!#REF!,Q179&lt;&gt;"N/A"))</xm:f>
            <x14:dxf>
              <fill>
                <patternFill>
                  <bgColor rgb="FF00B050"/>
                </patternFill>
              </fill>
            </x14:dxf>
          </x14:cfRule>
          <x14:cfRule type="expression" priority="7963" stopIfTrue="1" id="{DE49AFF2-0C60-4EC5-8264-8A13CC5B4299}">
            <xm:f>AND(IF(Q179&lt;'F:\Users\norela.briceno\Documents\Plan de acción\Plan Accion 2018\[Plan Accion Integrado ADRES Vigencia 2018 con Cuadro de Mando V6..xlsx]Plan de Accion 2018'!#REF!,Q179&lt;&gt;"N/A"))</xm:f>
            <x14:dxf>
              <fill>
                <patternFill>
                  <bgColor indexed="10"/>
                </patternFill>
              </fill>
            </x14:dxf>
          </x14:cfRule>
          <xm:sqref>Q179</xm:sqref>
        </x14:conditionalFormatting>
        <x14:conditionalFormatting xmlns:xm="http://schemas.microsoft.com/office/excel/2006/main">
          <x14:cfRule type="expression" priority="7958" id="{CB63F433-02DA-4828-B6F4-464C80FF51E2}">
            <xm:f>AND(IF(Q177&gt;'F:\Users\norela.briceno\Documents\Plan de acción\Plan Accion 2018\[Plan Accion Integrado ADRES Vigencia 2018 con Cuadro de Mando V6..xlsx]Plan de Accion 2018'!#REF!,Q177&lt;&gt;¨N/A¨))</xm:f>
            <x14:dxf>
              <fill>
                <patternFill>
                  <bgColor theme="1" tint="0.499984740745262"/>
                </patternFill>
              </fill>
            </x14:dxf>
          </x14:cfRule>
          <x14:cfRule type="expression" priority="7959" stopIfTrue="1" id="{23AB3885-1D96-4289-A1ED-D8615CA95782}">
            <xm:f>AND(IF(Q177='F:\Users\norela.briceno\Documents\Plan de acción\Plan Accion 2018\[Plan Accion Integrado ADRES Vigencia 2018 con Cuadro de Mando V6..xlsx]Plan de Accion 2018'!#REF!,Q177&lt;&gt;"N/A"))</xm:f>
            <x14:dxf>
              <fill>
                <patternFill>
                  <bgColor rgb="FF00B050"/>
                </patternFill>
              </fill>
            </x14:dxf>
          </x14:cfRule>
          <x14:cfRule type="expression" priority="7960" stopIfTrue="1" id="{00B2EC85-48D2-44F6-8AF7-3D52255A7178}">
            <xm:f>AND(IF(Q177&lt;'F:\Users\norela.briceno\Documents\Plan de acción\Plan Accion 2018\[Plan Accion Integrado ADRES Vigencia 2018 con Cuadro de Mando V6..xlsx]Plan de Accion 2018'!#REF!,Q177&lt;&gt;"N/A"))</xm:f>
            <x14:dxf>
              <fill>
                <patternFill>
                  <bgColor indexed="10"/>
                </patternFill>
              </fill>
            </x14:dxf>
          </x14:cfRule>
          <xm:sqref>Q177</xm:sqref>
        </x14:conditionalFormatting>
        <x14:conditionalFormatting xmlns:xm="http://schemas.microsoft.com/office/excel/2006/main">
          <x14:cfRule type="expression" priority="7955" id="{B3A81C85-FBD2-4586-AE69-30454CCD466A}">
            <xm:f>AND(IF(Q176&gt;'F:\Users\norela.briceno\Documents\Plan de acción\Plan Accion 2018\[Plan Accion Integrado ADRES Vigencia 2018 con Cuadro de Mando V6..xlsx]Plan de Accion 2018'!#REF!,Q176&lt;&gt;¨N/A¨))</xm:f>
            <x14:dxf>
              <fill>
                <patternFill>
                  <bgColor theme="1" tint="0.499984740745262"/>
                </patternFill>
              </fill>
            </x14:dxf>
          </x14:cfRule>
          <x14:cfRule type="expression" priority="7956" stopIfTrue="1" id="{C7CCD068-22E8-4C0D-9E6C-CDFC2F9B2D33}">
            <xm:f>AND(IF(Q176='F:\Users\norela.briceno\Documents\Plan de acción\Plan Accion 2018\[Plan Accion Integrado ADRES Vigencia 2018 con Cuadro de Mando V6..xlsx]Plan de Accion 2018'!#REF!,Q176&lt;&gt;"N/A"))</xm:f>
            <x14:dxf>
              <fill>
                <patternFill>
                  <bgColor rgb="FF00B050"/>
                </patternFill>
              </fill>
            </x14:dxf>
          </x14:cfRule>
          <x14:cfRule type="expression" priority="7957" stopIfTrue="1" id="{468E0691-181D-44D6-B9EE-A25353D03BEE}">
            <xm:f>AND(IF(Q176&lt;'F:\Users\norela.briceno\Documents\Plan de acción\Plan Accion 2018\[Plan Accion Integrado ADRES Vigencia 2018 con Cuadro de Mando V6..xlsx]Plan de Accion 2018'!#REF!,Q176&lt;&gt;"N/A"))</xm:f>
            <x14:dxf>
              <fill>
                <patternFill>
                  <bgColor indexed="10"/>
                </patternFill>
              </fill>
            </x14:dxf>
          </x14:cfRule>
          <xm:sqref>Q176</xm:sqref>
        </x14:conditionalFormatting>
        <x14:conditionalFormatting xmlns:xm="http://schemas.microsoft.com/office/excel/2006/main">
          <x14:cfRule type="expression" priority="7952" id="{982504A8-01CF-456C-B8CF-AC3D62CF9E39}">
            <xm:f>AND(IF(Q175&gt;'F:\Users\norela.briceno\Documents\Plan de acción\Plan Accion 2018\[Plan Accion Integrado ADRES Vigencia 2018 con Cuadro de Mando V6..xlsx]Plan de Accion 2018'!#REF!,Q175&lt;&gt;¨N/A¨))</xm:f>
            <x14:dxf>
              <fill>
                <patternFill>
                  <bgColor theme="1" tint="0.499984740745262"/>
                </patternFill>
              </fill>
            </x14:dxf>
          </x14:cfRule>
          <x14:cfRule type="expression" priority="7953" stopIfTrue="1" id="{7F2FA988-C79D-4BE1-9FF2-402314D5BADB}">
            <xm:f>AND(IF(Q175='F:\Users\norela.briceno\Documents\Plan de acción\Plan Accion 2018\[Plan Accion Integrado ADRES Vigencia 2018 con Cuadro de Mando V6..xlsx]Plan de Accion 2018'!#REF!,Q175&lt;&gt;"N/A"))</xm:f>
            <x14:dxf>
              <fill>
                <patternFill>
                  <bgColor rgb="FF00B050"/>
                </patternFill>
              </fill>
            </x14:dxf>
          </x14:cfRule>
          <x14:cfRule type="expression" priority="7954" stopIfTrue="1" id="{9D4BF500-B92A-4AC9-B540-BC140AAC2A05}">
            <xm:f>AND(IF(Q175&lt;'F:\Users\norela.briceno\Documents\Plan de acción\Plan Accion 2018\[Plan Accion Integrado ADRES Vigencia 2018 con Cuadro de Mando V6..xlsx]Plan de Accion 2018'!#REF!,Q175&lt;&gt;"N/A"))</xm:f>
            <x14:dxf>
              <fill>
                <patternFill>
                  <bgColor indexed="10"/>
                </patternFill>
              </fill>
            </x14:dxf>
          </x14:cfRule>
          <xm:sqref>Q175</xm:sqref>
        </x14:conditionalFormatting>
        <x14:conditionalFormatting xmlns:xm="http://schemas.microsoft.com/office/excel/2006/main">
          <x14:cfRule type="expression" priority="7949" id="{B33BD48C-0443-4D38-8355-86CF03340829}">
            <xm:f>AND(IF(Q174&gt;'F:\Users\norela.briceno\Documents\Plan de acción\Plan Accion 2018\[Plan Accion Integrado ADRES Vigencia 2018 con Cuadro de Mando V6..xlsx]Plan de Accion 2018'!#REF!,Q174&lt;&gt;¨N/A¨))</xm:f>
            <x14:dxf>
              <fill>
                <patternFill>
                  <bgColor theme="1" tint="0.499984740745262"/>
                </patternFill>
              </fill>
            </x14:dxf>
          </x14:cfRule>
          <x14:cfRule type="expression" priority="7950" stopIfTrue="1" id="{11566A7B-763A-4993-8E8B-5B98B0A3B100}">
            <xm:f>AND(IF(Q174='F:\Users\norela.briceno\Documents\Plan de acción\Plan Accion 2018\[Plan Accion Integrado ADRES Vigencia 2018 con Cuadro de Mando V6..xlsx]Plan de Accion 2018'!#REF!,Q174&lt;&gt;"N/A"))</xm:f>
            <x14:dxf>
              <fill>
                <patternFill>
                  <bgColor rgb="FF00B050"/>
                </patternFill>
              </fill>
            </x14:dxf>
          </x14:cfRule>
          <x14:cfRule type="expression" priority="7951" stopIfTrue="1" id="{74904D8B-F6E2-4388-86C0-4CA4F00D3B49}">
            <xm:f>AND(IF(Q174&lt;'F:\Users\norela.briceno\Documents\Plan de acción\Plan Accion 2018\[Plan Accion Integrado ADRES Vigencia 2018 con Cuadro de Mando V6..xlsx]Plan de Accion 2018'!#REF!,Q174&lt;&gt;"N/A"))</xm:f>
            <x14:dxf>
              <fill>
                <patternFill>
                  <bgColor indexed="10"/>
                </patternFill>
              </fill>
            </x14:dxf>
          </x14:cfRule>
          <xm:sqref>Q174</xm:sqref>
        </x14:conditionalFormatting>
        <x14:conditionalFormatting xmlns:xm="http://schemas.microsoft.com/office/excel/2006/main">
          <x14:cfRule type="expression" priority="7946" id="{22C7D220-0C89-42C0-8986-6E3E389722EF}">
            <xm:f>AND(IF(Q171&gt;'F:\Users\norela.briceno\Documents\Plan de acción\Plan Accion 2018\[Plan Accion Integrado ADRES Vigencia 2018 con Cuadro de Mando V6..xlsx]Plan de Accion 2018'!#REF!,Q171&lt;&gt;¨N/A¨))</xm:f>
            <x14:dxf>
              <fill>
                <patternFill>
                  <bgColor theme="1" tint="0.499984740745262"/>
                </patternFill>
              </fill>
            </x14:dxf>
          </x14:cfRule>
          <x14:cfRule type="expression" priority="7947" stopIfTrue="1" id="{DEA4BA74-19FA-42A9-A295-68C01AE3BC65}">
            <xm:f>AND(IF(Q171='F:\Users\norela.briceno\Documents\Plan de acción\Plan Accion 2018\[Plan Accion Integrado ADRES Vigencia 2018 con Cuadro de Mando V6..xlsx]Plan de Accion 2018'!#REF!,Q171&lt;&gt;"N/A"))</xm:f>
            <x14:dxf>
              <fill>
                <patternFill>
                  <bgColor rgb="FF00B050"/>
                </patternFill>
              </fill>
            </x14:dxf>
          </x14:cfRule>
          <x14:cfRule type="expression" priority="7948" stopIfTrue="1" id="{908AFFF6-E21E-4CD8-9363-7150D6BFF008}">
            <xm:f>AND(IF(Q171&lt;'F:\Users\norela.briceno\Documents\Plan de acción\Plan Accion 2018\[Plan Accion Integrado ADRES Vigencia 2018 con Cuadro de Mando V6..xlsx]Plan de Accion 2018'!#REF!,Q171&lt;&gt;"N/A"))</xm:f>
            <x14:dxf>
              <fill>
                <patternFill>
                  <bgColor indexed="10"/>
                </patternFill>
              </fill>
            </x14:dxf>
          </x14:cfRule>
          <xm:sqref>Q171</xm:sqref>
        </x14:conditionalFormatting>
        <x14:conditionalFormatting xmlns:xm="http://schemas.microsoft.com/office/excel/2006/main">
          <x14:cfRule type="expression" priority="7940" id="{906EC8D9-B700-4123-9D72-A7B0EBA4BBC7}">
            <xm:f>AND(IF(Q160&gt;'F:\Users\norela.briceno\Documents\Plan de acción\Plan Accion 2018\[Plan Accion Integrado ADRES Vigencia 2018 con Cuadro de Mando V6..xlsx]Plan de Accion 2018'!#REF!,Q160&lt;&gt;¨N/A¨))</xm:f>
            <x14:dxf>
              <fill>
                <patternFill>
                  <bgColor theme="1" tint="0.499984740745262"/>
                </patternFill>
              </fill>
            </x14:dxf>
          </x14:cfRule>
          <x14:cfRule type="expression" priority="7941" stopIfTrue="1" id="{7A79F7B2-54B3-489E-8DC8-E9168BFE57F4}">
            <xm:f>AND(IF(Q160='F:\Users\norela.briceno\Documents\Plan de acción\Plan Accion 2018\[Plan Accion Integrado ADRES Vigencia 2018 con Cuadro de Mando V6..xlsx]Plan de Accion 2018'!#REF!,Q160&lt;&gt;"N/A"))</xm:f>
            <x14:dxf>
              <fill>
                <patternFill>
                  <bgColor rgb="FF00B050"/>
                </patternFill>
              </fill>
            </x14:dxf>
          </x14:cfRule>
          <x14:cfRule type="expression" priority="7942" stopIfTrue="1" id="{7006CB2B-25AB-48EF-8799-76DB88F7FE2A}">
            <xm:f>AND(IF(Q160&lt;'F:\Users\norela.briceno\Documents\Plan de acción\Plan Accion 2018\[Plan Accion Integrado ADRES Vigencia 2018 con Cuadro de Mando V6..xlsx]Plan de Accion 2018'!#REF!,Q160&lt;&gt;"N/A"))</xm:f>
            <x14:dxf>
              <fill>
                <patternFill>
                  <bgColor indexed="10"/>
                </patternFill>
              </fill>
            </x14:dxf>
          </x14:cfRule>
          <xm:sqref>Q160</xm:sqref>
        </x14:conditionalFormatting>
        <x14:conditionalFormatting xmlns:xm="http://schemas.microsoft.com/office/excel/2006/main">
          <x14:cfRule type="expression" priority="7937" id="{8E75BA5C-B6F2-45D1-8593-9061AE13C01D}">
            <xm:f>AND(IF(Q158&gt;'F:\Users\norela.briceno\Documents\Plan de acción\Plan Accion 2018\[Plan Accion Integrado ADRES Vigencia 2018 con Cuadro de Mando V6..xlsx]Plan de Accion 2018'!#REF!,Q158&lt;&gt;¨N/A¨))</xm:f>
            <x14:dxf>
              <fill>
                <patternFill>
                  <bgColor theme="1" tint="0.499984740745262"/>
                </patternFill>
              </fill>
            </x14:dxf>
          </x14:cfRule>
          <x14:cfRule type="expression" priority="7938" stopIfTrue="1" id="{32B873C1-2575-4D02-A96B-FF06110FE6B3}">
            <xm:f>AND(IF(Q158='F:\Users\norela.briceno\Documents\Plan de acción\Plan Accion 2018\[Plan Accion Integrado ADRES Vigencia 2018 con Cuadro de Mando V6..xlsx]Plan de Accion 2018'!#REF!,Q158&lt;&gt;"N/A"))</xm:f>
            <x14:dxf>
              <fill>
                <patternFill>
                  <bgColor rgb="FF00B050"/>
                </patternFill>
              </fill>
            </x14:dxf>
          </x14:cfRule>
          <x14:cfRule type="expression" priority="7939" stopIfTrue="1" id="{45C28300-D077-47D8-B5B3-F5CDB4B97B4F}">
            <xm:f>AND(IF(Q158&lt;'F:\Users\norela.briceno\Documents\Plan de acción\Plan Accion 2018\[Plan Accion Integrado ADRES Vigencia 2018 con Cuadro de Mando V6..xlsx]Plan de Accion 2018'!#REF!,Q158&lt;&gt;"N/A"))</xm:f>
            <x14:dxf>
              <fill>
                <patternFill>
                  <bgColor indexed="10"/>
                </patternFill>
              </fill>
            </x14:dxf>
          </x14:cfRule>
          <xm:sqref>Q158</xm:sqref>
        </x14:conditionalFormatting>
        <x14:conditionalFormatting xmlns:xm="http://schemas.microsoft.com/office/excel/2006/main">
          <x14:cfRule type="expression" priority="7934" id="{5D53C65C-35E6-469E-B07F-44E389E5AE8D}">
            <xm:f>AND(IF(Q157&gt;'F:\Users\norela.briceno\Documents\Plan de acción\Plan Accion 2018\[Plan Accion Integrado ADRES Vigencia 2018 con Cuadro de Mando V6..xlsx]Plan de Accion 2018'!#REF!,Q157&lt;&gt;¨N/A¨))</xm:f>
            <x14:dxf>
              <fill>
                <patternFill>
                  <bgColor theme="1" tint="0.499984740745262"/>
                </patternFill>
              </fill>
            </x14:dxf>
          </x14:cfRule>
          <x14:cfRule type="expression" priority="7935" stopIfTrue="1" id="{DCE5C37D-9FAD-4A2F-88BA-130DA7AC79F0}">
            <xm:f>AND(IF(Q157='F:\Users\norela.briceno\Documents\Plan de acción\Plan Accion 2018\[Plan Accion Integrado ADRES Vigencia 2018 con Cuadro de Mando V6..xlsx]Plan de Accion 2018'!#REF!,Q157&lt;&gt;"N/A"))</xm:f>
            <x14:dxf>
              <fill>
                <patternFill>
                  <bgColor rgb="FF00B050"/>
                </patternFill>
              </fill>
            </x14:dxf>
          </x14:cfRule>
          <x14:cfRule type="expression" priority="7936" stopIfTrue="1" id="{747EBA89-3ADD-4F3D-BEAE-48BE2C528242}">
            <xm:f>AND(IF(Q157&lt;'F:\Users\norela.briceno\Documents\Plan de acción\Plan Accion 2018\[Plan Accion Integrado ADRES Vigencia 2018 con Cuadro de Mando V6..xlsx]Plan de Accion 2018'!#REF!,Q157&lt;&gt;"N/A"))</xm:f>
            <x14:dxf>
              <fill>
                <patternFill>
                  <bgColor indexed="10"/>
                </patternFill>
              </fill>
            </x14:dxf>
          </x14:cfRule>
          <xm:sqref>Q157</xm:sqref>
        </x14:conditionalFormatting>
        <x14:conditionalFormatting xmlns:xm="http://schemas.microsoft.com/office/excel/2006/main">
          <x14:cfRule type="expression" priority="7931" id="{9E12B6D3-E057-4DE6-98E2-40E7221CE116}">
            <xm:f>AND(IF(Q152&gt;'F:\Users\norela.briceno\Documents\Plan de acción\Plan Accion 2018\[Plan Accion Integrado ADRES Vigencia 2018 con Cuadro de Mando V6..xlsx]Plan de Accion 2018'!#REF!,Q152&lt;&gt;¨N/A¨))</xm:f>
            <x14:dxf>
              <fill>
                <patternFill>
                  <bgColor theme="1" tint="0.499984740745262"/>
                </patternFill>
              </fill>
            </x14:dxf>
          </x14:cfRule>
          <x14:cfRule type="expression" priority="7932" stopIfTrue="1" id="{0A9508D5-CE97-4347-9CAD-3FA45DB0E2B7}">
            <xm:f>AND(IF(Q152='F:\Users\norela.briceno\Documents\Plan de acción\Plan Accion 2018\[Plan Accion Integrado ADRES Vigencia 2018 con Cuadro de Mando V6..xlsx]Plan de Accion 2018'!#REF!,Q152&lt;&gt;"N/A"))</xm:f>
            <x14:dxf>
              <fill>
                <patternFill>
                  <bgColor rgb="FF00B050"/>
                </patternFill>
              </fill>
            </x14:dxf>
          </x14:cfRule>
          <x14:cfRule type="expression" priority="7933" stopIfTrue="1" id="{272F6517-DEBA-4ECF-83A4-C2D67A3DA04D}">
            <xm:f>AND(IF(Q152&lt;'F:\Users\norela.briceno\Documents\Plan de acción\Plan Accion 2018\[Plan Accion Integrado ADRES Vigencia 2018 con Cuadro de Mando V6..xlsx]Plan de Accion 2018'!#REF!,Q152&lt;&gt;"N/A"))</xm:f>
            <x14:dxf>
              <fill>
                <patternFill>
                  <bgColor indexed="10"/>
                </patternFill>
              </fill>
            </x14:dxf>
          </x14:cfRule>
          <xm:sqref>Q152</xm:sqref>
        </x14:conditionalFormatting>
        <x14:conditionalFormatting xmlns:xm="http://schemas.microsoft.com/office/excel/2006/main">
          <x14:cfRule type="expression" priority="7928" id="{E2ABB2D0-00CE-49D4-ABA9-E7BBD68FAFEA}">
            <xm:f>AND(IF(Q151&gt;'F:\Users\norela.briceno\Documents\Plan de acción\Plan Accion 2018\[Plan Accion Integrado ADRES Vigencia 2018 con Cuadro de Mando V6..xlsx]Plan de Accion 2018'!#REF!,Q151&lt;&gt;¨N/A¨))</xm:f>
            <x14:dxf>
              <fill>
                <patternFill>
                  <bgColor theme="1" tint="0.499984740745262"/>
                </patternFill>
              </fill>
            </x14:dxf>
          </x14:cfRule>
          <x14:cfRule type="expression" priority="7929" stopIfTrue="1" id="{07281D15-6936-4528-AC4E-DFAC2779A483}">
            <xm:f>AND(IF(Q151='F:\Users\norela.briceno\Documents\Plan de acción\Plan Accion 2018\[Plan Accion Integrado ADRES Vigencia 2018 con Cuadro de Mando V6..xlsx]Plan de Accion 2018'!#REF!,Q151&lt;&gt;"N/A"))</xm:f>
            <x14:dxf>
              <fill>
                <patternFill>
                  <bgColor rgb="FF00B050"/>
                </patternFill>
              </fill>
            </x14:dxf>
          </x14:cfRule>
          <x14:cfRule type="expression" priority="7930" stopIfTrue="1" id="{CFA84F9A-CFC7-43E7-9D9B-9575B466838D}">
            <xm:f>AND(IF(Q151&lt;'F:\Users\norela.briceno\Documents\Plan de acción\Plan Accion 2018\[Plan Accion Integrado ADRES Vigencia 2018 con Cuadro de Mando V6..xlsx]Plan de Accion 2018'!#REF!,Q151&lt;&gt;"N/A"))</xm:f>
            <x14:dxf>
              <fill>
                <patternFill>
                  <bgColor indexed="10"/>
                </patternFill>
              </fill>
            </x14:dxf>
          </x14:cfRule>
          <xm:sqref>Q151</xm:sqref>
        </x14:conditionalFormatting>
        <x14:conditionalFormatting xmlns:xm="http://schemas.microsoft.com/office/excel/2006/main">
          <x14:cfRule type="expression" priority="7925" id="{C1FF985D-AE1E-4F3B-986C-26F934C235A5}">
            <xm:f>AND(IF(Q138&gt;'F:\Users\norela.briceno\Documents\Plan de acción\Plan Accion 2018\[Plan Accion Integrado ADRES Vigencia 2018 con Cuadro de Mando V6..xlsx]Plan de Accion 2018'!#REF!,Q138&lt;&gt;¨N/A¨))</xm:f>
            <x14:dxf>
              <fill>
                <patternFill>
                  <bgColor theme="1" tint="0.499984740745262"/>
                </patternFill>
              </fill>
            </x14:dxf>
          </x14:cfRule>
          <x14:cfRule type="expression" priority="7926" stopIfTrue="1" id="{89BE4A11-2910-40F6-A4A8-76D745AC2F9A}">
            <xm:f>AND(IF(Q138='F:\Users\norela.briceno\Documents\Plan de acción\Plan Accion 2018\[Plan Accion Integrado ADRES Vigencia 2018 con Cuadro de Mando V6..xlsx]Plan de Accion 2018'!#REF!,Q138&lt;&gt;"N/A"))</xm:f>
            <x14:dxf>
              <fill>
                <patternFill>
                  <bgColor rgb="FF00B050"/>
                </patternFill>
              </fill>
            </x14:dxf>
          </x14:cfRule>
          <x14:cfRule type="expression" priority="7927" stopIfTrue="1" id="{9BA8A959-9244-44C0-AAA7-0CABD8CE2F0B}">
            <xm:f>AND(IF(Q138&lt;'F:\Users\norela.briceno\Documents\Plan de acción\Plan Accion 2018\[Plan Accion Integrado ADRES Vigencia 2018 con Cuadro de Mando V6..xlsx]Plan de Accion 2018'!#REF!,Q138&lt;&gt;"N/A"))</xm:f>
            <x14:dxf>
              <fill>
                <patternFill>
                  <bgColor indexed="10"/>
                </patternFill>
              </fill>
            </x14:dxf>
          </x14:cfRule>
          <xm:sqref>Q138</xm:sqref>
        </x14:conditionalFormatting>
        <x14:conditionalFormatting xmlns:xm="http://schemas.microsoft.com/office/excel/2006/main">
          <x14:cfRule type="expression" priority="7922" id="{B35A0830-688D-4377-B838-41EFD605241B}">
            <xm:f>AND(IF(X138&gt;'F:\Users\norela.briceno\Documents\Plan de acción\Plan Accion 2018\[Plan Accion Integrado ADRES Vigencia 2018 con Cuadro de Mando V6..xlsx]Plan de Accion 2018'!#REF!,X138&lt;&gt;¨N/A¨))</xm:f>
            <x14:dxf>
              <fill>
                <patternFill>
                  <bgColor theme="1" tint="0.499984740745262"/>
                </patternFill>
              </fill>
            </x14:dxf>
          </x14:cfRule>
          <x14:cfRule type="expression" priority="7923" stopIfTrue="1" id="{2614E127-7276-443C-8993-7148656AE189}">
            <xm:f>AND(IF(X138='F:\Users\norela.briceno\Documents\Plan de acción\Plan Accion 2018\[Plan Accion Integrado ADRES Vigencia 2018 con Cuadro de Mando V6..xlsx]Plan de Accion 2018'!#REF!,X138&lt;&gt;"N/A"))</xm:f>
            <x14:dxf>
              <fill>
                <patternFill>
                  <bgColor rgb="FF00B050"/>
                </patternFill>
              </fill>
            </x14:dxf>
          </x14:cfRule>
          <x14:cfRule type="expression" priority="7924" stopIfTrue="1" id="{071080E1-97B6-4A66-B4F4-E42272847D39}">
            <xm:f>AND(IF(X138&lt;'F:\Users\norela.briceno\Documents\Plan de acción\Plan Accion 2018\[Plan Accion Integrado ADRES Vigencia 2018 con Cuadro de Mando V6..xlsx]Plan de Accion 2018'!#REF!,X138&lt;&gt;"N/A"))</xm:f>
            <x14:dxf>
              <fill>
                <patternFill>
                  <bgColor indexed="10"/>
                </patternFill>
              </fill>
            </x14:dxf>
          </x14:cfRule>
          <xm:sqref>X138</xm:sqref>
        </x14:conditionalFormatting>
        <x14:conditionalFormatting xmlns:xm="http://schemas.microsoft.com/office/excel/2006/main">
          <x14:cfRule type="expression" priority="7919" id="{2AC0D151-E594-42D7-A5BE-713FBCFC56B3}">
            <xm:f>AND(IF(X151&gt;'F:\Users\norela.briceno\Documents\Plan de acción\Plan Accion 2018\[Plan Accion Integrado ADRES Vigencia 2018 con Cuadro de Mando V6..xlsx]Plan de Accion 2018'!#REF!,X151&lt;&gt;¨N/A¨))</xm:f>
            <x14:dxf>
              <fill>
                <patternFill>
                  <bgColor theme="1" tint="0.499984740745262"/>
                </patternFill>
              </fill>
            </x14:dxf>
          </x14:cfRule>
          <x14:cfRule type="expression" priority="7920" stopIfTrue="1" id="{F9EF7432-A58C-4373-816B-2A9EAC4E6897}">
            <xm:f>AND(IF(X151='F:\Users\norela.briceno\Documents\Plan de acción\Plan Accion 2018\[Plan Accion Integrado ADRES Vigencia 2018 con Cuadro de Mando V6..xlsx]Plan de Accion 2018'!#REF!,X151&lt;&gt;"N/A"))</xm:f>
            <x14:dxf>
              <fill>
                <patternFill>
                  <bgColor rgb="FF00B050"/>
                </patternFill>
              </fill>
            </x14:dxf>
          </x14:cfRule>
          <x14:cfRule type="expression" priority="7921" stopIfTrue="1" id="{28CA51B3-6CB5-491B-8FC9-1C7718412343}">
            <xm:f>AND(IF(X151&lt;'F:\Users\norela.briceno\Documents\Plan de acción\Plan Accion 2018\[Plan Accion Integrado ADRES Vigencia 2018 con Cuadro de Mando V6..xlsx]Plan de Accion 2018'!#REF!,X151&lt;&gt;"N/A"))</xm:f>
            <x14:dxf>
              <fill>
                <patternFill>
                  <bgColor indexed="10"/>
                </patternFill>
              </fill>
            </x14:dxf>
          </x14:cfRule>
          <xm:sqref>X151</xm:sqref>
        </x14:conditionalFormatting>
        <x14:conditionalFormatting xmlns:xm="http://schemas.microsoft.com/office/excel/2006/main">
          <x14:cfRule type="expression" priority="7916" id="{C4FB8A54-F605-405D-A66F-2C478D12BF95}">
            <xm:f>AND(IF(X152&gt;'F:\Users\norela.briceno\Documents\Plan de acción\Plan Accion 2018\[Plan Accion Integrado ADRES Vigencia 2018 con Cuadro de Mando V6..xlsx]Plan de Accion 2018'!#REF!,X152&lt;&gt;¨N/A¨))</xm:f>
            <x14:dxf>
              <fill>
                <patternFill>
                  <bgColor theme="1" tint="0.499984740745262"/>
                </patternFill>
              </fill>
            </x14:dxf>
          </x14:cfRule>
          <x14:cfRule type="expression" priority="7917" stopIfTrue="1" id="{54D43E3C-B2F4-4A20-BF30-2B37700348FA}">
            <xm:f>AND(IF(X152='F:\Users\norela.briceno\Documents\Plan de acción\Plan Accion 2018\[Plan Accion Integrado ADRES Vigencia 2018 con Cuadro de Mando V6..xlsx]Plan de Accion 2018'!#REF!,X152&lt;&gt;"N/A"))</xm:f>
            <x14:dxf>
              <fill>
                <patternFill>
                  <bgColor rgb="FF00B050"/>
                </patternFill>
              </fill>
            </x14:dxf>
          </x14:cfRule>
          <x14:cfRule type="expression" priority="7918" stopIfTrue="1" id="{3DCFFFD2-CDB8-4EB8-941C-C84ECC7913A6}">
            <xm:f>AND(IF(X152&lt;'F:\Users\norela.briceno\Documents\Plan de acción\Plan Accion 2018\[Plan Accion Integrado ADRES Vigencia 2018 con Cuadro de Mando V6..xlsx]Plan de Accion 2018'!#REF!,X152&lt;&gt;"N/A"))</xm:f>
            <x14:dxf>
              <fill>
                <patternFill>
                  <bgColor indexed="10"/>
                </patternFill>
              </fill>
            </x14:dxf>
          </x14:cfRule>
          <xm:sqref>X152</xm:sqref>
        </x14:conditionalFormatting>
        <x14:conditionalFormatting xmlns:xm="http://schemas.microsoft.com/office/excel/2006/main">
          <x14:cfRule type="expression" priority="7913" id="{3DFF2A10-194A-47D6-BC7E-32332BE1D0C4}">
            <xm:f>AND(IF(X157&gt;'F:\Users\norela.briceno\Documents\Plan de acción\Plan Accion 2018\[Plan Accion Integrado ADRES Vigencia 2018 con Cuadro de Mando V6..xlsx]Plan de Accion 2018'!#REF!,X157&lt;&gt;¨N/A¨))</xm:f>
            <x14:dxf>
              <fill>
                <patternFill>
                  <bgColor theme="1" tint="0.499984740745262"/>
                </patternFill>
              </fill>
            </x14:dxf>
          </x14:cfRule>
          <x14:cfRule type="expression" priority="7914" stopIfTrue="1" id="{3E3C1E9C-656F-4229-8C52-D6FDD1EC9215}">
            <xm:f>AND(IF(X157='F:\Users\norela.briceno\Documents\Plan de acción\Plan Accion 2018\[Plan Accion Integrado ADRES Vigencia 2018 con Cuadro de Mando V6..xlsx]Plan de Accion 2018'!#REF!,X157&lt;&gt;"N/A"))</xm:f>
            <x14:dxf>
              <fill>
                <patternFill>
                  <bgColor rgb="FF00B050"/>
                </patternFill>
              </fill>
            </x14:dxf>
          </x14:cfRule>
          <x14:cfRule type="expression" priority="7915" stopIfTrue="1" id="{3CEA6E41-FAB5-434E-B900-E90F0434541E}">
            <xm:f>AND(IF(X157&lt;'F:\Users\norela.briceno\Documents\Plan de acción\Plan Accion 2018\[Plan Accion Integrado ADRES Vigencia 2018 con Cuadro de Mando V6..xlsx]Plan de Accion 2018'!#REF!,X157&lt;&gt;"N/A"))</xm:f>
            <x14:dxf>
              <fill>
                <patternFill>
                  <bgColor indexed="10"/>
                </patternFill>
              </fill>
            </x14:dxf>
          </x14:cfRule>
          <xm:sqref>X157</xm:sqref>
        </x14:conditionalFormatting>
        <x14:conditionalFormatting xmlns:xm="http://schemas.microsoft.com/office/excel/2006/main">
          <x14:cfRule type="expression" priority="7910" id="{5B188A36-F327-439A-AA81-123462043AD5}">
            <xm:f>AND(IF(X158&gt;'F:\Users\norela.briceno\Documents\Plan de acción\Plan Accion 2018\[Plan Accion Integrado ADRES Vigencia 2018 con Cuadro de Mando V6..xlsx]Plan de Accion 2018'!#REF!,X158&lt;&gt;¨N/A¨))</xm:f>
            <x14:dxf>
              <fill>
                <patternFill>
                  <bgColor theme="1" tint="0.499984740745262"/>
                </patternFill>
              </fill>
            </x14:dxf>
          </x14:cfRule>
          <x14:cfRule type="expression" priority="7911" stopIfTrue="1" id="{472B1FC2-BAE2-485B-AB2D-8086B06B44B5}">
            <xm:f>AND(IF(X158='F:\Users\norela.briceno\Documents\Plan de acción\Plan Accion 2018\[Plan Accion Integrado ADRES Vigencia 2018 con Cuadro de Mando V6..xlsx]Plan de Accion 2018'!#REF!,X158&lt;&gt;"N/A"))</xm:f>
            <x14:dxf>
              <fill>
                <patternFill>
                  <bgColor rgb="FF00B050"/>
                </patternFill>
              </fill>
            </x14:dxf>
          </x14:cfRule>
          <x14:cfRule type="expression" priority="7912" stopIfTrue="1" id="{47E85128-928B-4250-BA63-0DDFFF027412}">
            <xm:f>AND(IF(X158&lt;'F:\Users\norela.briceno\Documents\Plan de acción\Plan Accion 2018\[Plan Accion Integrado ADRES Vigencia 2018 con Cuadro de Mando V6..xlsx]Plan de Accion 2018'!#REF!,X158&lt;&gt;"N/A"))</xm:f>
            <x14:dxf>
              <fill>
                <patternFill>
                  <bgColor indexed="10"/>
                </patternFill>
              </fill>
            </x14:dxf>
          </x14:cfRule>
          <xm:sqref>X158</xm:sqref>
        </x14:conditionalFormatting>
        <x14:conditionalFormatting xmlns:xm="http://schemas.microsoft.com/office/excel/2006/main">
          <x14:cfRule type="expression" priority="7907" id="{ED96B563-26B2-400F-8615-8C24D1233733}">
            <xm:f>AND(IF(X160&gt;'F:\Users\norela.briceno\Documents\Plan de acción\Plan Accion 2018\[Plan Accion Integrado ADRES Vigencia 2018 con Cuadro de Mando V6..xlsx]Plan de Accion 2018'!#REF!,X160&lt;&gt;¨N/A¨))</xm:f>
            <x14:dxf>
              <fill>
                <patternFill>
                  <bgColor theme="1" tint="0.499984740745262"/>
                </patternFill>
              </fill>
            </x14:dxf>
          </x14:cfRule>
          <x14:cfRule type="expression" priority="7908" stopIfTrue="1" id="{43D7EAC2-776E-4AEB-B4E5-EC6FD5B02173}">
            <xm:f>AND(IF(X160='F:\Users\norela.briceno\Documents\Plan de acción\Plan Accion 2018\[Plan Accion Integrado ADRES Vigencia 2018 con Cuadro de Mando V6..xlsx]Plan de Accion 2018'!#REF!,X160&lt;&gt;"N/A"))</xm:f>
            <x14:dxf>
              <fill>
                <patternFill>
                  <bgColor rgb="FF00B050"/>
                </patternFill>
              </fill>
            </x14:dxf>
          </x14:cfRule>
          <x14:cfRule type="expression" priority="7909" stopIfTrue="1" id="{C6174C49-D57F-4844-80DD-3E9B736563EC}">
            <xm:f>AND(IF(X160&lt;'F:\Users\norela.briceno\Documents\Plan de acción\Plan Accion 2018\[Plan Accion Integrado ADRES Vigencia 2018 con Cuadro de Mando V6..xlsx]Plan de Accion 2018'!#REF!,X160&lt;&gt;"N/A"))</xm:f>
            <x14:dxf>
              <fill>
                <patternFill>
                  <bgColor indexed="10"/>
                </patternFill>
              </fill>
            </x14:dxf>
          </x14:cfRule>
          <xm:sqref>X160</xm:sqref>
        </x14:conditionalFormatting>
        <x14:conditionalFormatting xmlns:xm="http://schemas.microsoft.com/office/excel/2006/main">
          <x14:cfRule type="expression" priority="7901" id="{6CA7FAC9-680D-46ED-8AD0-6184A8E9F53D}">
            <xm:f>AND(IF(X171&gt;'F:\Users\norela.briceno\Documents\Plan de acción\Plan Accion 2018\[Plan Accion Integrado ADRES Vigencia 2018 con Cuadro de Mando V6..xlsx]Plan de Accion 2018'!#REF!,X171&lt;&gt;¨N/A¨))</xm:f>
            <x14:dxf>
              <fill>
                <patternFill>
                  <bgColor theme="1" tint="0.499984740745262"/>
                </patternFill>
              </fill>
            </x14:dxf>
          </x14:cfRule>
          <x14:cfRule type="expression" priority="7902" stopIfTrue="1" id="{494922ED-7C63-4CF9-94EF-87175DDBE91D}">
            <xm:f>AND(IF(X171='F:\Users\norela.briceno\Documents\Plan de acción\Plan Accion 2018\[Plan Accion Integrado ADRES Vigencia 2018 con Cuadro de Mando V6..xlsx]Plan de Accion 2018'!#REF!,X171&lt;&gt;"N/A"))</xm:f>
            <x14:dxf>
              <fill>
                <patternFill>
                  <bgColor rgb="FF00B050"/>
                </patternFill>
              </fill>
            </x14:dxf>
          </x14:cfRule>
          <x14:cfRule type="expression" priority="7903" stopIfTrue="1" id="{04AEA258-1A80-4BC5-B5AE-793F63998EB8}">
            <xm:f>AND(IF(X171&lt;'F:\Users\norela.briceno\Documents\Plan de acción\Plan Accion 2018\[Plan Accion Integrado ADRES Vigencia 2018 con Cuadro de Mando V6..xlsx]Plan de Accion 2018'!#REF!,X171&lt;&gt;"N/A"))</xm:f>
            <x14:dxf>
              <fill>
                <patternFill>
                  <bgColor indexed="10"/>
                </patternFill>
              </fill>
            </x14:dxf>
          </x14:cfRule>
          <xm:sqref>X171</xm:sqref>
        </x14:conditionalFormatting>
        <x14:conditionalFormatting xmlns:xm="http://schemas.microsoft.com/office/excel/2006/main">
          <x14:cfRule type="expression" priority="7898" id="{D2C1AF81-AFC9-4E3F-BA00-912909124BBD}">
            <xm:f>AND(IF(X174&gt;'F:\Users\norela.briceno\Documents\Plan de acción\Plan Accion 2018\[Plan Accion Integrado ADRES Vigencia 2018 con Cuadro de Mando V6..xlsx]Plan de Accion 2018'!#REF!,X174&lt;&gt;¨N/A¨))</xm:f>
            <x14:dxf>
              <fill>
                <patternFill>
                  <bgColor theme="1" tint="0.499984740745262"/>
                </patternFill>
              </fill>
            </x14:dxf>
          </x14:cfRule>
          <x14:cfRule type="expression" priority="7899" stopIfTrue="1" id="{8620BABF-60E3-4A11-9303-C560D0C4FF13}">
            <xm:f>AND(IF(X174='F:\Users\norela.briceno\Documents\Plan de acción\Plan Accion 2018\[Plan Accion Integrado ADRES Vigencia 2018 con Cuadro de Mando V6..xlsx]Plan de Accion 2018'!#REF!,X174&lt;&gt;"N/A"))</xm:f>
            <x14:dxf>
              <fill>
                <patternFill>
                  <bgColor rgb="FF00B050"/>
                </patternFill>
              </fill>
            </x14:dxf>
          </x14:cfRule>
          <x14:cfRule type="expression" priority="7900" stopIfTrue="1" id="{BB1BDFF3-1540-46DB-ACCF-CC60EA24E30D}">
            <xm:f>AND(IF(X174&lt;'F:\Users\norela.briceno\Documents\Plan de acción\Plan Accion 2018\[Plan Accion Integrado ADRES Vigencia 2018 con Cuadro de Mando V6..xlsx]Plan de Accion 2018'!#REF!,X174&lt;&gt;"N/A"))</xm:f>
            <x14:dxf>
              <fill>
                <patternFill>
                  <bgColor indexed="10"/>
                </patternFill>
              </fill>
            </x14:dxf>
          </x14:cfRule>
          <xm:sqref>X174</xm:sqref>
        </x14:conditionalFormatting>
        <x14:conditionalFormatting xmlns:xm="http://schemas.microsoft.com/office/excel/2006/main">
          <x14:cfRule type="expression" priority="7895" id="{C4FB4640-8DC5-4581-B744-358D2A8B1980}">
            <xm:f>AND(IF(X175&gt;'F:\Users\norela.briceno\Documents\Plan de acción\Plan Accion 2018\[Plan Accion Integrado ADRES Vigencia 2018 con Cuadro de Mando V6..xlsx]Plan de Accion 2018'!#REF!,X175&lt;&gt;¨N/A¨))</xm:f>
            <x14:dxf>
              <fill>
                <patternFill>
                  <bgColor theme="1" tint="0.499984740745262"/>
                </patternFill>
              </fill>
            </x14:dxf>
          </x14:cfRule>
          <x14:cfRule type="expression" priority="7896" stopIfTrue="1" id="{3620D59F-6592-43F7-A892-C65E8CD5657E}">
            <xm:f>AND(IF(X175='F:\Users\norela.briceno\Documents\Plan de acción\Plan Accion 2018\[Plan Accion Integrado ADRES Vigencia 2018 con Cuadro de Mando V6..xlsx]Plan de Accion 2018'!#REF!,X175&lt;&gt;"N/A"))</xm:f>
            <x14:dxf>
              <fill>
                <patternFill>
                  <bgColor rgb="FF00B050"/>
                </patternFill>
              </fill>
            </x14:dxf>
          </x14:cfRule>
          <x14:cfRule type="expression" priority="7897" stopIfTrue="1" id="{38610430-B864-4D71-A54B-84BDCCAA198E}">
            <xm:f>AND(IF(X175&lt;'F:\Users\norela.briceno\Documents\Plan de acción\Plan Accion 2018\[Plan Accion Integrado ADRES Vigencia 2018 con Cuadro de Mando V6..xlsx]Plan de Accion 2018'!#REF!,X175&lt;&gt;"N/A"))</xm:f>
            <x14:dxf>
              <fill>
                <patternFill>
                  <bgColor indexed="10"/>
                </patternFill>
              </fill>
            </x14:dxf>
          </x14:cfRule>
          <xm:sqref>X175</xm:sqref>
        </x14:conditionalFormatting>
        <x14:conditionalFormatting xmlns:xm="http://schemas.microsoft.com/office/excel/2006/main">
          <x14:cfRule type="expression" priority="7892" id="{8EB3506D-65E9-4D87-9A0B-7BC6B89391C6}">
            <xm:f>AND(IF(X176&gt;'F:\Users\norela.briceno\Documents\Plan de acción\Plan Accion 2018\[Plan Accion Integrado ADRES Vigencia 2018 con Cuadro de Mando V6..xlsx]Plan de Accion 2018'!#REF!,X176&lt;&gt;¨N/A¨))</xm:f>
            <x14:dxf>
              <fill>
                <patternFill>
                  <bgColor theme="1" tint="0.499984740745262"/>
                </patternFill>
              </fill>
            </x14:dxf>
          </x14:cfRule>
          <x14:cfRule type="expression" priority="7893" stopIfTrue="1" id="{8324613C-C40B-41EE-8880-0764E6503764}">
            <xm:f>AND(IF(X176='F:\Users\norela.briceno\Documents\Plan de acción\Plan Accion 2018\[Plan Accion Integrado ADRES Vigencia 2018 con Cuadro de Mando V6..xlsx]Plan de Accion 2018'!#REF!,X176&lt;&gt;"N/A"))</xm:f>
            <x14:dxf>
              <fill>
                <patternFill>
                  <bgColor rgb="FF00B050"/>
                </patternFill>
              </fill>
            </x14:dxf>
          </x14:cfRule>
          <x14:cfRule type="expression" priority="7894" stopIfTrue="1" id="{47F4966A-FD47-4EBD-AE49-A8D3262997DB}">
            <xm:f>AND(IF(X176&lt;'F:\Users\norela.briceno\Documents\Plan de acción\Plan Accion 2018\[Plan Accion Integrado ADRES Vigencia 2018 con Cuadro de Mando V6..xlsx]Plan de Accion 2018'!#REF!,X176&lt;&gt;"N/A"))</xm:f>
            <x14:dxf>
              <fill>
                <patternFill>
                  <bgColor indexed="10"/>
                </patternFill>
              </fill>
            </x14:dxf>
          </x14:cfRule>
          <xm:sqref>X176</xm:sqref>
        </x14:conditionalFormatting>
        <x14:conditionalFormatting xmlns:xm="http://schemas.microsoft.com/office/excel/2006/main">
          <x14:cfRule type="expression" priority="7889" id="{FB9FCEFD-FE56-4379-9C09-376FC91A93B2}">
            <xm:f>AND(IF(X177&gt;'F:\Users\norela.briceno\Documents\Plan de acción\Plan Accion 2018\[Plan Accion Integrado ADRES Vigencia 2018 con Cuadro de Mando V6..xlsx]Plan de Accion 2018'!#REF!,X177&lt;&gt;¨N/A¨))</xm:f>
            <x14:dxf>
              <fill>
                <patternFill>
                  <bgColor theme="1" tint="0.499984740745262"/>
                </patternFill>
              </fill>
            </x14:dxf>
          </x14:cfRule>
          <x14:cfRule type="expression" priority="7890" stopIfTrue="1" id="{B55F8DB0-81A6-4EC8-8999-F1A6A7294254}">
            <xm:f>AND(IF(X177='F:\Users\norela.briceno\Documents\Plan de acción\Plan Accion 2018\[Plan Accion Integrado ADRES Vigencia 2018 con Cuadro de Mando V6..xlsx]Plan de Accion 2018'!#REF!,X177&lt;&gt;"N/A"))</xm:f>
            <x14:dxf>
              <fill>
                <patternFill>
                  <bgColor rgb="FF00B050"/>
                </patternFill>
              </fill>
            </x14:dxf>
          </x14:cfRule>
          <x14:cfRule type="expression" priority="7891" stopIfTrue="1" id="{64E65B3D-FDC2-44BC-BD23-0C95A4FF0953}">
            <xm:f>AND(IF(X177&lt;'F:\Users\norela.briceno\Documents\Plan de acción\Plan Accion 2018\[Plan Accion Integrado ADRES Vigencia 2018 con Cuadro de Mando V6..xlsx]Plan de Accion 2018'!#REF!,X177&lt;&gt;"N/A"))</xm:f>
            <x14:dxf>
              <fill>
                <patternFill>
                  <bgColor indexed="10"/>
                </patternFill>
              </fill>
            </x14:dxf>
          </x14:cfRule>
          <xm:sqref>X177</xm:sqref>
        </x14:conditionalFormatting>
        <x14:conditionalFormatting xmlns:xm="http://schemas.microsoft.com/office/excel/2006/main">
          <x14:cfRule type="expression" priority="7886" id="{12588BA5-2E6B-4005-8369-85C4AD2675F1}">
            <xm:f>AND(IF(X179&gt;'F:\Users\norela.briceno\Documents\Plan de acción\Plan Accion 2018\[Plan Accion Integrado ADRES Vigencia 2018 con Cuadro de Mando V6..xlsx]Plan de Accion 2018'!#REF!,X179&lt;&gt;¨N/A¨))</xm:f>
            <x14:dxf>
              <fill>
                <patternFill>
                  <bgColor theme="1" tint="0.499984740745262"/>
                </patternFill>
              </fill>
            </x14:dxf>
          </x14:cfRule>
          <x14:cfRule type="expression" priority="7887" stopIfTrue="1" id="{ACF194C3-F833-4F70-B98B-528DC7365B7A}">
            <xm:f>AND(IF(X179='F:\Users\norela.briceno\Documents\Plan de acción\Plan Accion 2018\[Plan Accion Integrado ADRES Vigencia 2018 con Cuadro de Mando V6..xlsx]Plan de Accion 2018'!#REF!,X179&lt;&gt;"N/A"))</xm:f>
            <x14:dxf>
              <fill>
                <patternFill>
                  <bgColor rgb="FF00B050"/>
                </patternFill>
              </fill>
            </x14:dxf>
          </x14:cfRule>
          <x14:cfRule type="expression" priority="7888" stopIfTrue="1" id="{4E9B1DA1-F446-4324-8CD4-06A57689BA7F}">
            <xm:f>AND(IF(X179&lt;'F:\Users\norela.briceno\Documents\Plan de acción\Plan Accion 2018\[Plan Accion Integrado ADRES Vigencia 2018 con Cuadro de Mando V6..xlsx]Plan de Accion 2018'!#REF!,X179&lt;&gt;"N/A"))</xm:f>
            <x14:dxf>
              <fill>
                <patternFill>
                  <bgColor indexed="10"/>
                </patternFill>
              </fill>
            </x14:dxf>
          </x14:cfRule>
          <xm:sqref>X179</xm:sqref>
        </x14:conditionalFormatting>
        <x14:conditionalFormatting xmlns:xm="http://schemas.microsoft.com/office/excel/2006/main">
          <x14:cfRule type="expression" priority="7883" id="{6D58C1F3-EFA1-4AEC-9A6C-D58CCCB2E8DB}">
            <xm:f>AND(IF(X181&gt;'F:\Users\norela.briceno\Documents\Plan de acción\Plan Accion 2018\[Plan Accion Integrado ADRES Vigencia 2018 con Cuadro de Mando V6..xlsx]Plan de Accion 2018'!#REF!,X181&lt;&gt;¨N/A¨))</xm:f>
            <x14:dxf>
              <fill>
                <patternFill>
                  <bgColor theme="1" tint="0.499984740745262"/>
                </patternFill>
              </fill>
            </x14:dxf>
          </x14:cfRule>
          <x14:cfRule type="expression" priority="7884" stopIfTrue="1" id="{2B3A43C7-CF9B-4A03-87F6-BD1BFAB90F5A}">
            <xm:f>AND(IF(X181='F:\Users\norela.briceno\Documents\Plan de acción\Plan Accion 2018\[Plan Accion Integrado ADRES Vigencia 2018 con Cuadro de Mando V6..xlsx]Plan de Accion 2018'!#REF!,X181&lt;&gt;"N/A"))</xm:f>
            <x14:dxf>
              <fill>
                <patternFill>
                  <bgColor rgb="FF00B050"/>
                </patternFill>
              </fill>
            </x14:dxf>
          </x14:cfRule>
          <x14:cfRule type="expression" priority="7885" stopIfTrue="1" id="{824EA8EA-4238-4034-B7F7-2E2E3E741B5D}">
            <xm:f>AND(IF(X181&lt;'F:\Users\norela.briceno\Documents\Plan de acción\Plan Accion 2018\[Plan Accion Integrado ADRES Vigencia 2018 con Cuadro de Mando V6..xlsx]Plan de Accion 2018'!#REF!,X181&lt;&gt;"N/A"))</xm:f>
            <x14:dxf>
              <fill>
                <patternFill>
                  <bgColor indexed="10"/>
                </patternFill>
              </fill>
            </x14:dxf>
          </x14:cfRule>
          <xm:sqref>X181</xm:sqref>
        </x14:conditionalFormatting>
        <x14:conditionalFormatting xmlns:xm="http://schemas.microsoft.com/office/excel/2006/main">
          <x14:cfRule type="expression" priority="7880" id="{B028A017-8D78-4EFB-905E-69FC1B7CC28F}">
            <xm:f>AND(IF(X182&gt;'F:\Users\norela.briceno\Documents\Plan de acción\Plan Accion 2018\[Plan Accion Integrado ADRES Vigencia 2018 con Cuadro de Mando V6..xlsx]Plan de Accion 2018'!#REF!,X182&lt;&gt;¨N/A¨))</xm:f>
            <x14:dxf>
              <fill>
                <patternFill>
                  <bgColor theme="1" tint="0.499984740745262"/>
                </patternFill>
              </fill>
            </x14:dxf>
          </x14:cfRule>
          <x14:cfRule type="expression" priority="7881" stopIfTrue="1" id="{5D4B47A3-615A-4904-8D23-21D6235B18A8}">
            <xm:f>AND(IF(X182='F:\Users\norela.briceno\Documents\Plan de acción\Plan Accion 2018\[Plan Accion Integrado ADRES Vigencia 2018 con Cuadro de Mando V6..xlsx]Plan de Accion 2018'!#REF!,X182&lt;&gt;"N/A"))</xm:f>
            <x14:dxf>
              <fill>
                <patternFill>
                  <bgColor rgb="FF00B050"/>
                </patternFill>
              </fill>
            </x14:dxf>
          </x14:cfRule>
          <x14:cfRule type="expression" priority="7882" stopIfTrue="1" id="{9B9F23E9-D993-49EB-BC64-1F6C1E470A43}">
            <xm:f>AND(IF(X182&lt;'F:\Users\norela.briceno\Documents\Plan de acción\Plan Accion 2018\[Plan Accion Integrado ADRES Vigencia 2018 con Cuadro de Mando V6..xlsx]Plan de Accion 2018'!#REF!,X182&lt;&gt;"N/A"))</xm:f>
            <x14:dxf>
              <fill>
                <patternFill>
                  <bgColor indexed="10"/>
                </patternFill>
              </fill>
            </x14:dxf>
          </x14:cfRule>
          <xm:sqref>X182</xm:sqref>
        </x14:conditionalFormatting>
        <x14:conditionalFormatting xmlns:xm="http://schemas.microsoft.com/office/excel/2006/main">
          <x14:cfRule type="expression" priority="7877" id="{CA8F04EB-87D4-4412-BB30-43967020D518}">
            <xm:f>AND(IF(X183&gt;'F:\Users\norela.briceno\Documents\Plan de acción\Plan Accion 2018\[Plan Accion Integrado ADRES Vigencia 2018 con Cuadro de Mando V6..xlsx]Plan de Accion 2018'!#REF!,X183&lt;&gt;¨N/A¨))</xm:f>
            <x14:dxf>
              <fill>
                <patternFill>
                  <bgColor theme="1" tint="0.499984740745262"/>
                </patternFill>
              </fill>
            </x14:dxf>
          </x14:cfRule>
          <x14:cfRule type="expression" priority="7878" stopIfTrue="1" id="{81C62F97-6550-417B-B726-CE8A6B1E32C0}">
            <xm:f>AND(IF(X183='F:\Users\norela.briceno\Documents\Plan de acción\Plan Accion 2018\[Plan Accion Integrado ADRES Vigencia 2018 con Cuadro de Mando V6..xlsx]Plan de Accion 2018'!#REF!,X183&lt;&gt;"N/A"))</xm:f>
            <x14:dxf>
              <fill>
                <patternFill>
                  <bgColor rgb="FF00B050"/>
                </patternFill>
              </fill>
            </x14:dxf>
          </x14:cfRule>
          <x14:cfRule type="expression" priority="7879" stopIfTrue="1" id="{6F20158D-9EA0-4B58-B4AF-2CD08BC9D7C3}">
            <xm:f>AND(IF(X183&lt;'F:\Users\norela.briceno\Documents\Plan de acción\Plan Accion 2018\[Plan Accion Integrado ADRES Vigencia 2018 con Cuadro de Mando V6..xlsx]Plan de Accion 2018'!#REF!,X183&lt;&gt;"N/A"))</xm:f>
            <x14:dxf>
              <fill>
                <patternFill>
                  <bgColor indexed="10"/>
                </patternFill>
              </fill>
            </x14:dxf>
          </x14:cfRule>
          <xm:sqref>X183</xm:sqref>
        </x14:conditionalFormatting>
        <x14:conditionalFormatting xmlns:xm="http://schemas.microsoft.com/office/excel/2006/main">
          <x14:cfRule type="expression" priority="7874" id="{46F7489E-1510-434C-80B1-C0C025396FB5}">
            <xm:f>AND(IF(X184&gt;'F:\Users\norela.briceno\Documents\Plan de acción\Plan Accion 2018\[Plan Accion Integrado ADRES Vigencia 2018 con Cuadro de Mando V6..xlsx]Plan de Accion 2018'!#REF!,X184&lt;&gt;¨N/A¨))</xm:f>
            <x14:dxf>
              <fill>
                <patternFill>
                  <bgColor theme="1" tint="0.499984740745262"/>
                </patternFill>
              </fill>
            </x14:dxf>
          </x14:cfRule>
          <x14:cfRule type="expression" priority="7875" stopIfTrue="1" id="{2C1E23EE-E433-48E7-AF05-2F954974449F}">
            <xm:f>AND(IF(X184='F:\Users\norela.briceno\Documents\Plan de acción\Plan Accion 2018\[Plan Accion Integrado ADRES Vigencia 2018 con Cuadro de Mando V6..xlsx]Plan de Accion 2018'!#REF!,X184&lt;&gt;"N/A"))</xm:f>
            <x14:dxf>
              <fill>
                <patternFill>
                  <bgColor rgb="FF00B050"/>
                </patternFill>
              </fill>
            </x14:dxf>
          </x14:cfRule>
          <x14:cfRule type="expression" priority="7876" stopIfTrue="1" id="{FACD2FD4-4957-4A1F-B4AC-7022D73B6ECE}">
            <xm:f>AND(IF(X184&lt;'F:\Users\norela.briceno\Documents\Plan de acción\Plan Accion 2018\[Plan Accion Integrado ADRES Vigencia 2018 con Cuadro de Mando V6..xlsx]Plan de Accion 2018'!#REF!,X184&lt;&gt;"N/A"))</xm:f>
            <x14:dxf>
              <fill>
                <patternFill>
                  <bgColor indexed="10"/>
                </patternFill>
              </fill>
            </x14:dxf>
          </x14:cfRule>
          <xm:sqref>X184</xm:sqref>
        </x14:conditionalFormatting>
        <x14:conditionalFormatting xmlns:xm="http://schemas.microsoft.com/office/excel/2006/main">
          <x14:cfRule type="expression" priority="7871" id="{223962AB-D8ED-4BF5-8974-67FA3ACABF4F}">
            <xm:f>AND(IF(X192&gt;'F:\Users\norela.briceno\Documents\Plan de acción\Plan Accion 2018\[Plan Accion Integrado ADRES Vigencia 2018 con Cuadro de Mando V6..xlsx]Plan de Accion 2018'!#REF!,X192&lt;&gt;¨N/A¨))</xm:f>
            <x14:dxf>
              <fill>
                <patternFill>
                  <bgColor theme="1" tint="0.499984740745262"/>
                </patternFill>
              </fill>
            </x14:dxf>
          </x14:cfRule>
          <x14:cfRule type="expression" priority="7872" stopIfTrue="1" id="{8964B75C-09DB-4C16-937C-15E5024BF0FF}">
            <xm:f>AND(IF(X192='F:\Users\norela.briceno\Documents\Plan de acción\Plan Accion 2018\[Plan Accion Integrado ADRES Vigencia 2018 con Cuadro de Mando V6..xlsx]Plan de Accion 2018'!#REF!,X192&lt;&gt;"N/A"))</xm:f>
            <x14:dxf>
              <fill>
                <patternFill>
                  <bgColor rgb="FF00B050"/>
                </patternFill>
              </fill>
            </x14:dxf>
          </x14:cfRule>
          <x14:cfRule type="expression" priority="7873" stopIfTrue="1" id="{34FCE4B8-27F0-4600-9CB2-5AE7BB68EFED}">
            <xm:f>AND(IF(X192&lt;'F:\Users\norela.briceno\Documents\Plan de acción\Plan Accion 2018\[Plan Accion Integrado ADRES Vigencia 2018 con Cuadro de Mando V6..xlsx]Plan de Accion 2018'!#REF!,X192&lt;&gt;"N/A"))</xm:f>
            <x14:dxf>
              <fill>
                <patternFill>
                  <bgColor indexed="10"/>
                </patternFill>
              </fill>
            </x14:dxf>
          </x14:cfRule>
          <xm:sqref>X192</xm:sqref>
        </x14:conditionalFormatting>
        <x14:conditionalFormatting xmlns:xm="http://schemas.microsoft.com/office/excel/2006/main">
          <x14:cfRule type="expression" priority="7868" id="{2367B4CC-23BE-4972-BF85-1B64EEAE8B8C}">
            <xm:f>AND(IF(X193&gt;'F:\Users\norela.briceno\Documents\Plan de acción\Plan Accion 2018\[Plan Accion Integrado ADRES Vigencia 2018 con Cuadro de Mando V6..xlsx]Plan de Accion 2018'!#REF!,X193&lt;&gt;¨N/A¨))</xm:f>
            <x14:dxf>
              <fill>
                <patternFill>
                  <bgColor theme="1" tint="0.499984740745262"/>
                </patternFill>
              </fill>
            </x14:dxf>
          </x14:cfRule>
          <x14:cfRule type="expression" priority="7869" stopIfTrue="1" id="{95075E1C-89D4-49FE-BBEE-E536AA5CA539}">
            <xm:f>AND(IF(X193='F:\Users\norela.briceno\Documents\Plan de acción\Plan Accion 2018\[Plan Accion Integrado ADRES Vigencia 2018 con Cuadro de Mando V6..xlsx]Plan de Accion 2018'!#REF!,X193&lt;&gt;"N/A"))</xm:f>
            <x14:dxf>
              <fill>
                <patternFill>
                  <bgColor rgb="FF00B050"/>
                </patternFill>
              </fill>
            </x14:dxf>
          </x14:cfRule>
          <x14:cfRule type="expression" priority="7870" stopIfTrue="1" id="{F6FB11DD-1046-4EC7-A9AC-F367F7B9655B}">
            <xm:f>AND(IF(X193&lt;'F:\Users\norela.briceno\Documents\Plan de acción\Plan Accion 2018\[Plan Accion Integrado ADRES Vigencia 2018 con Cuadro de Mando V6..xlsx]Plan de Accion 2018'!#REF!,X193&lt;&gt;"N/A"))</xm:f>
            <x14:dxf>
              <fill>
                <patternFill>
                  <bgColor indexed="10"/>
                </patternFill>
              </fill>
            </x14:dxf>
          </x14:cfRule>
          <xm:sqref>X193</xm:sqref>
        </x14:conditionalFormatting>
        <x14:conditionalFormatting xmlns:xm="http://schemas.microsoft.com/office/excel/2006/main">
          <x14:cfRule type="expression" priority="7865" id="{87FC780F-700F-48CE-A71D-D325726F8B05}">
            <xm:f>AND(IF(X198&gt;'F:\Users\norela.briceno\Documents\Plan de acción\Plan Accion 2018\[Plan Accion Integrado ADRES Vigencia 2018 con Cuadro de Mando V6..xlsx]Plan de Accion 2018'!#REF!,X198&lt;&gt;¨N/A¨))</xm:f>
            <x14:dxf>
              <fill>
                <patternFill>
                  <bgColor theme="1" tint="0.499984740745262"/>
                </patternFill>
              </fill>
            </x14:dxf>
          </x14:cfRule>
          <x14:cfRule type="expression" priority="7866" stopIfTrue="1" id="{CC711FFD-490B-4ADB-8926-CE7CE4EE37C1}">
            <xm:f>AND(IF(X198='F:\Users\norela.briceno\Documents\Plan de acción\Plan Accion 2018\[Plan Accion Integrado ADRES Vigencia 2018 con Cuadro de Mando V6..xlsx]Plan de Accion 2018'!#REF!,X198&lt;&gt;"N/A"))</xm:f>
            <x14:dxf>
              <fill>
                <patternFill>
                  <bgColor rgb="FF00B050"/>
                </patternFill>
              </fill>
            </x14:dxf>
          </x14:cfRule>
          <x14:cfRule type="expression" priority="7867" stopIfTrue="1" id="{B6F5C917-AD3E-4B96-B43A-2F5833E21C56}">
            <xm:f>AND(IF(X198&lt;'F:\Users\norela.briceno\Documents\Plan de acción\Plan Accion 2018\[Plan Accion Integrado ADRES Vigencia 2018 con Cuadro de Mando V6..xlsx]Plan de Accion 2018'!#REF!,X198&lt;&gt;"N/A"))</xm:f>
            <x14:dxf>
              <fill>
                <patternFill>
                  <bgColor indexed="10"/>
                </patternFill>
              </fill>
            </x14:dxf>
          </x14:cfRule>
          <xm:sqref>X198</xm:sqref>
        </x14:conditionalFormatting>
        <x14:conditionalFormatting xmlns:xm="http://schemas.microsoft.com/office/excel/2006/main">
          <x14:cfRule type="expression" priority="7862" id="{D852B78F-9873-407F-B905-B6CC6BE5DB3D}">
            <xm:f>AND(IF(X199&gt;'F:\Users\norela.briceno\Documents\Plan de acción\Plan Accion 2018\[Plan Accion Integrado ADRES Vigencia 2018 con Cuadro de Mando V6..xlsx]Plan de Accion 2018'!#REF!,X199&lt;&gt;¨N/A¨))</xm:f>
            <x14:dxf>
              <fill>
                <patternFill>
                  <bgColor theme="1" tint="0.499984740745262"/>
                </patternFill>
              </fill>
            </x14:dxf>
          </x14:cfRule>
          <x14:cfRule type="expression" priority="7863" stopIfTrue="1" id="{4389C701-69B5-4C7D-B8AA-8911772A1512}">
            <xm:f>AND(IF(X199='F:\Users\norela.briceno\Documents\Plan de acción\Plan Accion 2018\[Plan Accion Integrado ADRES Vigencia 2018 con Cuadro de Mando V6..xlsx]Plan de Accion 2018'!#REF!,X199&lt;&gt;"N/A"))</xm:f>
            <x14:dxf>
              <fill>
                <patternFill>
                  <bgColor rgb="FF00B050"/>
                </patternFill>
              </fill>
            </x14:dxf>
          </x14:cfRule>
          <x14:cfRule type="expression" priority="7864" stopIfTrue="1" id="{7E1FF302-1EE9-42A5-B519-5BC242466CD2}">
            <xm:f>AND(IF(X199&lt;'F:\Users\norela.briceno\Documents\Plan de acción\Plan Accion 2018\[Plan Accion Integrado ADRES Vigencia 2018 con Cuadro de Mando V6..xlsx]Plan de Accion 2018'!#REF!,X199&lt;&gt;"N/A"))</xm:f>
            <x14:dxf>
              <fill>
                <patternFill>
                  <bgColor indexed="10"/>
                </patternFill>
              </fill>
            </x14:dxf>
          </x14:cfRule>
          <xm:sqref>X199</xm:sqref>
        </x14:conditionalFormatting>
        <x14:conditionalFormatting xmlns:xm="http://schemas.microsoft.com/office/excel/2006/main">
          <x14:cfRule type="expression" priority="7859" id="{8BFC0150-7893-4601-95DD-B93148542EA2}">
            <xm:f>AND(IF(X200&gt;'F:\Users\norela.briceno\Documents\Plan de acción\Plan Accion 2018\[Plan Accion Integrado ADRES Vigencia 2018 con Cuadro de Mando V6..xlsx]Plan de Accion 2018'!#REF!,X200&lt;&gt;¨N/A¨))</xm:f>
            <x14:dxf>
              <fill>
                <patternFill>
                  <bgColor theme="1" tint="0.499984740745262"/>
                </patternFill>
              </fill>
            </x14:dxf>
          </x14:cfRule>
          <x14:cfRule type="expression" priority="7860" stopIfTrue="1" id="{18EB7193-54D5-4CB4-A587-A0F74EC8756B}">
            <xm:f>AND(IF(X200='F:\Users\norela.briceno\Documents\Plan de acción\Plan Accion 2018\[Plan Accion Integrado ADRES Vigencia 2018 con Cuadro de Mando V6..xlsx]Plan de Accion 2018'!#REF!,X200&lt;&gt;"N/A"))</xm:f>
            <x14:dxf>
              <fill>
                <patternFill>
                  <bgColor rgb="FF00B050"/>
                </patternFill>
              </fill>
            </x14:dxf>
          </x14:cfRule>
          <x14:cfRule type="expression" priority="7861" stopIfTrue="1" id="{A9F8555F-934B-4F86-8BAB-4862945C4701}">
            <xm:f>AND(IF(X200&lt;'F:\Users\norela.briceno\Documents\Plan de acción\Plan Accion 2018\[Plan Accion Integrado ADRES Vigencia 2018 con Cuadro de Mando V6..xlsx]Plan de Accion 2018'!#REF!,X200&lt;&gt;"N/A"))</xm:f>
            <x14:dxf>
              <fill>
                <patternFill>
                  <bgColor indexed="10"/>
                </patternFill>
              </fill>
            </x14:dxf>
          </x14:cfRule>
          <xm:sqref>X200</xm:sqref>
        </x14:conditionalFormatting>
        <x14:conditionalFormatting xmlns:xm="http://schemas.microsoft.com/office/excel/2006/main">
          <x14:cfRule type="expression" priority="7856" id="{D029A8D1-D9AC-4FF8-BB71-5DF73C47A1FA}">
            <xm:f>AND(IF(X201&gt;'F:\Users\norela.briceno\Documents\Plan de acción\Plan Accion 2018\[Plan Accion Integrado ADRES Vigencia 2018 con Cuadro de Mando V6..xlsx]Plan de Accion 2018'!#REF!,X201&lt;&gt;¨N/A¨))</xm:f>
            <x14:dxf>
              <fill>
                <patternFill>
                  <bgColor theme="1" tint="0.499984740745262"/>
                </patternFill>
              </fill>
            </x14:dxf>
          </x14:cfRule>
          <x14:cfRule type="expression" priority="7857" stopIfTrue="1" id="{0FE63742-043B-494A-9F1F-B10D070A77F4}">
            <xm:f>AND(IF(X201='F:\Users\norela.briceno\Documents\Plan de acción\Plan Accion 2018\[Plan Accion Integrado ADRES Vigencia 2018 con Cuadro de Mando V6..xlsx]Plan de Accion 2018'!#REF!,X201&lt;&gt;"N/A"))</xm:f>
            <x14:dxf>
              <fill>
                <patternFill>
                  <bgColor rgb="FF00B050"/>
                </patternFill>
              </fill>
            </x14:dxf>
          </x14:cfRule>
          <x14:cfRule type="expression" priority="7858" stopIfTrue="1" id="{2AFDBCDF-3792-453A-B4DC-F4B74A61BE47}">
            <xm:f>AND(IF(X201&lt;'F:\Users\norela.briceno\Documents\Plan de acción\Plan Accion 2018\[Plan Accion Integrado ADRES Vigencia 2018 con Cuadro de Mando V6..xlsx]Plan de Accion 2018'!#REF!,X201&lt;&gt;"N/A"))</xm:f>
            <x14:dxf>
              <fill>
                <patternFill>
                  <bgColor indexed="10"/>
                </patternFill>
              </fill>
            </x14:dxf>
          </x14:cfRule>
          <xm:sqref>X201</xm:sqref>
        </x14:conditionalFormatting>
        <x14:conditionalFormatting xmlns:xm="http://schemas.microsoft.com/office/excel/2006/main">
          <x14:cfRule type="expression" priority="7853" id="{972BBD41-5E47-46A2-AAAA-ECC87CEC03ED}">
            <xm:f>AND(IF(X202&gt;'F:\Users\norela.briceno\Documents\Plan de acción\Plan Accion 2018\[Plan Accion Integrado ADRES Vigencia 2018 con Cuadro de Mando V6..xlsx]Plan de Accion 2018'!#REF!,X202&lt;&gt;¨N/A¨))</xm:f>
            <x14:dxf>
              <fill>
                <patternFill>
                  <bgColor theme="1" tint="0.499984740745262"/>
                </patternFill>
              </fill>
            </x14:dxf>
          </x14:cfRule>
          <x14:cfRule type="expression" priority="7854" stopIfTrue="1" id="{CD8B380C-FAE0-4343-A68F-D3D961B3AF28}">
            <xm:f>AND(IF(X202='F:\Users\norela.briceno\Documents\Plan de acción\Plan Accion 2018\[Plan Accion Integrado ADRES Vigencia 2018 con Cuadro de Mando V6..xlsx]Plan de Accion 2018'!#REF!,X202&lt;&gt;"N/A"))</xm:f>
            <x14:dxf>
              <fill>
                <patternFill>
                  <bgColor rgb="FF00B050"/>
                </patternFill>
              </fill>
            </x14:dxf>
          </x14:cfRule>
          <x14:cfRule type="expression" priority="7855" stopIfTrue="1" id="{75FC5A92-2955-4D22-A2E1-8D567586DF36}">
            <xm:f>AND(IF(X202&lt;'F:\Users\norela.briceno\Documents\Plan de acción\Plan Accion 2018\[Plan Accion Integrado ADRES Vigencia 2018 con Cuadro de Mando V6..xlsx]Plan de Accion 2018'!#REF!,X202&lt;&gt;"N/A"))</xm:f>
            <x14:dxf>
              <fill>
                <patternFill>
                  <bgColor indexed="10"/>
                </patternFill>
              </fill>
            </x14:dxf>
          </x14:cfRule>
          <xm:sqref>X202</xm:sqref>
        </x14:conditionalFormatting>
        <x14:conditionalFormatting xmlns:xm="http://schemas.microsoft.com/office/excel/2006/main">
          <x14:cfRule type="expression" priority="7850" id="{100E933B-4B86-4062-A537-1DC7EF36882D}">
            <xm:f>AND(IF(X203&gt;'F:\Users\norela.briceno\Documents\Plan de acción\Plan Accion 2018\[Plan Accion Integrado ADRES Vigencia 2018 con Cuadro de Mando V6..xlsx]Plan de Accion 2018'!#REF!,X203&lt;&gt;¨N/A¨))</xm:f>
            <x14:dxf>
              <fill>
                <patternFill>
                  <bgColor theme="1" tint="0.499984740745262"/>
                </patternFill>
              </fill>
            </x14:dxf>
          </x14:cfRule>
          <x14:cfRule type="expression" priority="7851" stopIfTrue="1" id="{8C2DDB7E-323D-42F3-B924-F5AA0203FC92}">
            <xm:f>AND(IF(X203='F:\Users\norela.briceno\Documents\Plan de acción\Plan Accion 2018\[Plan Accion Integrado ADRES Vigencia 2018 con Cuadro de Mando V6..xlsx]Plan de Accion 2018'!#REF!,X203&lt;&gt;"N/A"))</xm:f>
            <x14:dxf>
              <fill>
                <patternFill>
                  <bgColor rgb="FF00B050"/>
                </patternFill>
              </fill>
            </x14:dxf>
          </x14:cfRule>
          <x14:cfRule type="expression" priority="7852" stopIfTrue="1" id="{9563366B-FF5B-496C-B281-B8E7DB3C5EB8}">
            <xm:f>AND(IF(X203&lt;'F:\Users\norela.briceno\Documents\Plan de acción\Plan Accion 2018\[Plan Accion Integrado ADRES Vigencia 2018 con Cuadro de Mando V6..xlsx]Plan de Accion 2018'!#REF!,X203&lt;&gt;"N/A"))</xm:f>
            <x14:dxf>
              <fill>
                <patternFill>
                  <bgColor indexed="10"/>
                </patternFill>
              </fill>
            </x14:dxf>
          </x14:cfRule>
          <xm:sqref>X203</xm:sqref>
        </x14:conditionalFormatting>
        <x14:conditionalFormatting xmlns:xm="http://schemas.microsoft.com/office/excel/2006/main">
          <x14:cfRule type="expression" priority="7847" id="{04D3139F-CBE6-4E45-B486-B73BF6C3F4CC}">
            <xm:f>AND(IF(X205&gt;'F:\Users\norela.briceno\Documents\Plan de acción\Plan Accion 2018\[Plan Accion Integrado ADRES Vigencia 2018 con Cuadro de Mando V6..xlsx]Plan de Accion 2018'!#REF!,X205&lt;&gt;¨N/A¨))</xm:f>
            <x14:dxf>
              <fill>
                <patternFill>
                  <bgColor theme="1" tint="0.499984740745262"/>
                </patternFill>
              </fill>
            </x14:dxf>
          </x14:cfRule>
          <x14:cfRule type="expression" priority="7848" stopIfTrue="1" id="{812474D2-1472-4BEE-B367-6FE6D733B4A6}">
            <xm:f>AND(IF(X205='F:\Users\norela.briceno\Documents\Plan de acción\Plan Accion 2018\[Plan Accion Integrado ADRES Vigencia 2018 con Cuadro de Mando V6..xlsx]Plan de Accion 2018'!#REF!,X205&lt;&gt;"N/A"))</xm:f>
            <x14:dxf>
              <fill>
                <patternFill>
                  <bgColor rgb="FF00B050"/>
                </patternFill>
              </fill>
            </x14:dxf>
          </x14:cfRule>
          <x14:cfRule type="expression" priority="7849" stopIfTrue="1" id="{7C5FBC28-AB06-42D9-8935-B8FA879739A5}">
            <xm:f>AND(IF(X205&lt;'F:\Users\norela.briceno\Documents\Plan de acción\Plan Accion 2018\[Plan Accion Integrado ADRES Vigencia 2018 con Cuadro de Mando V6..xlsx]Plan de Accion 2018'!#REF!,X205&lt;&gt;"N/A"))</xm:f>
            <x14:dxf>
              <fill>
                <patternFill>
                  <bgColor indexed="10"/>
                </patternFill>
              </fill>
            </x14:dxf>
          </x14:cfRule>
          <xm:sqref>X205</xm:sqref>
        </x14:conditionalFormatting>
        <x14:conditionalFormatting xmlns:xm="http://schemas.microsoft.com/office/excel/2006/main">
          <x14:cfRule type="expression" priority="7844" id="{B5918568-9205-4994-AD2C-A0B09EC9EB7A}">
            <xm:f>AND(IF(X206&gt;'F:\Users\norela.briceno\Documents\Plan de acción\Plan Accion 2018\[Plan Accion Integrado ADRES Vigencia 2018 con Cuadro de Mando V6..xlsx]Plan de Accion 2018'!#REF!,X206&lt;&gt;¨N/A¨))</xm:f>
            <x14:dxf>
              <fill>
                <patternFill>
                  <bgColor theme="1" tint="0.499984740745262"/>
                </patternFill>
              </fill>
            </x14:dxf>
          </x14:cfRule>
          <x14:cfRule type="expression" priority="7845" stopIfTrue="1" id="{68182953-D66D-4DBD-812D-7C28BCFDF4CB}">
            <xm:f>AND(IF(X206='F:\Users\norela.briceno\Documents\Plan de acción\Plan Accion 2018\[Plan Accion Integrado ADRES Vigencia 2018 con Cuadro de Mando V6..xlsx]Plan de Accion 2018'!#REF!,X206&lt;&gt;"N/A"))</xm:f>
            <x14:dxf>
              <fill>
                <patternFill>
                  <bgColor rgb="FF00B050"/>
                </patternFill>
              </fill>
            </x14:dxf>
          </x14:cfRule>
          <x14:cfRule type="expression" priority="7846" stopIfTrue="1" id="{B3CA9E63-D8DF-4742-8C08-A848FE012EAE}">
            <xm:f>AND(IF(X206&lt;'F:\Users\norela.briceno\Documents\Plan de acción\Plan Accion 2018\[Plan Accion Integrado ADRES Vigencia 2018 con Cuadro de Mando V6..xlsx]Plan de Accion 2018'!#REF!,X206&lt;&gt;"N/A"))</xm:f>
            <x14:dxf>
              <fill>
                <patternFill>
                  <bgColor indexed="10"/>
                </patternFill>
              </fill>
            </x14:dxf>
          </x14:cfRule>
          <xm:sqref>X206</xm:sqref>
        </x14:conditionalFormatting>
        <x14:conditionalFormatting xmlns:xm="http://schemas.microsoft.com/office/excel/2006/main">
          <x14:cfRule type="expression" priority="7841" id="{3319807E-61FA-4418-B5D0-4BF58EEB2BBA}">
            <xm:f>AND(IF(X210&gt;'F:\Users\norela.briceno\Documents\Plan de acción\Plan Accion 2018\[Plan Accion Integrado ADRES Vigencia 2018 con Cuadro de Mando V6..xlsx]Plan de Accion 2018'!#REF!,X210&lt;&gt;¨N/A¨))</xm:f>
            <x14:dxf>
              <fill>
                <patternFill>
                  <bgColor theme="1" tint="0.499984740745262"/>
                </patternFill>
              </fill>
            </x14:dxf>
          </x14:cfRule>
          <x14:cfRule type="expression" priority="7842" stopIfTrue="1" id="{7FD69541-1C6B-4A58-969D-37778DC085DD}">
            <xm:f>AND(IF(X210='F:\Users\norela.briceno\Documents\Plan de acción\Plan Accion 2018\[Plan Accion Integrado ADRES Vigencia 2018 con Cuadro de Mando V6..xlsx]Plan de Accion 2018'!#REF!,X210&lt;&gt;"N/A"))</xm:f>
            <x14:dxf>
              <fill>
                <patternFill>
                  <bgColor rgb="FF00B050"/>
                </patternFill>
              </fill>
            </x14:dxf>
          </x14:cfRule>
          <x14:cfRule type="expression" priority="7843" stopIfTrue="1" id="{71C006F8-ED10-4276-B351-0E507093096D}">
            <xm:f>AND(IF(X210&lt;'F:\Users\norela.briceno\Documents\Plan de acción\Plan Accion 2018\[Plan Accion Integrado ADRES Vigencia 2018 con Cuadro de Mando V6..xlsx]Plan de Accion 2018'!#REF!,X210&lt;&gt;"N/A"))</xm:f>
            <x14:dxf>
              <fill>
                <patternFill>
                  <bgColor indexed="10"/>
                </patternFill>
              </fill>
            </x14:dxf>
          </x14:cfRule>
          <xm:sqref>X210</xm:sqref>
        </x14:conditionalFormatting>
        <x14:conditionalFormatting xmlns:xm="http://schemas.microsoft.com/office/excel/2006/main">
          <x14:cfRule type="expression" priority="7838" id="{05D9CC40-30E2-4C24-BF40-340ED070A2F5}">
            <xm:f>AND(IF(X212&gt;'F:\Users\norela.briceno\Documents\Plan de acción\Plan Accion 2018\[Plan Accion Integrado ADRES Vigencia 2018 con Cuadro de Mando V6..xlsx]Plan de Accion 2018'!#REF!,X212&lt;&gt;¨N/A¨))</xm:f>
            <x14:dxf>
              <fill>
                <patternFill>
                  <bgColor theme="1" tint="0.499984740745262"/>
                </patternFill>
              </fill>
            </x14:dxf>
          </x14:cfRule>
          <x14:cfRule type="expression" priority="7839" stopIfTrue="1" id="{17DB30C9-8CEF-4F85-B33C-1402B30C5C83}">
            <xm:f>AND(IF(X212='F:\Users\norela.briceno\Documents\Plan de acción\Plan Accion 2018\[Plan Accion Integrado ADRES Vigencia 2018 con Cuadro de Mando V6..xlsx]Plan de Accion 2018'!#REF!,X212&lt;&gt;"N/A"))</xm:f>
            <x14:dxf>
              <fill>
                <patternFill>
                  <bgColor rgb="FF00B050"/>
                </patternFill>
              </fill>
            </x14:dxf>
          </x14:cfRule>
          <x14:cfRule type="expression" priority="7840" stopIfTrue="1" id="{B56D6F9C-8A23-4921-921C-9954FA2C99B8}">
            <xm:f>AND(IF(X212&lt;'F:\Users\norela.briceno\Documents\Plan de acción\Plan Accion 2018\[Plan Accion Integrado ADRES Vigencia 2018 con Cuadro de Mando V6..xlsx]Plan de Accion 2018'!#REF!,X212&lt;&gt;"N/A"))</xm:f>
            <x14:dxf>
              <fill>
                <patternFill>
                  <bgColor indexed="10"/>
                </patternFill>
              </fill>
            </x14:dxf>
          </x14:cfRule>
          <xm:sqref>X212</xm:sqref>
        </x14:conditionalFormatting>
        <x14:conditionalFormatting xmlns:xm="http://schemas.microsoft.com/office/excel/2006/main">
          <x14:cfRule type="expression" priority="7835" id="{ECF40CF3-9B7B-4ED9-8863-A432129D1ACC}">
            <xm:f>AND(IF(X214&gt;'F:\Users\norela.briceno\Documents\Plan de acción\Plan Accion 2018\[Plan Accion Integrado ADRES Vigencia 2018 con Cuadro de Mando V6..xlsx]Plan de Accion 2018'!#REF!,X214&lt;&gt;¨N/A¨))</xm:f>
            <x14:dxf>
              <fill>
                <patternFill>
                  <bgColor theme="1" tint="0.499984740745262"/>
                </patternFill>
              </fill>
            </x14:dxf>
          </x14:cfRule>
          <x14:cfRule type="expression" priority="7836" stopIfTrue="1" id="{2E5DF0D0-EF86-4B1B-A18B-01F6CC19C218}">
            <xm:f>AND(IF(X214='F:\Users\norela.briceno\Documents\Plan de acción\Plan Accion 2018\[Plan Accion Integrado ADRES Vigencia 2018 con Cuadro de Mando V6..xlsx]Plan de Accion 2018'!#REF!,X214&lt;&gt;"N/A"))</xm:f>
            <x14:dxf>
              <fill>
                <patternFill>
                  <bgColor rgb="FF00B050"/>
                </patternFill>
              </fill>
            </x14:dxf>
          </x14:cfRule>
          <x14:cfRule type="expression" priority="7837" stopIfTrue="1" id="{AFB71002-ECDB-477A-8275-B76E30455CE0}">
            <xm:f>AND(IF(X214&lt;'F:\Users\norela.briceno\Documents\Plan de acción\Plan Accion 2018\[Plan Accion Integrado ADRES Vigencia 2018 con Cuadro de Mando V6..xlsx]Plan de Accion 2018'!#REF!,X214&lt;&gt;"N/A"))</xm:f>
            <x14:dxf>
              <fill>
                <patternFill>
                  <bgColor indexed="10"/>
                </patternFill>
              </fill>
            </x14:dxf>
          </x14:cfRule>
          <xm:sqref>X214</xm:sqref>
        </x14:conditionalFormatting>
        <x14:conditionalFormatting xmlns:xm="http://schemas.microsoft.com/office/excel/2006/main">
          <x14:cfRule type="expression" priority="7832" id="{6FC9E34E-851B-41FF-A1B5-48893777B3BA}">
            <xm:f>AND(IF(X215&gt;'F:\Users\norela.briceno\Documents\Plan de acción\Plan Accion 2018\[Plan Accion Integrado ADRES Vigencia 2018 con Cuadro de Mando V6..xlsx]Plan de Accion 2018'!#REF!,X215&lt;&gt;¨N/A¨))</xm:f>
            <x14:dxf>
              <fill>
                <patternFill>
                  <bgColor theme="1" tint="0.499984740745262"/>
                </patternFill>
              </fill>
            </x14:dxf>
          </x14:cfRule>
          <x14:cfRule type="expression" priority="7833" stopIfTrue="1" id="{3A68538D-9394-4679-A9DC-396F0C5826C9}">
            <xm:f>AND(IF(X215='F:\Users\norela.briceno\Documents\Plan de acción\Plan Accion 2018\[Plan Accion Integrado ADRES Vigencia 2018 con Cuadro de Mando V6..xlsx]Plan de Accion 2018'!#REF!,X215&lt;&gt;"N/A"))</xm:f>
            <x14:dxf>
              <fill>
                <patternFill>
                  <bgColor rgb="FF00B050"/>
                </patternFill>
              </fill>
            </x14:dxf>
          </x14:cfRule>
          <x14:cfRule type="expression" priority="7834" stopIfTrue="1" id="{1651849B-06F9-47BC-A6EB-AFC213AA6EB5}">
            <xm:f>AND(IF(X215&lt;'F:\Users\norela.briceno\Documents\Plan de acción\Plan Accion 2018\[Plan Accion Integrado ADRES Vigencia 2018 con Cuadro de Mando V6..xlsx]Plan de Accion 2018'!#REF!,X215&lt;&gt;"N/A"))</xm:f>
            <x14:dxf>
              <fill>
                <patternFill>
                  <bgColor indexed="10"/>
                </patternFill>
              </fill>
            </x14:dxf>
          </x14:cfRule>
          <xm:sqref>X215</xm:sqref>
        </x14:conditionalFormatting>
        <x14:conditionalFormatting xmlns:xm="http://schemas.microsoft.com/office/excel/2006/main">
          <x14:cfRule type="expression" priority="7829" id="{D8816492-2D6A-4ED4-B63F-44723723A38C}">
            <xm:f>AND(IF(X216&gt;'F:\Users\norela.briceno\Documents\Plan de acción\Plan Accion 2018\[Plan Accion Integrado ADRES Vigencia 2018 con Cuadro de Mando V6..xlsx]Plan de Accion 2018'!#REF!,X216&lt;&gt;¨N/A¨))</xm:f>
            <x14:dxf>
              <fill>
                <patternFill>
                  <bgColor theme="1" tint="0.499984740745262"/>
                </patternFill>
              </fill>
            </x14:dxf>
          </x14:cfRule>
          <x14:cfRule type="expression" priority="7830" stopIfTrue="1" id="{86760853-FB6F-4A75-956C-369415622E2C}">
            <xm:f>AND(IF(X216='F:\Users\norela.briceno\Documents\Plan de acción\Plan Accion 2018\[Plan Accion Integrado ADRES Vigencia 2018 con Cuadro de Mando V6..xlsx]Plan de Accion 2018'!#REF!,X216&lt;&gt;"N/A"))</xm:f>
            <x14:dxf>
              <fill>
                <patternFill>
                  <bgColor rgb="FF00B050"/>
                </patternFill>
              </fill>
            </x14:dxf>
          </x14:cfRule>
          <x14:cfRule type="expression" priority="7831" stopIfTrue="1" id="{E3C0BF48-AD4E-4F54-978A-15674D55CF8A}">
            <xm:f>AND(IF(X216&lt;'F:\Users\norela.briceno\Documents\Plan de acción\Plan Accion 2018\[Plan Accion Integrado ADRES Vigencia 2018 con Cuadro de Mando V6..xlsx]Plan de Accion 2018'!#REF!,X216&lt;&gt;"N/A"))</xm:f>
            <x14:dxf>
              <fill>
                <patternFill>
                  <bgColor indexed="10"/>
                </patternFill>
              </fill>
            </x14:dxf>
          </x14:cfRule>
          <xm:sqref>X216</xm:sqref>
        </x14:conditionalFormatting>
        <x14:conditionalFormatting xmlns:xm="http://schemas.microsoft.com/office/excel/2006/main">
          <x14:cfRule type="expression" priority="7826" id="{91ED1D2C-A6D2-4956-88E1-61AC08B28FFD}">
            <xm:f>AND(IF(X217&gt;'F:\Users\norela.briceno\Documents\Plan de acción\Plan Accion 2018\[Plan Accion Integrado ADRES Vigencia 2018 con Cuadro de Mando V6..xlsx]Plan de Accion 2018'!#REF!,X217&lt;&gt;¨N/A¨))</xm:f>
            <x14:dxf>
              <fill>
                <patternFill>
                  <bgColor theme="1" tint="0.499984740745262"/>
                </patternFill>
              </fill>
            </x14:dxf>
          </x14:cfRule>
          <x14:cfRule type="expression" priority="7827" stopIfTrue="1" id="{E3E4D189-091A-46FC-92DD-D60264AA7CDB}">
            <xm:f>AND(IF(X217='F:\Users\norela.briceno\Documents\Plan de acción\Plan Accion 2018\[Plan Accion Integrado ADRES Vigencia 2018 con Cuadro de Mando V6..xlsx]Plan de Accion 2018'!#REF!,X217&lt;&gt;"N/A"))</xm:f>
            <x14:dxf>
              <fill>
                <patternFill>
                  <bgColor rgb="FF00B050"/>
                </patternFill>
              </fill>
            </x14:dxf>
          </x14:cfRule>
          <x14:cfRule type="expression" priority="7828" stopIfTrue="1" id="{9F69EE73-B215-4A40-BE89-05433DDE7FE4}">
            <xm:f>AND(IF(X217&lt;'F:\Users\norela.briceno\Documents\Plan de acción\Plan Accion 2018\[Plan Accion Integrado ADRES Vigencia 2018 con Cuadro de Mando V6..xlsx]Plan de Accion 2018'!#REF!,X217&lt;&gt;"N/A"))</xm:f>
            <x14:dxf>
              <fill>
                <patternFill>
                  <bgColor indexed="10"/>
                </patternFill>
              </fill>
            </x14:dxf>
          </x14:cfRule>
          <xm:sqref>X217</xm:sqref>
        </x14:conditionalFormatting>
        <x14:conditionalFormatting xmlns:xm="http://schemas.microsoft.com/office/excel/2006/main">
          <x14:cfRule type="expression" priority="7823" id="{7162D03A-FD6F-4FF4-878F-AC4DE0828F81}">
            <xm:f>AND(IF(X218&gt;'F:\Users\norela.briceno\Documents\Plan de acción\Plan Accion 2018\[Plan Accion Integrado ADRES Vigencia 2018 con Cuadro de Mando V6..xlsx]Plan de Accion 2018'!#REF!,X218&lt;&gt;¨N/A¨))</xm:f>
            <x14:dxf>
              <fill>
                <patternFill>
                  <bgColor theme="1" tint="0.499984740745262"/>
                </patternFill>
              </fill>
            </x14:dxf>
          </x14:cfRule>
          <x14:cfRule type="expression" priority="7824" stopIfTrue="1" id="{A68A8F21-0BD5-4DAF-980D-1CBAF7A11891}">
            <xm:f>AND(IF(X218='F:\Users\norela.briceno\Documents\Plan de acción\Plan Accion 2018\[Plan Accion Integrado ADRES Vigencia 2018 con Cuadro de Mando V6..xlsx]Plan de Accion 2018'!#REF!,X218&lt;&gt;"N/A"))</xm:f>
            <x14:dxf>
              <fill>
                <patternFill>
                  <bgColor rgb="FF00B050"/>
                </patternFill>
              </fill>
            </x14:dxf>
          </x14:cfRule>
          <x14:cfRule type="expression" priority="7825" stopIfTrue="1" id="{82B41E2F-44F8-41EB-BC52-DDF65FCA4C30}">
            <xm:f>AND(IF(X218&lt;'F:\Users\norela.briceno\Documents\Plan de acción\Plan Accion 2018\[Plan Accion Integrado ADRES Vigencia 2018 con Cuadro de Mando V6..xlsx]Plan de Accion 2018'!#REF!,X218&lt;&gt;"N/A"))</xm:f>
            <x14:dxf>
              <fill>
                <patternFill>
                  <bgColor indexed="10"/>
                </patternFill>
              </fill>
            </x14:dxf>
          </x14:cfRule>
          <xm:sqref>X218</xm:sqref>
        </x14:conditionalFormatting>
        <x14:conditionalFormatting xmlns:xm="http://schemas.microsoft.com/office/excel/2006/main">
          <x14:cfRule type="expression" priority="7820" id="{44217AA0-6B6A-484F-91DC-B60C84A610F9}">
            <xm:f>AND(IF(X238&gt;'F:\Users\norela.briceno\Documents\Plan de acción\Plan Accion 2018\[Plan Accion Integrado ADRES Vigencia 2018 con Cuadro de Mando V6..xlsx]Plan de Accion 2018'!#REF!,X238&lt;&gt;¨N/A¨))</xm:f>
            <x14:dxf>
              <fill>
                <patternFill>
                  <bgColor theme="1" tint="0.499984740745262"/>
                </patternFill>
              </fill>
            </x14:dxf>
          </x14:cfRule>
          <x14:cfRule type="expression" priority="7821" stopIfTrue="1" id="{11965BCD-3451-4322-A6FD-1DAC8E094166}">
            <xm:f>AND(IF(X238='F:\Users\norela.briceno\Documents\Plan de acción\Plan Accion 2018\[Plan Accion Integrado ADRES Vigencia 2018 con Cuadro de Mando V6..xlsx]Plan de Accion 2018'!#REF!,X238&lt;&gt;"N/A"))</xm:f>
            <x14:dxf>
              <fill>
                <patternFill>
                  <bgColor rgb="FF00B050"/>
                </patternFill>
              </fill>
            </x14:dxf>
          </x14:cfRule>
          <x14:cfRule type="expression" priority="7822" stopIfTrue="1" id="{8740CBD0-421A-43D2-81E0-89991AE22718}">
            <xm:f>AND(IF(X238&lt;'F:\Users\norela.briceno\Documents\Plan de acción\Plan Accion 2018\[Plan Accion Integrado ADRES Vigencia 2018 con Cuadro de Mando V6..xlsx]Plan de Accion 2018'!#REF!,X238&lt;&gt;"N/A"))</xm:f>
            <x14:dxf>
              <fill>
                <patternFill>
                  <bgColor indexed="10"/>
                </patternFill>
              </fill>
            </x14:dxf>
          </x14:cfRule>
          <xm:sqref>X238</xm:sqref>
        </x14:conditionalFormatting>
        <x14:conditionalFormatting xmlns:xm="http://schemas.microsoft.com/office/excel/2006/main">
          <x14:cfRule type="expression" priority="7814" id="{E1F81414-26A1-4897-90A7-AD7BCBDC014A}">
            <xm:f>AND(IF(X244&gt;'F:\Users\norela.briceno\Documents\Plan de acción\Plan Accion 2018\[Plan Accion Integrado ADRES Vigencia 2018 con Cuadro de Mando V6..xlsx]Plan de Accion 2018'!#REF!,X244&lt;&gt;¨N/A¨))</xm:f>
            <x14:dxf>
              <fill>
                <patternFill>
                  <bgColor theme="1" tint="0.499984740745262"/>
                </patternFill>
              </fill>
            </x14:dxf>
          </x14:cfRule>
          <x14:cfRule type="expression" priority="7815" stopIfTrue="1" id="{3D3A6AE1-11F4-4427-A715-E4C8D4B21296}">
            <xm:f>AND(IF(X244='F:\Users\norela.briceno\Documents\Plan de acción\Plan Accion 2018\[Plan Accion Integrado ADRES Vigencia 2018 con Cuadro de Mando V6..xlsx]Plan de Accion 2018'!#REF!,X244&lt;&gt;"N/A"))</xm:f>
            <x14:dxf>
              <fill>
                <patternFill>
                  <bgColor rgb="FF00B050"/>
                </patternFill>
              </fill>
            </x14:dxf>
          </x14:cfRule>
          <x14:cfRule type="expression" priority="7816" stopIfTrue="1" id="{DA910E49-48C2-4733-B566-63C3AB682DD8}">
            <xm:f>AND(IF(X244&lt;'F:\Users\norela.briceno\Documents\Plan de acción\Plan Accion 2018\[Plan Accion Integrado ADRES Vigencia 2018 con Cuadro de Mando V6..xlsx]Plan de Accion 2018'!#REF!,X244&lt;&gt;"N/A"))</xm:f>
            <x14:dxf>
              <fill>
                <patternFill>
                  <bgColor indexed="10"/>
                </patternFill>
              </fill>
            </x14:dxf>
          </x14:cfRule>
          <xm:sqref>X244</xm:sqref>
        </x14:conditionalFormatting>
        <x14:conditionalFormatting xmlns:xm="http://schemas.microsoft.com/office/excel/2006/main">
          <x14:cfRule type="expression" priority="7811" id="{571C2AB2-69FC-467A-BBF7-79120C1A490C}">
            <xm:f>AND(IF(X248&gt;'F:\Users\norela.briceno\Documents\Plan de acción\Plan Accion 2018\[Plan Accion Integrado ADRES Vigencia 2018 con Cuadro de Mando V6..xlsx]Plan de Accion 2018'!#REF!,X248&lt;&gt;¨N/A¨))</xm:f>
            <x14:dxf>
              <fill>
                <patternFill>
                  <bgColor theme="1" tint="0.499984740745262"/>
                </patternFill>
              </fill>
            </x14:dxf>
          </x14:cfRule>
          <x14:cfRule type="expression" priority="7812" stopIfTrue="1" id="{C0CF9514-A341-4789-AFB9-1A2054108F12}">
            <xm:f>AND(IF(X248='F:\Users\norela.briceno\Documents\Plan de acción\Plan Accion 2018\[Plan Accion Integrado ADRES Vigencia 2018 con Cuadro de Mando V6..xlsx]Plan de Accion 2018'!#REF!,X248&lt;&gt;"N/A"))</xm:f>
            <x14:dxf>
              <fill>
                <patternFill>
                  <bgColor rgb="FF00B050"/>
                </patternFill>
              </fill>
            </x14:dxf>
          </x14:cfRule>
          <x14:cfRule type="expression" priority="7813" stopIfTrue="1" id="{B955995F-920F-4597-8FBC-658650DE83F1}">
            <xm:f>AND(IF(X248&lt;'F:\Users\norela.briceno\Documents\Plan de acción\Plan Accion 2018\[Plan Accion Integrado ADRES Vigencia 2018 con Cuadro de Mando V6..xlsx]Plan de Accion 2018'!#REF!,X248&lt;&gt;"N/A"))</xm:f>
            <x14:dxf>
              <fill>
                <patternFill>
                  <bgColor indexed="10"/>
                </patternFill>
              </fill>
            </x14:dxf>
          </x14:cfRule>
          <xm:sqref>X248</xm:sqref>
        </x14:conditionalFormatting>
        <x14:conditionalFormatting xmlns:xm="http://schemas.microsoft.com/office/excel/2006/main">
          <x14:cfRule type="expression" priority="7808" id="{1B2AD623-0AC3-4109-9FCA-1C67AC02D95E}">
            <xm:f>AND(IF(X249&gt;'F:\Users\norela.briceno\Documents\Plan de acción\Plan Accion 2018\[Plan Accion Integrado ADRES Vigencia 2018 con Cuadro de Mando V6..xlsx]Plan de Accion 2018'!#REF!,X249&lt;&gt;¨N/A¨))</xm:f>
            <x14:dxf>
              <fill>
                <patternFill>
                  <bgColor theme="1" tint="0.499984740745262"/>
                </patternFill>
              </fill>
            </x14:dxf>
          </x14:cfRule>
          <x14:cfRule type="expression" priority="7809" stopIfTrue="1" id="{9514E247-098E-47E5-8C42-CAB2C09B8718}">
            <xm:f>AND(IF(X249='F:\Users\norela.briceno\Documents\Plan de acción\Plan Accion 2018\[Plan Accion Integrado ADRES Vigencia 2018 con Cuadro de Mando V6..xlsx]Plan de Accion 2018'!#REF!,X249&lt;&gt;"N/A"))</xm:f>
            <x14:dxf>
              <fill>
                <patternFill>
                  <bgColor rgb="FF00B050"/>
                </patternFill>
              </fill>
            </x14:dxf>
          </x14:cfRule>
          <x14:cfRule type="expression" priority="7810" stopIfTrue="1" id="{7DE8F108-B31D-4A94-B1AA-405E55843408}">
            <xm:f>AND(IF(X249&lt;'F:\Users\norela.briceno\Documents\Plan de acción\Plan Accion 2018\[Plan Accion Integrado ADRES Vigencia 2018 con Cuadro de Mando V6..xlsx]Plan de Accion 2018'!#REF!,X249&lt;&gt;"N/A"))</xm:f>
            <x14:dxf>
              <fill>
                <patternFill>
                  <bgColor indexed="10"/>
                </patternFill>
              </fill>
            </x14:dxf>
          </x14:cfRule>
          <xm:sqref>X249</xm:sqref>
        </x14:conditionalFormatting>
        <x14:conditionalFormatting xmlns:xm="http://schemas.microsoft.com/office/excel/2006/main">
          <x14:cfRule type="expression" priority="7805" id="{4A54DEFB-8172-43A5-A3F5-CBCE0CB1C478}">
            <xm:f>AND(IF(X250&gt;'F:\Users\norela.briceno\Documents\Plan de acción\Plan Accion 2018\[Plan Accion Integrado ADRES Vigencia 2018 con Cuadro de Mando V6..xlsx]Plan de Accion 2018'!#REF!,X250&lt;&gt;¨N/A¨))</xm:f>
            <x14:dxf>
              <fill>
                <patternFill>
                  <bgColor theme="1" tint="0.499984740745262"/>
                </patternFill>
              </fill>
            </x14:dxf>
          </x14:cfRule>
          <x14:cfRule type="expression" priority="7806" stopIfTrue="1" id="{BA6D88E1-EDCF-4289-8DC0-EA85BA73F923}">
            <xm:f>AND(IF(X250='F:\Users\norela.briceno\Documents\Plan de acción\Plan Accion 2018\[Plan Accion Integrado ADRES Vigencia 2018 con Cuadro de Mando V6..xlsx]Plan de Accion 2018'!#REF!,X250&lt;&gt;"N/A"))</xm:f>
            <x14:dxf>
              <fill>
                <patternFill>
                  <bgColor rgb="FF00B050"/>
                </patternFill>
              </fill>
            </x14:dxf>
          </x14:cfRule>
          <x14:cfRule type="expression" priority="7807" stopIfTrue="1" id="{8D254F6B-4BBF-49A9-BBCC-B985A1099D95}">
            <xm:f>AND(IF(X250&lt;'F:\Users\norela.briceno\Documents\Plan de acción\Plan Accion 2018\[Plan Accion Integrado ADRES Vigencia 2018 con Cuadro de Mando V6..xlsx]Plan de Accion 2018'!#REF!,X250&lt;&gt;"N/A"))</xm:f>
            <x14:dxf>
              <fill>
                <patternFill>
                  <bgColor indexed="10"/>
                </patternFill>
              </fill>
            </x14:dxf>
          </x14:cfRule>
          <xm:sqref>X250</xm:sqref>
        </x14:conditionalFormatting>
        <x14:conditionalFormatting xmlns:xm="http://schemas.microsoft.com/office/excel/2006/main">
          <x14:cfRule type="expression" priority="7802" id="{9C9ABAFF-E18E-435C-A6C2-D5E8CED80305}">
            <xm:f>AND(IF(X251&gt;'F:\Users\norela.briceno\Documents\Plan de acción\Plan Accion 2018\[Plan Accion Integrado ADRES Vigencia 2018 con Cuadro de Mando V6..xlsx]Plan de Accion 2018'!#REF!,X251&lt;&gt;¨N/A¨))</xm:f>
            <x14:dxf>
              <fill>
                <patternFill>
                  <bgColor theme="1" tint="0.499984740745262"/>
                </patternFill>
              </fill>
            </x14:dxf>
          </x14:cfRule>
          <x14:cfRule type="expression" priority="7803" stopIfTrue="1" id="{F2212B43-24EB-4ACD-96EC-E6FD1082C8EB}">
            <xm:f>AND(IF(X251='F:\Users\norela.briceno\Documents\Plan de acción\Plan Accion 2018\[Plan Accion Integrado ADRES Vigencia 2018 con Cuadro de Mando V6..xlsx]Plan de Accion 2018'!#REF!,X251&lt;&gt;"N/A"))</xm:f>
            <x14:dxf>
              <fill>
                <patternFill>
                  <bgColor rgb="FF00B050"/>
                </patternFill>
              </fill>
            </x14:dxf>
          </x14:cfRule>
          <x14:cfRule type="expression" priority="7804" stopIfTrue="1" id="{22556FD6-D67C-4F09-A53D-95F92A2FF428}">
            <xm:f>AND(IF(X251&lt;'F:\Users\norela.briceno\Documents\Plan de acción\Plan Accion 2018\[Plan Accion Integrado ADRES Vigencia 2018 con Cuadro de Mando V6..xlsx]Plan de Accion 2018'!#REF!,X251&lt;&gt;"N/A"))</xm:f>
            <x14:dxf>
              <fill>
                <patternFill>
                  <bgColor indexed="10"/>
                </patternFill>
              </fill>
            </x14:dxf>
          </x14:cfRule>
          <xm:sqref>X251</xm:sqref>
        </x14:conditionalFormatting>
        <x14:conditionalFormatting xmlns:xm="http://schemas.microsoft.com/office/excel/2006/main">
          <x14:cfRule type="expression" priority="7799" id="{72AB1E79-E562-453C-8932-B873EB255E11}">
            <xm:f>AND(IF(X252&gt;'F:\Users\norela.briceno\Documents\Plan de acción\Plan Accion 2018\[Plan Accion Integrado ADRES Vigencia 2018 con Cuadro de Mando V6..xlsx]Plan de Accion 2018'!#REF!,X252&lt;&gt;¨N/A¨))</xm:f>
            <x14:dxf>
              <fill>
                <patternFill>
                  <bgColor theme="1" tint="0.499984740745262"/>
                </patternFill>
              </fill>
            </x14:dxf>
          </x14:cfRule>
          <x14:cfRule type="expression" priority="7800" stopIfTrue="1" id="{AAAD96B5-80AF-4F36-85D0-E08FEFBB39BF}">
            <xm:f>AND(IF(X252='F:\Users\norela.briceno\Documents\Plan de acción\Plan Accion 2018\[Plan Accion Integrado ADRES Vigencia 2018 con Cuadro de Mando V6..xlsx]Plan de Accion 2018'!#REF!,X252&lt;&gt;"N/A"))</xm:f>
            <x14:dxf>
              <fill>
                <patternFill>
                  <bgColor rgb="FF00B050"/>
                </patternFill>
              </fill>
            </x14:dxf>
          </x14:cfRule>
          <x14:cfRule type="expression" priority="7801" stopIfTrue="1" id="{09333FA0-3B34-469A-819D-49D090F1B301}">
            <xm:f>AND(IF(X252&lt;'F:\Users\norela.briceno\Documents\Plan de acción\Plan Accion 2018\[Plan Accion Integrado ADRES Vigencia 2018 con Cuadro de Mando V6..xlsx]Plan de Accion 2018'!#REF!,X252&lt;&gt;"N/A"))</xm:f>
            <x14:dxf>
              <fill>
                <patternFill>
                  <bgColor indexed="10"/>
                </patternFill>
              </fill>
            </x14:dxf>
          </x14:cfRule>
          <xm:sqref>X252</xm:sqref>
        </x14:conditionalFormatting>
        <x14:conditionalFormatting xmlns:xm="http://schemas.microsoft.com/office/excel/2006/main">
          <x14:cfRule type="expression" priority="7796" id="{824A5B64-5EA9-43F1-8A70-011001757BC9}">
            <xm:f>AND(IF(X253&gt;'F:\Users\norela.briceno\Documents\Plan de acción\Plan Accion 2018\[Plan Accion Integrado ADRES Vigencia 2018 con Cuadro de Mando V6..xlsx]Plan de Accion 2018'!#REF!,X253&lt;&gt;¨N/A¨))</xm:f>
            <x14:dxf>
              <fill>
                <patternFill>
                  <bgColor theme="1" tint="0.499984740745262"/>
                </patternFill>
              </fill>
            </x14:dxf>
          </x14:cfRule>
          <x14:cfRule type="expression" priority="7797" stopIfTrue="1" id="{7CA5CCAD-2F82-4743-9F77-4D4DD2F89956}">
            <xm:f>AND(IF(X253='F:\Users\norela.briceno\Documents\Plan de acción\Plan Accion 2018\[Plan Accion Integrado ADRES Vigencia 2018 con Cuadro de Mando V6..xlsx]Plan de Accion 2018'!#REF!,X253&lt;&gt;"N/A"))</xm:f>
            <x14:dxf>
              <fill>
                <patternFill>
                  <bgColor rgb="FF00B050"/>
                </patternFill>
              </fill>
            </x14:dxf>
          </x14:cfRule>
          <x14:cfRule type="expression" priority="7798" stopIfTrue="1" id="{A0634DA7-DC90-4ADA-9D11-097E35E4EE93}">
            <xm:f>AND(IF(X253&lt;'F:\Users\norela.briceno\Documents\Plan de acción\Plan Accion 2018\[Plan Accion Integrado ADRES Vigencia 2018 con Cuadro de Mando V6..xlsx]Plan de Accion 2018'!#REF!,X253&lt;&gt;"N/A"))</xm:f>
            <x14:dxf>
              <fill>
                <patternFill>
                  <bgColor indexed="10"/>
                </patternFill>
              </fill>
            </x14:dxf>
          </x14:cfRule>
          <xm:sqref>X253</xm:sqref>
        </x14:conditionalFormatting>
        <x14:conditionalFormatting xmlns:xm="http://schemas.microsoft.com/office/excel/2006/main">
          <x14:cfRule type="expression" priority="7793" id="{28F28E94-CA31-4B53-93C5-1739CC99AB45}">
            <xm:f>AND(IF(X362&gt;'F:\Users\norela.briceno\Documents\Plan de acción\Plan Accion 2018\[Plan Accion Integrado ADRES Vigencia 2018 con Cuadro de Mando V6..xlsx]Plan de Accion 2018'!#REF!,X362&lt;&gt;¨N/A¨))</xm:f>
            <x14:dxf>
              <fill>
                <patternFill>
                  <bgColor theme="1" tint="0.499984740745262"/>
                </patternFill>
              </fill>
            </x14:dxf>
          </x14:cfRule>
          <x14:cfRule type="expression" priority="7794" stopIfTrue="1" id="{0A053A9B-4084-4D92-A72B-C4E8175134D6}">
            <xm:f>AND(IF(X362='F:\Users\norela.briceno\Documents\Plan de acción\Plan Accion 2018\[Plan Accion Integrado ADRES Vigencia 2018 con Cuadro de Mando V6..xlsx]Plan de Accion 2018'!#REF!,X362&lt;&gt;"N/A"))</xm:f>
            <x14:dxf>
              <fill>
                <patternFill>
                  <bgColor rgb="FF00B050"/>
                </patternFill>
              </fill>
            </x14:dxf>
          </x14:cfRule>
          <x14:cfRule type="expression" priority="7795" stopIfTrue="1" id="{3F2B70C0-9600-4E92-A42D-82FB319628F5}">
            <xm:f>AND(IF(X362&lt;'F:\Users\norela.briceno\Documents\Plan de acción\Plan Accion 2018\[Plan Accion Integrado ADRES Vigencia 2018 con Cuadro de Mando V6..xlsx]Plan de Accion 2018'!#REF!,X362&lt;&gt;"N/A"))</xm:f>
            <x14:dxf>
              <fill>
                <patternFill>
                  <bgColor indexed="10"/>
                </patternFill>
              </fill>
            </x14:dxf>
          </x14:cfRule>
          <xm:sqref>X362</xm:sqref>
        </x14:conditionalFormatting>
        <x14:conditionalFormatting xmlns:xm="http://schemas.microsoft.com/office/excel/2006/main">
          <x14:cfRule type="expression" priority="7790" id="{99ACA62B-7F1F-4FAA-9E17-6CA1A66B3CBE}">
            <xm:f>AND(IF(X254&gt;'F:\Users\norela.briceno\Documents\Plan de acción\Plan Accion 2018\[Plan Accion Integrado ADRES Vigencia 2018 con Cuadro de Mando V6..xlsx]Plan de Accion 2018'!#REF!,X254&lt;&gt;¨N/A¨))</xm:f>
            <x14:dxf>
              <fill>
                <patternFill>
                  <bgColor theme="1" tint="0.499984740745262"/>
                </patternFill>
              </fill>
            </x14:dxf>
          </x14:cfRule>
          <x14:cfRule type="expression" priority="7791" stopIfTrue="1" id="{204AD163-2C8D-479C-9FE2-C99402ED32CD}">
            <xm:f>AND(IF(X254='F:\Users\norela.briceno\Documents\Plan de acción\Plan Accion 2018\[Plan Accion Integrado ADRES Vigencia 2018 con Cuadro de Mando V6..xlsx]Plan de Accion 2018'!#REF!,X254&lt;&gt;"N/A"))</xm:f>
            <x14:dxf>
              <fill>
                <patternFill>
                  <bgColor rgb="FF00B050"/>
                </patternFill>
              </fill>
            </x14:dxf>
          </x14:cfRule>
          <x14:cfRule type="expression" priority="7792" stopIfTrue="1" id="{13426739-A6D0-47EF-B565-01D45D38E01C}">
            <xm:f>AND(IF(X254&lt;'F:\Users\norela.briceno\Documents\Plan de acción\Plan Accion 2018\[Plan Accion Integrado ADRES Vigencia 2018 con Cuadro de Mando V6..xlsx]Plan de Accion 2018'!#REF!,X254&lt;&gt;"N/A"))</xm:f>
            <x14:dxf>
              <fill>
                <patternFill>
                  <bgColor indexed="10"/>
                </patternFill>
              </fill>
            </x14:dxf>
          </x14:cfRule>
          <xm:sqref>X254</xm:sqref>
        </x14:conditionalFormatting>
        <x14:conditionalFormatting xmlns:xm="http://schemas.microsoft.com/office/excel/2006/main">
          <x14:cfRule type="expression" priority="7787" id="{FDB9D8EE-56AD-488A-990B-8548D16797BF}">
            <xm:f>AND(IF(X255&gt;'F:\Users\norela.briceno\Documents\Plan de acción\Plan Accion 2018\[Plan Accion Integrado ADRES Vigencia 2018 con Cuadro de Mando V6..xlsx]Plan de Accion 2018'!#REF!,X255&lt;&gt;¨N/A¨))</xm:f>
            <x14:dxf>
              <fill>
                <patternFill>
                  <bgColor theme="1" tint="0.499984740745262"/>
                </patternFill>
              </fill>
            </x14:dxf>
          </x14:cfRule>
          <x14:cfRule type="expression" priority="7788" stopIfTrue="1" id="{87041507-A287-45CA-83BA-66B900677CAD}">
            <xm:f>AND(IF(X255='F:\Users\norela.briceno\Documents\Plan de acción\Plan Accion 2018\[Plan Accion Integrado ADRES Vigencia 2018 con Cuadro de Mando V6..xlsx]Plan de Accion 2018'!#REF!,X255&lt;&gt;"N/A"))</xm:f>
            <x14:dxf>
              <fill>
                <patternFill>
                  <bgColor rgb="FF00B050"/>
                </patternFill>
              </fill>
            </x14:dxf>
          </x14:cfRule>
          <x14:cfRule type="expression" priority="7789" stopIfTrue="1" id="{44F884D0-91EF-492C-B436-9A36DEA03808}">
            <xm:f>AND(IF(X255&lt;'F:\Users\norela.briceno\Documents\Plan de acción\Plan Accion 2018\[Plan Accion Integrado ADRES Vigencia 2018 con Cuadro de Mando V6..xlsx]Plan de Accion 2018'!#REF!,X255&lt;&gt;"N/A"))</xm:f>
            <x14:dxf>
              <fill>
                <patternFill>
                  <bgColor indexed="10"/>
                </patternFill>
              </fill>
            </x14:dxf>
          </x14:cfRule>
          <xm:sqref>X255</xm:sqref>
        </x14:conditionalFormatting>
        <x14:conditionalFormatting xmlns:xm="http://schemas.microsoft.com/office/excel/2006/main">
          <x14:cfRule type="expression" priority="7784" id="{A35C4030-41A3-44D6-A649-E80FB0AB10C2}">
            <xm:f>AND(IF(X256&gt;'F:\Users\norela.briceno\Documents\Plan de acción\Plan Accion 2018\[Plan Accion Integrado ADRES Vigencia 2018 con Cuadro de Mando V6..xlsx]Plan de Accion 2018'!#REF!,X256&lt;&gt;¨N/A¨))</xm:f>
            <x14:dxf>
              <fill>
                <patternFill>
                  <bgColor theme="1" tint="0.499984740745262"/>
                </patternFill>
              </fill>
            </x14:dxf>
          </x14:cfRule>
          <x14:cfRule type="expression" priority="7785" stopIfTrue="1" id="{27EBDC64-E756-490B-B30C-9CA0C41CA442}">
            <xm:f>AND(IF(X256='F:\Users\norela.briceno\Documents\Plan de acción\Plan Accion 2018\[Plan Accion Integrado ADRES Vigencia 2018 con Cuadro de Mando V6..xlsx]Plan de Accion 2018'!#REF!,X256&lt;&gt;"N/A"))</xm:f>
            <x14:dxf>
              <fill>
                <patternFill>
                  <bgColor rgb="FF00B050"/>
                </patternFill>
              </fill>
            </x14:dxf>
          </x14:cfRule>
          <x14:cfRule type="expression" priority="7786" stopIfTrue="1" id="{3BF761AA-01A3-4230-AB04-E91F787A6DB1}">
            <xm:f>AND(IF(X256&lt;'F:\Users\norela.briceno\Documents\Plan de acción\Plan Accion 2018\[Plan Accion Integrado ADRES Vigencia 2018 con Cuadro de Mando V6..xlsx]Plan de Accion 2018'!#REF!,X256&lt;&gt;"N/A"))</xm:f>
            <x14:dxf>
              <fill>
                <patternFill>
                  <bgColor indexed="10"/>
                </patternFill>
              </fill>
            </x14:dxf>
          </x14:cfRule>
          <xm:sqref>X256</xm:sqref>
        </x14:conditionalFormatting>
        <x14:conditionalFormatting xmlns:xm="http://schemas.microsoft.com/office/excel/2006/main">
          <x14:cfRule type="expression" priority="7781" id="{02113761-3D49-4B61-A541-52FD70290624}">
            <xm:f>AND(IF(X258&gt;'F:\Users\norela.briceno\Documents\Plan de acción\Plan Accion 2018\[Plan Accion Integrado ADRES Vigencia 2018 con Cuadro de Mando V6..xlsx]Plan de Accion 2018'!#REF!,X258&lt;&gt;¨N/A¨))</xm:f>
            <x14:dxf>
              <fill>
                <patternFill>
                  <bgColor theme="1" tint="0.499984740745262"/>
                </patternFill>
              </fill>
            </x14:dxf>
          </x14:cfRule>
          <x14:cfRule type="expression" priority="7782" stopIfTrue="1" id="{EA973C81-8A97-4FE7-87B3-2752FF839355}">
            <xm:f>AND(IF(X258='F:\Users\norela.briceno\Documents\Plan de acción\Plan Accion 2018\[Plan Accion Integrado ADRES Vigencia 2018 con Cuadro de Mando V6..xlsx]Plan de Accion 2018'!#REF!,X258&lt;&gt;"N/A"))</xm:f>
            <x14:dxf>
              <fill>
                <patternFill>
                  <bgColor rgb="FF00B050"/>
                </patternFill>
              </fill>
            </x14:dxf>
          </x14:cfRule>
          <x14:cfRule type="expression" priority="7783" stopIfTrue="1" id="{461FF990-FA6F-4B67-98AE-00DB44866145}">
            <xm:f>AND(IF(X258&lt;'F:\Users\norela.briceno\Documents\Plan de acción\Plan Accion 2018\[Plan Accion Integrado ADRES Vigencia 2018 con Cuadro de Mando V6..xlsx]Plan de Accion 2018'!#REF!,X258&lt;&gt;"N/A"))</xm:f>
            <x14:dxf>
              <fill>
                <patternFill>
                  <bgColor indexed="10"/>
                </patternFill>
              </fill>
            </x14:dxf>
          </x14:cfRule>
          <xm:sqref>X258</xm:sqref>
        </x14:conditionalFormatting>
        <x14:conditionalFormatting xmlns:xm="http://schemas.microsoft.com/office/excel/2006/main">
          <x14:cfRule type="expression" priority="7778" id="{058E7A4B-780A-4638-ABD1-D4FFD0B77C24}">
            <xm:f>AND(IF(X259&gt;'F:\Users\norela.briceno\Documents\Plan de acción\Plan Accion 2018\[Plan Accion Integrado ADRES Vigencia 2018 con Cuadro de Mando V6..xlsx]Plan de Accion 2018'!#REF!,X259&lt;&gt;¨N/A¨))</xm:f>
            <x14:dxf>
              <fill>
                <patternFill>
                  <bgColor theme="1" tint="0.499984740745262"/>
                </patternFill>
              </fill>
            </x14:dxf>
          </x14:cfRule>
          <x14:cfRule type="expression" priority="7779" stopIfTrue="1" id="{93095577-FEA8-4797-8978-C20C5CAD2EE5}">
            <xm:f>AND(IF(X259='F:\Users\norela.briceno\Documents\Plan de acción\Plan Accion 2018\[Plan Accion Integrado ADRES Vigencia 2018 con Cuadro de Mando V6..xlsx]Plan de Accion 2018'!#REF!,X259&lt;&gt;"N/A"))</xm:f>
            <x14:dxf>
              <fill>
                <patternFill>
                  <bgColor rgb="FF00B050"/>
                </patternFill>
              </fill>
            </x14:dxf>
          </x14:cfRule>
          <x14:cfRule type="expression" priority="7780" stopIfTrue="1" id="{6EDDD59B-5795-49F7-A070-D569B61EA65D}">
            <xm:f>AND(IF(X259&lt;'F:\Users\norela.briceno\Documents\Plan de acción\Plan Accion 2018\[Plan Accion Integrado ADRES Vigencia 2018 con Cuadro de Mando V6..xlsx]Plan de Accion 2018'!#REF!,X259&lt;&gt;"N/A"))</xm:f>
            <x14:dxf>
              <fill>
                <patternFill>
                  <bgColor indexed="10"/>
                </patternFill>
              </fill>
            </x14:dxf>
          </x14:cfRule>
          <xm:sqref>X259</xm:sqref>
        </x14:conditionalFormatting>
        <x14:conditionalFormatting xmlns:xm="http://schemas.microsoft.com/office/excel/2006/main">
          <x14:cfRule type="expression" priority="7775" id="{62BED001-481F-4CF2-AD65-25A302BAB4AD}">
            <xm:f>AND(IF(X260&gt;'F:\Users\norela.briceno\Documents\Plan de acción\Plan Accion 2018\[Plan Accion Integrado ADRES Vigencia 2018 con Cuadro de Mando V6..xlsx]Plan de Accion 2018'!#REF!,X260&lt;&gt;¨N/A¨))</xm:f>
            <x14:dxf>
              <fill>
                <patternFill>
                  <bgColor theme="1" tint="0.499984740745262"/>
                </patternFill>
              </fill>
            </x14:dxf>
          </x14:cfRule>
          <x14:cfRule type="expression" priority="7776" stopIfTrue="1" id="{5F8B206F-F6E9-43DC-9100-59F9E271AB3A}">
            <xm:f>AND(IF(X260='F:\Users\norela.briceno\Documents\Plan de acción\Plan Accion 2018\[Plan Accion Integrado ADRES Vigencia 2018 con Cuadro de Mando V6..xlsx]Plan de Accion 2018'!#REF!,X260&lt;&gt;"N/A"))</xm:f>
            <x14:dxf>
              <fill>
                <patternFill>
                  <bgColor rgb="FF00B050"/>
                </patternFill>
              </fill>
            </x14:dxf>
          </x14:cfRule>
          <x14:cfRule type="expression" priority="7777" stopIfTrue="1" id="{7995B95C-C3F1-44E5-8D1A-CD5251F16C25}">
            <xm:f>AND(IF(X260&lt;'F:\Users\norela.briceno\Documents\Plan de acción\Plan Accion 2018\[Plan Accion Integrado ADRES Vigencia 2018 con Cuadro de Mando V6..xlsx]Plan de Accion 2018'!#REF!,X260&lt;&gt;"N/A"))</xm:f>
            <x14:dxf>
              <fill>
                <patternFill>
                  <bgColor indexed="10"/>
                </patternFill>
              </fill>
            </x14:dxf>
          </x14:cfRule>
          <xm:sqref>X260</xm:sqref>
        </x14:conditionalFormatting>
        <x14:conditionalFormatting xmlns:xm="http://schemas.microsoft.com/office/excel/2006/main">
          <x14:cfRule type="expression" priority="7772" id="{63C3B098-95B7-4A9A-B6A3-00B137043960}">
            <xm:f>AND(IF(X261&gt;'F:\Users\norela.briceno\Documents\Plan de acción\Plan Accion 2018\[Plan Accion Integrado ADRES Vigencia 2018 con Cuadro de Mando V6..xlsx]Plan de Accion 2018'!#REF!,X261&lt;&gt;¨N/A¨))</xm:f>
            <x14:dxf>
              <fill>
                <patternFill>
                  <bgColor theme="1" tint="0.499984740745262"/>
                </patternFill>
              </fill>
            </x14:dxf>
          </x14:cfRule>
          <x14:cfRule type="expression" priority="7773" stopIfTrue="1" id="{9114DD2E-811E-4F01-B4D5-51A7D3B75389}">
            <xm:f>AND(IF(X261='F:\Users\norela.briceno\Documents\Plan de acción\Plan Accion 2018\[Plan Accion Integrado ADRES Vigencia 2018 con Cuadro de Mando V6..xlsx]Plan de Accion 2018'!#REF!,X261&lt;&gt;"N/A"))</xm:f>
            <x14:dxf>
              <fill>
                <patternFill>
                  <bgColor rgb="FF00B050"/>
                </patternFill>
              </fill>
            </x14:dxf>
          </x14:cfRule>
          <x14:cfRule type="expression" priority="7774" stopIfTrue="1" id="{375521C1-0833-4CBA-AC7A-12AC392CA9C4}">
            <xm:f>AND(IF(X261&lt;'F:\Users\norela.briceno\Documents\Plan de acción\Plan Accion 2018\[Plan Accion Integrado ADRES Vigencia 2018 con Cuadro de Mando V6..xlsx]Plan de Accion 2018'!#REF!,X261&lt;&gt;"N/A"))</xm:f>
            <x14:dxf>
              <fill>
                <patternFill>
                  <bgColor indexed="10"/>
                </patternFill>
              </fill>
            </x14:dxf>
          </x14:cfRule>
          <xm:sqref>X261</xm:sqref>
        </x14:conditionalFormatting>
        <x14:conditionalFormatting xmlns:xm="http://schemas.microsoft.com/office/excel/2006/main">
          <x14:cfRule type="expression" priority="7769" id="{BD1DAB85-0132-47AA-B7BF-D804C3BF19D3}">
            <xm:f>AND(IF(X262&gt;'F:\Users\norela.briceno\Documents\Plan de acción\Plan Accion 2018\[Plan Accion Integrado ADRES Vigencia 2018 con Cuadro de Mando V6..xlsx]Plan de Accion 2018'!#REF!,X262&lt;&gt;¨N/A¨))</xm:f>
            <x14:dxf>
              <fill>
                <patternFill>
                  <bgColor theme="1" tint="0.499984740745262"/>
                </patternFill>
              </fill>
            </x14:dxf>
          </x14:cfRule>
          <x14:cfRule type="expression" priority="7770" stopIfTrue="1" id="{18A4A9C8-7BFE-494F-B82A-4908E148643A}">
            <xm:f>AND(IF(X262='F:\Users\norela.briceno\Documents\Plan de acción\Plan Accion 2018\[Plan Accion Integrado ADRES Vigencia 2018 con Cuadro de Mando V6..xlsx]Plan de Accion 2018'!#REF!,X262&lt;&gt;"N/A"))</xm:f>
            <x14:dxf>
              <fill>
                <patternFill>
                  <bgColor rgb="FF00B050"/>
                </patternFill>
              </fill>
            </x14:dxf>
          </x14:cfRule>
          <x14:cfRule type="expression" priority="7771" stopIfTrue="1" id="{950127B8-B9BF-4540-842A-5DA0185A17C0}">
            <xm:f>AND(IF(X262&lt;'F:\Users\norela.briceno\Documents\Plan de acción\Plan Accion 2018\[Plan Accion Integrado ADRES Vigencia 2018 con Cuadro de Mando V6..xlsx]Plan de Accion 2018'!#REF!,X262&lt;&gt;"N/A"))</xm:f>
            <x14:dxf>
              <fill>
                <patternFill>
                  <bgColor indexed="10"/>
                </patternFill>
              </fill>
            </x14:dxf>
          </x14:cfRule>
          <xm:sqref>X262</xm:sqref>
        </x14:conditionalFormatting>
        <x14:conditionalFormatting xmlns:xm="http://schemas.microsoft.com/office/excel/2006/main">
          <x14:cfRule type="expression" priority="7766" id="{F9589E80-74A8-4843-989F-FB27BF9985E8}">
            <xm:f>AND(IF(X263&gt;'F:\Users\norela.briceno\Documents\Plan de acción\Plan Accion 2018\[Plan Accion Integrado ADRES Vigencia 2018 con Cuadro de Mando V6..xlsx]Plan de Accion 2018'!#REF!,X263&lt;&gt;¨N/A¨))</xm:f>
            <x14:dxf>
              <fill>
                <patternFill>
                  <bgColor theme="1" tint="0.499984740745262"/>
                </patternFill>
              </fill>
            </x14:dxf>
          </x14:cfRule>
          <x14:cfRule type="expression" priority="7767" stopIfTrue="1" id="{089874AC-9BEF-4BB2-9592-98EE952669BA}">
            <xm:f>AND(IF(X263='F:\Users\norela.briceno\Documents\Plan de acción\Plan Accion 2018\[Plan Accion Integrado ADRES Vigencia 2018 con Cuadro de Mando V6..xlsx]Plan de Accion 2018'!#REF!,X263&lt;&gt;"N/A"))</xm:f>
            <x14:dxf>
              <fill>
                <patternFill>
                  <bgColor rgb="FF00B050"/>
                </patternFill>
              </fill>
            </x14:dxf>
          </x14:cfRule>
          <x14:cfRule type="expression" priority="7768" stopIfTrue="1" id="{2E8D2CA6-A723-48BB-A181-5CFC9B2E12EF}">
            <xm:f>AND(IF(X263&lt;'F:\Users\norela.briceno\Documents\Plan de acción\Plan Accion 2018\[Plan Accion Integrado ADRES Vigencia 2018 con Cuadro de Mando V6..xlsx]Plan de Accion 2018'!#REF!,X263&lt;&gt;"N/A"))</xm:f>
            <x14:dxf>
              <fill>
                <patternFill>
                  <bgColor indexed="10"/>
                </patternFill>
              </fill>
            </x14:dxf>
          </x14:cfRule>
          <xm:sqref>X263</xm:sqref>
        </x14:conditionalFormatting>
        <x14:conditionalFormatting xmlns:xm="http://schemas.microsoft.com/office/excel/2006/main">
          <x14:cfRule type="expression" priority="7763" id="{2AC23CF8-3B80-4B47-9EA8-39080A21E1F1}">
            <xm:f>AND(IF(X264&gt;'F:\Users\norela.briceno\Documents\Plan de acción\Plan Accion 2018\[Plan Accion Integrado ADRES Vigencia 2018 con Cuadro de Mando V6..xlsx]Plan de Accion 2018'!#REF!,X264&lt;&gt;¨N/A¨))</xm:f>
            <x14:dxf>
              <fill>
                <patternFill>
                  <bgColor theme="1" tint="0.499984740745262"/>
                </patternFill>
              </fill>
            </x14:dxf>
          </x14:cfRule>
          <x14:cfRule type="expression" priority="7764" stopIfTrue="1" id="{08B3A822-B101-4262-B091-DB8EA45D4E0F}">
            <xm:f>AND(IF(X264='F:\Users\norela.briceno\Documents\Plan de acción\Plan Accion 2018\[Plan Accion Integrado ADRES Vigencia 2018 con Cuadro de Mando V6..xlsx]Plan de Accion 2018'!#REF!,X264&lt;&gt;"N/A"))</xm:f>
            <x14:dxf>
              <fill>
                <patternFill>
                  <bgColor rgb="FF00B050"/>
                </patternFill>
              </fill>
            </x14:dxf>
          </x14:cfRule>
          <x14:cfRule type="expression" priority="7765" stopIfTrue="1" id="{EEF09249-8B58-4D3F-9AF3-C79F8C87AA0F}">
            <xm:f>AND(IF(X264&lt;'F:\Users\norela.briceno\Documents\Plan de acción\Plan Accion 2018\[Plan Accion Integrado ADRES Vigencia 2018 con Cuadro de Mando V6..xlsx]Plan de Accion 2018'!#REF!,X264&lt;&gt;"N/A"))</xm:f>
            <x14:dxf>
              <fill>
                <patternFill>
                  <bgColor indexed="10"/>
                </patternFill>
              </fill>
            </x14:dxf>
          </x14:cfRule>
          <xm:sqref>X264</xm:sqref>
        </x14:conditionalFormatting>
        <x14:conditionalFormatting xmlns:xm="http://schemas.microsoft.com/office/excel/2006/main">
          <x14:cfRule type="expression" priority="7760" id="{ACCB28A9-0487-411B-856C-48335FCEAD5A}">
            <xm:f>AND(IF(X265&gt;'F:\Users\norela.briceno\Documents\Plan de acción\Plan Accion 2018\[Plan Accion Integrado ADRES Vigencia 2018 con Cuadro de Mando V6..xlsx]Plan de Accion 2018'!#REF!,X265&lt;&gt;¨N/A¨))</xm:f>
            <x14:dxf>
              <fill>
                <patternFill>
                  <bgColor theme="1" tint="0.499984740745262"/>
                </patternFill>
              </fill>
            </x14:dxf>
          </x14:cfRule>
          <x14:cfRule type="expression" priority="7761" stopIfTrue="1" id="{D55B5FE1-A447-4449-A606-5640C3220703}">
            <xm:f>AND(IF(X265='F:\Users\norela.briceno\Documents\Plan de acción\Plan Accion 2018\[Plan Accion Integrado ADRES Vigencia 2018 con Cuadro de Mando V6..xlsx]Plan de Accion 2018'!#REF!,X265&lt;&gt;"N/A"))</xm:f>
            <x14:dxf>
              <fill>
                <patternFill>
                  <bgColor rgb="FF00B050"/>
                </patternFill>
              </fill>
            </x14:dxf>
          </x14:cfRule>
          <x14:cfRule type="expression" priority="7762" stopIfTrue="1" id="{FCE081D2-4D0E-4EF1-96C2-6C6B98705A89}">
            <xm:f>AND(IF(X265&lt;'F:\Users\norela.briceno\Documents\Plan de acción\Plan Accion 2018\[Plan Accion Integrado ADRES Vigencia 2018 con Cuadro de Mando V6..xlsx]Plan de Accion 2018'!#REF!,X265&lt;&gt;"N/A"))</xm:f>
            <x14:dxf>
              <fill>
                <patternFill>
                  <bgColor indexed="10"/>
                </patternFill>
              </fill>
            </x14:dxf>
          </x14:cfRule>
          <xm:sqref>X265</xm:sqref>
        </x14:conditionalFormatting>
        <x14:conditionalFormatting xmlns:xm="http://schemas.microsoft.com/office/excel/2006/main">
          <x14:cfRule type="expression" priority="7757" id="{8F3C5A20-1B0D-4BB5-8B2A-583350CB1478}">
            <xm:f>AND(IF(X266&gt;'F:\Users\norela.briceno\Documents\Plan de acción\Plan Accion 2018\[Plan Accion Integrado ADRES Vigencia 2018 con Cuadro de Mando V6..xlsx]Plan de Accion 2018'!#REF!,X266&lt;&gt;¨N/A¨))</xm:f>
            <x14:dxf>
              <fill>
                <patternFill>
                  <bgColor theme="1" tint="0.499984740745262"/>
                </patternFill>
              </fill>
            </x14:dxf>
          </x14:cfRule>
          <x14:cfRule type="expression" priority="7758" stopIfTrue="1" id="{44EA4250-636B-483C-9948-8D57476F81B0}">
            <xm:f>AND(IF(X266='F:\Users\norela.briceno\Documents\Plan de acción\Plan Accion 2018\[Plan Accion Integrado ADRES Vigencia 2018 con Cuadro de Mando V6..xlsx]Plan de Accion 2018'!#REF!,X266&lt;&gt;"N/A"))</xm:f>
            <x14:dxf>
              <fill>
                <patternFill>
                  <bgColor rgb="FF00B050"/>
                </patternFill>
              </fill>
            </x14:dxf>
          </x14:cfRule>
          <x14:cfRule type="expression" priority="7759" stopIfTrue="1" id="{C9575002-1C8C-4D36-9026-4A52C263AFEA}">
            <xm:f>AND(IF(X266&lt;'F:\Users\norela.briceno\Documents\Plan de acción\Plan Accion 2018\[Plan Accion Integrado ADRES Vigencia 2018 con Cuadro de Mando V6..xlsx]Plan de Accion 2018'!#REF!,X266&lt;&gt;"N/A"))</xm:f>
            <x14:dxf>
              <fill>
                <patternFill>
                  <bgColor indexed="10"/>
                </patternFill>
              </fill>
            </x14:dxf>
          </x14:cfRule>
          <xm:sqref>X266</xm:sqref>
        </x14:conditionalFormatting>
        <x14:conditionalFormatting xmlns:xm="http://schemas.microsoft.com/office/excel/2006/main">
          <x14:cfRule type="expression" priority="7754" id="{9F8ECB4C-F90A-4A67-9734-6ED8D02E3980}">
            <xm:f>AND(IF(X267&gt;'F:\Users\norela.briceno\Documents\Plan de acción\Plan Accion 2018\[Plan Accion Integrado ADRES Vigencia 2018 con Cuadro de Mando V6..xlsx]Plan de Accion 2018'!#REF!,X267&lt;&gt;¨N/A¨))</xm:f>
            <x14:dxf>
              <fill>
                <patternFill>
                  <bgColor theme="1" tint="0.499984740745262"/>
                </patternFill>
              </fill>
            </x14:dxf>
          </x14:cfRule>
          <x14:cfRule type="expression" priority="7755" stopIfTrue="1" id="{7E836943-D240-4B67-980D-CE91322C4045}">
            <xm:f>AND(IF(X267='F:\Users\norela.briceno\Documents\Plan de acción\Plan Accion 2018\[Plan Accion Integrado ADRES Vigencia 2018 con Cuadro de Mando V6..xlsx]Plan de Accion 2018'!#REF!,X267&lt;&gt;"N/A"))</xm:f>
            <x14:dxf>
              <fill>
                <patternFill>
                  <bgColor rgb="FF00B050"/>
                </patternFill>
              </fill>
            </x14:dxf>
          </x14:cfRule>
          <x14:cfRule type="expression" priority="7756" stopIfTrue="1" id="{69966678-ACEF-4691-9E11-49CF9AAB0C95}">
            <xm:f>AND(IF(X267&lt;'F:\Users\norela.briceno\Documents\Plan de acción\Plan Accion 2018\[Plan Accion Integrado ADRES Vigencia 2018 con Cuadro de Mando V6..xlsx]Plan de Accion 2018'!#REF!,X267&lt;&gt;"N/A"))</xm:f>
            <x14:dxf>
              <fill>
                <patternFill>
                  <bgColor indexed="10"/>
                </patternFill>
              </fill>
            </x14:dxf>
          </x14:cfRule>
          <xm:sqref>X267</xm:sqref>
        </x14:conditionalFormatting>
        <x14:conditionalFormatting xmlns:xm="http://schemas.microsoft.com/office/excel/2006/main">
          <x14:cfRule type="expression" priority="7751" id="{61B3D519-E748-4549-B51C-F066C533E991}">
            <xm:f>AND(IF(X268&gt;'F:\Users\norela.briceno\Documents\Plan de acción\Plan Accion 2018\[Plan Accion Integrado ADRES Vigencia 2018 con Cuadro de Mando V6..xlsx]Plan de Accion 2018'!#REF!,X268&lt;&gt;¨N/A¨))</xm:f>
            <x14:dxf>
              <fill>
                <patternFill>
                  <bgColor theme="1" tint="0.499984740745262"/>
                </patternFill>
              </fill>
            </x14:dxf>
          </x14:cfRule>
          <x14:cfRule type="expression" priority="7752" stopIfTrue="1" id="{BB6B9EF3-A279-490A-B855-3F4A3EF2C8B6}">
            <xm:f>AND(IF(X268='F:\Users\norela.briceno\Documents\Plan de acción\Plan Accion 2018\[Plan Accion Integrado ADRES Vigencia 2018 con Cuadro de Mando V6..xlsx]Plan de Accion 2018'!#REF!,X268&lt;&gt;"N/A"))</xm:f>
            <x14:dxf>
              <fill>
                <patternFill>
                  <bgColor rgb="FF00B050"/>
                </patternFill>
              </fill>
            </x14:dxf>
          </x14:cfRule>
          <x14:cfRule type="expression" priority="7753" stopIfTrue="1" id="{41779ADA-6A15-4697-A868-A682DC7861DC}">
            <xm:f>AND(IF(X268&lt;'F:\Users\norela.briceno\Documents\Plan de acción\Plan Accion 2018\[Plan Accion Integrado ADRES Vigencia 2018 con Cuadro de Mando V6..xlsx]Plan de Accion 2018'!#REF!,X268&lt;&gt;"N/A"))</xm:f>
            <x14:dxf>
              <fill>
                <patternFill>
                  <bgColor indexed="10"/>
                </patternFill>
              </fill>
            </x14:dxf>
          </x14:cfRule>
          <xm:sqref>X268</xm:sqref>
        </x14:conditionalFormatting>
        <x14:conditionalFormatting xmlns:xm="http://schemas.microsoft.com/office/excel/2006/main">
          <x14:cfRule type="expression" priority="7709" id="{E64D5ED3-469A-4087-9B83-F621823B6F53}">
            <xm:f>AND(IF(X289&gt;'F:\Users\norela.briceno\Documents\Plan de acción\Plan Accion 2018\[Plan Accion Integrado ADRES Vigencia 2018 con Cuadro de Mando V6..xlsx]Plan de Accion 2018'!#REF!,X289&lt;&gt;¨N/A¨))</xm:f>
            <x14:dxf>
              <fill>
                <patternFill>
                  <bgColor theme="1" tint="0.499984740745262"/>
                </patternFill>
              </fill>
            </x14:dxf>
          </x14:cfRule>
          <x14:cfRule type="expression" priority="7710" stopIfTrue="1" id="{0F950A5B-05C3-456E-9191-A80E9ECA5FA1}">
            <xm:f>AND(IF(X289='F:\Users\norela.briceno\Documents\Plan de acción\Plan Accion 2018\[Plan Accion Integrado ADRES Vigencia 2018 con Cuadro de Mando V6..xlsx]Plan de Accion 2018'!#REF!,X289&lt;&gt;"N/A"))</xm:f>
            <x14:dxf>
              <fill>
                <patternFill>
                  <bgColor rgb="FF00B050"/>
                </patternFill>
              </fill>
            </x14:dxf>
          </x14:cfRule>
          <x14:cfRule type="expression" priority="7711" stopIfTrue="1" id="{EBBED17D-FED2-4E5A-8A96-3BA9370A7022}">
            <xm:f>AND(IF(X289&lt;'F:\Users\norela.briceno\Documents\Plan de acción\Plan Accion 2018\[Plan Accion Integrado ADRES Vigencia 2018 con Cuadro de Mando V6..xlsx]Plan de Accion 2018'!#REF!,X289&lt;&gt;"N/A"))</xm:f>
            <x14:dxf>
              <fill>
                <patternFill>
                  <bgColor indexed="10"/>
                </patternFill>
              </fill>
            </x14:dxf>
          </x14:cfRule>
          <xm:sqref>X289</xm:sqref>
        </x14:conditionalFormatting>
        <x14:conditionalFormatting xmlns:xm="http://schemas.microsoft.com/office/excel/2006/main">
          <x14:cfRule type="expression" priority="7745" id="{11AE12C2-1A02-49D9-9BC8-4304F996C501}">
            <xm:f>AND(IF(X271&gt;'F:\Users\norela.briceno\Documents\Plan de acción\Plan Accion 2018\[Plan Accion Integrado ADRES Vigencia 2018 con Cuadro de Mando V6..xlsx]Plan de Accion 2018'!#REF!,X271&lt;&gt;¨N/A¨))</xm:f>
            <x14:dxf>
              <fill>
                <patternFill>
                  <bgColor theme="1" tint="0.499984740745262"/>
                </patternFill>
              </fill>
            </x14:dxf>
          </x14:cfRule>
          <x14:cfRule type="expression" priority="7746" stopIfTrue="1" id="{696E670C-BA6C-43DC-A194-9FB73C010859}">
            <xm:f>AND(IF(X271='F:\Users\norela.briceno\Documents\Plan de acción\Plan Accion 2018\[Plan Accion Integrado ADRES Vigencia 2018 con Cuadro de Mando V6..xlsx]Plan de Accion 2018'!#REF!,X271&lt;&gt;"N/A"))</xm:f>
            <x14:dxf>
              <fill>
                <patternFill>
                  <bgColor rgb="FF00B050"/>
                </patternFill>
              </fill>
            </x14:dxf>
          </x14:cfRule>
          <x14:cfRule type="expression" priority="7747" stopIfTrue="1" id="{9441D1CA-CE85-4454-953B-A9FF8D85F25A}">
            <xm:f>AND(IF(X271&lt;'F:\Users\norela.briceno\Documents\Plan de acción\Plan Accion 2018\[Plan Accion Integrado ADRES Vigencia 2018 con Cuadro de Mando V6..xlsx]Plan de Accion 2018'!#REF!,X271&lt;&gt;"N/A"))</xm:f>
            <x14:dxf>
              <fill>
                <patternFill>
                  <bgColor indexed="10"/>
                </patternFill>
              </fill>
            </x14:dxf>
          </x14:cfRule>
          <xm:sqref>X271</xm:sqref>
        </x14:conditionalFormatting>
        <x14:conditionalFormatting xmlns:xm="http://schemas.microsoft.com/office/excel/2006/main">
          <x14:cfRule type="expression" priority="7742" id="{2BE1CA22-DE2D-40BF-8911-9F1331E66343}">
            <xm:f>AND(IF(X272&gt;'F:\Users\norela.briceno\Documents\Plan de acción\Plan Accion 2018\[Plan Accion Integrado ADRES Vigencia 2018 con Cuadro de Mando V6..xlsx]Plan de Accion 2018'!#REF!,X272&lt;&gt;¨N/A¨))</xm:f>
            <x14:dxf>
              <fill>
                <patternFill>
                  <bgColor theme="1" tint="0.499984740745262"/>
                </patternFill>
              </fill>
            </x14:dxf>
          </x14:cfRule>
          <x14:cfRule type="expression" priority="7743" stopIfTrue="1" id="{B50C9818-5BEA-4B02-830D-0A864D2539FF}">
            <xm:f>AND(IF(X272='F:\Users\norela.briceno\Documents\Plan de acción\Plan Accion 2018\[Plan Accion Integrado ADRES Vigencia 2018 con Cuadro de Mando V6..xlsx]Plan de Accion 2018'!#REF!,X272&lt;&gt;"N/A"))</xm:f>
            <x14:dxf>
              <fill>
                <patternFill>
                  <bgColor rgb="FF00B050"/>
                </patternFill>
              </fill>
            </x14:dxf>
          </x14:cfRule>
          <x14:cfRule type="expression" priority="7744" stopIfTrue="1" id="{3E841FB9-D30D-43BD-800F-137206DF15F4}">
            <xm:f>AND(IF(X272&lt;'F:\Users\norela.briceno\Documents\Plan de acción\Plan Accion 2018\[Plan Accion Integrado ADRES Vigencia 2018 con Cuadro de Mando V6..xlsx]Plan de Accion 2018'!#REF!,X272&lt;&gt;"N/A"))</xm:f>
            <x14:dxf>
              <fill>
                <patternFill>
                  <bgColor indexed="10"/>
                </patternFill>
              </fill>
            </x14:dxf>
          </x14:cfRule>
          <xm:sqref>X272</xm:sqref>
        </x14:conditionalFormatting>
        <x14:conditionalFormatting xmlns:xm="http://schemas.microsoft.com/office/excel/2006/main">
          <x14:cfRule type="expression" priority="7739" id="{A931D7A7-55FC-4AFE-909F-9260E74AE2B3}">
            <xm:f>AND(IF(X273&gt;'F:\Users\norela.briceno\Documents\Plan de acción\Plan Accion 2018\[Plan Accion Integrado ADRES Vigencia 2018 con Cuadro de Mando V6..xlsx]Plan de Accion 2018'!#REF!,X273&lt;&gt;¨N/A¨))</xm:f>
            <x14:dxf>
              <fill>
                <patternFill>
                  <bgColor theme="1" tint="0.499984740745262"/>
                </patternFill>
              </fill>
            </x14:dxf>
          </x14:cfRule>
          <x14:cfRule type="expression" priority="7740" stopIfTrue="1" id="{4E7CE4A3-9996-4818-B9DA-2B4A974A8CB8}">
            <xm:f>AND(IF(X273='F:\Users\norela.briceno\Documents\Plan de acción\Plan Accion 2018\[Plan Accion Integrado ADRES Vigencia 2018 con Cuadro de Mando V6..xlsx]Plan de Accion 2018'!#REF!,X273&lt;&gt;"N/A"))</xm:f>
            <x14:dxf>
              <fill>
                <patternFill>
                  <bgColor rgb="FF00B050"/>
                </patternFill>
              </fill>
            </x14:dxf>
          </x14:cfRule>
          <x14:cfRule type="expression" priority="7741" stopIfTrue="1" id="{B829A972-1A74-46B3-A8C6-5575063751E4}">
            <xm:f>AND(IF(X273&lt;'F:\Users\norela.briceno\Documents\Plan de acción\Plan Accion 2018\[Plan Accion Integrado ADRES Vigencia 2018 con Cuadro de Mando V6..xlsx]Plan de Accion 2018'!#REF!,X273&lt;&gt;"N/A"))</xm:f>
            <x14:dxf>
              <fill>
                <patternFill>
                  <bgColor indexed="10"/>
                </patternFill>
              </fill>
            </x14:dxf>
          </x14:cfRule>
          <xm:sqref>X273</xm:sqref>
        </x14:conditionalFormatting>
        <x14:conditionalFormatting xmlns:xm="http://schemas.microsoft.com/office/excel/2006/main">
          <x14:cfRule type="expression" priority="7736" id="{05375932-E8C4-4699-9586-469EAFB7A24D}">
            <xm:f>AND(IF(X274&gt;'F:\Users\norela.briceno\Documents\Plan de acción\Plan Accion 2018\[Plan Accion Integrado ADRES Vigencia 2018 con Cuadro de Mando V6..xlsx]Plan de Accion 2018'!#REF!,X274&lt;&gt;¨N/A¨))</xm:f>
            <x14:dxf>
              <fill>
                <patternFill>
                  <bgColor theme="1" tint="0.499984740745262"/>
                </patternFill>
              </fill>
            </x14:dxf>
          </x14:cfRule>
          <x14:cfRule type="expression" priority="7737" stopIfTrue="1" id="{05631205-9550-4D05-9D1B-E76DC3366AC3}">
            <xm:f>AND(IF(X274='F:\Users\norela.briceno\Documents\Plan de acción\Plan Accion 2018\[Plan Accion Integrado ADRES Vigencia 2018 con Cuadro de Mando V6..xlsx]Plan de Accion 2018'!#REF!,X274&lt;&gt;"N/A"))</xm:f>
            <x14:dxf>
              <fill>
                <patternFill>
                  <bgColor rgb="FF00B050"/>
                </patternFill>
              </fill>
            </x14:dxf>
          </x14:cfRule>
          <x14:cfRule type="expression" priority="7738" stopIfTrue="1" id="{9E8B7E02-D83C-4AC3-B8BE-662AE90D0611}">
            <xm:f>AND(IF(X274&lt;'F:\Users\norela.briceno\Documents\Plan de acción\Plan Accion 2018\[Plan Accion Integrado ADRES Vigencia 2018 con Cuadro de Mando V6..xlsx]Plan de Accion 2018'!#REF!,X274&lt;&gt;"N/A"))</xm:f>
            <x14:dxf>
              <fill>
                <patternFill>
                  <bgColor indexed="10"/>
                </patternFill>
              </fill>
            </x14:dxf>
          </x14:cfRule>
          <xm:sqref>X274</xm:sqref>
        </x14:conditionalFormatting>
        <x14:conditionalFormatting xmlns:xm="http://schemas.microsoft.com/office/excel/2006/main">
          <x14:cfRule type="expression" priority="7733" id="{19B2B739-4B75-4727-B81D-DD0099C05F57}">
            <xm:f>AND(IF(X275&gt;'F:\Users\norela.briceno\Documents\Plan de acción\Plan Accion 2018\[Plan Accion Integrado ADRES Vigencia 2018 con Cuadro de Mando V6..xlsx]Plan de Accion 2018'!#REF!,X275&lt;&gt;¨N/A¨))</xm:f>
            <x14:dxf>
              <fill>
                <patternFill>
                  <bgColor theme="1" tint="0.499984740745262"/>
                </patternFill>
              </fill>
            </x14:dxf>
          </x14:cfRule>
          <x14:cfRule type="expression" priority="7734" stopIfTrue="1" id="{03304283-7B80-4ED1-86DA-88AD39D470E5}">
            <xm:f>AND(IF(X275='F:\Users\norela.briceno\Documents\Plan de acción\Plan Accion 2018\[Plan Accion Integrado ADRES Vigencia 2018 con Cuadro de Mando V6..xlsx]Plan de Accion 2018'!#REF!,X275&lt;&gt;"N/A"))</xm:f>
            <x14:dxf>
              <fill>
                <patternFill>
                  <bgColor rgb="FF00B050"/>
                </patternFill>
              </fill>
            </x14:dxf>
          </x14:cfRule>
          <x14:cfRule type="expression" priority="7735" stopIfTrue="1" id="{E8B37DBC-4D14-4C7F-A0B3-970B6B81A4B0}">
            <xm:f>AND(IF(X275&lt;'F:\Users\norela.briceno\Documents\Plan de acción\Plan Accion 2018\[Plan Accion Integrado ADRES Vigencia 2018 con Cuadro de Mando V6..xlsx]Plan de Accion 2018'!#REF!,X275&lt;&gt;"N/A"))</xm:f>
            <x14:dxf>
              <fill>
                <patternFill>
                  <bgColor indexed="10"/>
                </patternFill>
              </fill>
            </x14:dxf>
          </x14:cfRule>
          <xm:sqref>X275</xm:sqref>
        </x14:conditionalFormatting>
        <x14:conditionalFormatting xmlns:xm="http://schemas.microsoft.com/office/excel/2006/main">
          <x14:cfRule type="expression" priority="7730" id="{A4BD94F4-94E8-4B58-BF22-2D7763B5E384}">
            <xm:f>AND(IF(X276&gt;'F:\Users\norela.briceno\Documents\Plan de acción\Plan Accion 2018\[Plan Accion Integrado ADRES Vigencia 2018 con Cuadro de Mando V6..xlsx]Plan de Accion 2018'!#REF!,X276&lt;&gt;¨N/A¨))</xm:f>
            <x14:dxf>
              <fill>
                <patternFill>
                  <bgColor theme="1" tint="0.499984740745262"/>
                </patternFill>
              </fill>
            </x14:dxf>
          </x14:cfRule>
          <x14:cfRule type="expression" priority="7731" stopIfTrue="1" id="{0F964BCC-EE19-40FE-AAA6-FDB9AEDA6C9E}">
            <xm:f>AND(IF(X276='F:\Users\norela.briceno\Documents\Plan de acción\Plan Accion 2018\[Plan Accion Integrado ADRES Vigencia 2018 con Cuadro de Mando V6..xlsx]Plan de Accion 2018'!#REF!,X276&lt;&gt;"N/A"))</xm:f>
            <x14:dxf>
              <fill>
                <patternFill>
                  <bgColor rgb="FF00B050"/>
                </patternFill>
              </fill>
            </x14:dxf>
          </x14:cfRule>
          <x14:cfRule type="expression" priority="7732" stopIfTrue="1" id="{5B2647D9-B096-4E07-BEBE-0EC36B354C99}">
            <xm:f>AND(IF(X276&lt;'F:\Users\norela.briceno\Documents\Plan de acción\Plan Accion 2018\[Plan Accion Integrado ADRES Vigencia 2018 con Cuadro de Mando V6..xlsx]Plan de Accion 2018'!#REF!,X276&lt;&gt;"N/A"))</xm:f>
            <x14:dxf>
              <fill>
                <patternFill>
                  <bgColor indexed="10"/>
                </patternFill>
              </fill>
            </x14:dxf>
          </x14:cfRule>
          <xm:sqref>X276</xm:sqref>
        </x14:conditionalFormatting>
        <x14:conditionalFormatting xmlns:xm="http://schemas.microsoft.com/office/excel/2006/main">
          <x14:cfRule type="expression" priority="7727" id="{A5E8188D-9530-4940-8835-F4BB7FB914CD}">
            <xm:f>AND(IF(X277&gt;'F:\Users\norela.briceno\Documents\Plan de acción\Plan Accion 2018\[Plan Accion Integrado ADRES Vigencia 2018 con Cuadro de Mando V6..xlsx]Plan de Accion 2018'!#REF!,X277&lt;&gt;¨N/A¨))</xm:f>
            <x14:dxf>
              <fill>
                <patternFill>
                  <bgColor theme="1" tint="0.499984740745262"/>
                </patternFill>
              </fill>
            </x14:dxf>
          </x14:cfRule>
          <x14:cfRule type="expression" priority="7728" stopIfTrue="1" id="{E551EBD0-CBFB-4217-8FE5-7B6313704609}">
            <xm:f>AND(IF(X277='F:\Users\norela.briceno\Documents\Plan de acción\Plan Accion 2018\[Plan Accion Integrado ADRES Vigencia 2018 con Cuadro de Mando V6..xlsx]Plan de Accion 2018'!#REF!,X277&lt;&gt;"N/A"))</xm:f>
            <x14:dxf>
              <fill>
                <patternFill>
                  <bgColor rgb="FF00B050"/>
                </patternFill>
              </fill>
            </x14:dxf>
          </x14:cfRule>
          <x14:cfRule type="expression" priority="7729" stopIfTrue="1" id="{9E1BF07E-4108-4F34-8FAF-13269DF4FB20}">
            <xm:f>AND(IF(X277&lt;'F:\Users\norela.briceno\Documents\Plan de acción\Plan Accion 2018\[Plan Accion Integrado ADRES Vigencia 2018 con Cuadro de Mando V6..xlsx]Plan de Accion 2018'!#REF!,X277&lt;&gt;"N/A"))</xm:f>
            <x14:dxf>
              <fill>
                <patternFill>
                  <bgColor indexed="10"/>
                </patternFill>
              </fill>
            </x14:dxf>
          </x14:cfRule>
          <xm:sqref>X277</xm:sqref>
        </x14:conditionalFormatting>
        <x14:conditionalFormatting xmlns:xm="http://schemas.microsoft.com/office/excel/2006/main">
          <x14:cfRule type="expression" priority="7724" id="{BEB8373A-F015-48BF-8B47-34A7F2FEEA5F}">
            <xm:f>AND(IF(X278&gt;'F:\Users\norela.briceno\Documents\Plan de acción\Plan Accion 2018\[Plan Accion Integrado ADRES Vigencia 2018 con Cuadro de Mando V6..xlsx]Plan de Accion 2018'!#REF!,X278&lt;&gt;¨N/A¨))</xm:f>
            <x14:dxf>
              <fill>
                <patternFill>
                  <bgColor theme="1" tint="0.499984740745262"/>
                </patternFill>
              </fill>
            </x14:dxf>
          </x14:cfRule>
          <x14:cfRule type="expression" priority="7725" stopIfTrue="1" id="{16BE376F-0CBC-4578-8A8B-364C7E4B9723}">
            <xm:f>AND(IF(X278='F:\Users\norela.briceno\Documents\Plan de acción\Plan Accion 2018\[Plan Accion Integrado ADRES Vigencia 2018 con Cuadro de Mando V6..xlsx]Plan de Accion 2018'!#REF!,X278&lt;&gt;"N/A"))</xm:f>
            <x14:dxf>
              <fill>
                <patternFill>
                  <bgColor rgb="FF00B050"/>
                </patternFill>
              </fill>
            </x14:dxf>
          </x14:cfRule>
          <x14:cfRule type="expression" priority="7726" stopIfTrue="1" id="{2D89DA6C-7CF2-43BA-8CC4-22AA482A9870}">
            <xm:f>AND(IF(X278&lt;'F:\Users\norela.briceno\Documents\Plan de acción\Plan Accion 2018\[Plan Accion Integrado ADRES Vigencia 2018 con Cuadro de Mando V6..xlsx]Plan de Accion 2018'!#REF!,X278&lt;&gt;"N/A"))</xm:f>
            <x14:dxf>
              <fill>
                <patternFill>
                  <bgColor indexed="10"/>
                </patternFill>
              </fill>
            </x14:dxf>
          </x14:cfRule>
          <xm:sqref>X278</xm:sqref>
        </x14:conditionalFormatting>
        <x14:conditionalFormatting xmlns:xm="http://schemas.microsoft.com/office/excel/2006/main">
          <x14:cfRule type="expression" priority="7721" id="{A8B3C4E4-BAA6-4905-8651-D85752DDD539}">
            <xm:f>AND(IF(X279&gt;'F:\Users\norela.briceno\Documents\Plan de acción\Plan Accion 2018\[Plan Accion Integrado ADRES Vigencia 2018 con Cuadro de Mando V6..xlsx]Plan de Accion 2018'!#REF!,X279&lt;&gt;¨N/A¨))</xm:f>
            <x14:dxf>
              <fill>
                <patternFill>
                  <bgColor theme="1" tint="0.499984740745262"/>
                </patternFill>
              </fill>
            </x14:dxf>
          </x14:cfRule>
          <x14:cfRule type="expression" priority="7722" stopIfTrue="1" id="{AF078B7A-9678-4084-846D-76912C99D93F}">
            <xm:f>AND(IF(X279='F:\Users\norela.briceno\Documents\Plan de acción\Plan Accion 2018\[Plan Accion Integrado ADRES Vigencia 2018 con Cuadro de Mando V6..xlsx]Plan de Accion 2018'!#REF!,X279&lt;&gt;"N/A"))</xm:f>
            <x14:dxf>
              <fill>
                <patternFill>
                  <bgColor rgb="FF00B050"/>
                </patternFill>
              </fill>
            </x14:dxf>
          </x14:cfRule>
          <x14:cfRule type="expression" priority="7723" stopIfTrue="1" id="{E1F5A88E-62AA-41E8-97FE-E6E0D9A951D6}">
            <xm:f>AND(IF(X279&lt;'F:\Users\norela.briceno\Documents\Plan de acción\Plan Accion 2018\[Plan Accion Integrado ADRES Vigencia 2018 con Cuadro de Mando V6..xlsx]Plan de Accion 2018'!#REF!,X279&lt;&gt;"N/A"))</xm:f>
            <x14:dxf>
              <fill>
                <patternFill>
                  <bgColor indexed="10"/>
                </patternFill>
              </fill>
            </x14:dxf>
          </x14:cfRule>
          <xm:sqref>X279</xm:sqref>
        </x14:conditionalFormatting>
        <x14:conditionalFormatting xmlns:xm="http://schemas.microsoft.com/office/excel/2006/main">
          <x14:cfRule type="expression" priority="7718" id="{A0DB0845-0A2F-4E85-8146-34B8725FB760}">
            <xm:f>AND(IF(X280&gt;'F:\Users\norela.briceno\Documents\Plan de acción\Plan Accion 2018\[Plan Accion Integrado ADRES Vigencia 2018 con Cuadro de Mando V6..xlsx]Plan de Accion 2018'!#REF!,X280&lt;&gt;¨N/A¨))</xm:f>
            <x14:dxf>
              <fill>
                <patternFill>
                  <bgColor theme="1" tint="0.499984740745262"/>
                </patternFill>
              </fill>
            </x14:dxf>
          </x14:cfRule>
          <x14:cfRule type="expression" priority="7719" stopIfTrue="1" id="{C2DD19BE-9EEA-4683-86BE-5FFD16B057C4}">
            <xm:f>AND(IF(X280='F:\Users\norela.briceno\Documents\Plan de acción\Plan Accion 2018\[Plan Accion Integrado ADRES Vigencia 2018 con Cuadro de Mando V6..xlsx]Plan de Accion 2018'!#REF!,X280&lt;&gt;"N/A"))</xm:f>
            <x14:dxf>
              <fill>
                <patternFill>
                  <bgColor rgb="FF00B050"/>
                </patternFill>
              </fill>
            </x14:dxf>
          </x14:cfRule>
          <x14:cfRule type="expression" priority="7720" stopIfTrue="1" id="{4427CC31-27D0-43DA-A9F3-D2D22F0ACD73}">
            <xm:f>AND(IF(X280&lt;'F:\Users\norela.briceno\Documents\Plan de acción\Plan Accion 2018\[Plan Accion Integrado ADRES Vigencia 2018 con Cuadro de Mando V6..xlsx]Plan de Accion 2018'!#REF!,X280&lt;&gt;"N/A"))</xm:f>
            <x14:dxf>
              <fill>
                <patternFill>
                  <bgColor indexed="10"/>
                </patternFill>
              </fill>
            </x14:dxf>
          </x14:cfRule>
          <xm:sqref>X280</xm:sqref>
        </x14:conditionalFormatting>
        <x14:conditionalFormatting xmlns:xm="http://schemas.microsoft.com/office/excel/2006/main">
          <x14:cfRule type="expression" priority="7715" id="{CF1C103F-5D59-47D2-B2EE-CBEE3EC0B8B6}">
            <xm:f>AND(IF(X281&gt;'F:\Users\norela.briceno\Documents\Plan de acción\Plan Accion 2018\[Plan Accion Integrado ADRES Vigencia 2018 con Cuadro de Mando V6..xlsx]Plan de Accion 2018'!#REF!,X281&lt;&gt;¨N/A¨))</xm:f>
            <x14:dxf>
              <fill>
                <patternFill>
                  <bgColor theme="1" tint="0.499984740745262"/>
                </patternFill>
              </fill>
            </x14:dxf>
          </x14:cfRule>
          <x14:cfRule type="expression" priority="7716" stopIfTrue="1" id="{FD6C8D1B-911E-45B8-BF8B-3444CB9E4795}">
            <xm:f>AND(IF(X281='F:\Users\norela.briceno\Documents\Plan de acción\Plan Accion 2018\[Plan Accion Integrado ADRES Vigencia 2018 con Cuadro de Mando V6..xlsx]Plan de Accion 2018'!#REF!,X281&lt;&gt;"N/A"))</xm:f>
            <x14:dxf>
              <fill>
                <patternFill>
                  <bgColor rgb="FF00B050"/>
                </patternFill>
              </fill>
            </x14:dxf>
          </x14:cfRule>
          <x14:cfRule type="expression" priority="7717" stopIfTrue="1" id="{70D66B03-4AFD-4024-BDEB-B5BABA5E8050}">
            <xm:f>AND(IF(X281&lt;'F:\Users\norela.briceno\Documents\Plan de acción\Plan Accion 2018\[Plan Accion Integrado ADRES Vigencia 2018 con Cuadro de Mando V6..xlsx]Plan de Accion 2018'!#REF!,X281&lt;&gt;"N/A"))</xm:f>
            <x14:dxf>
              <fill>
                <patternFill>
                  <bgColor indexed="10"/>
                </patternFill>
              </fill>
            </x14:dxf>
          </x14:cfRule>
          <xm:sqref>X281</xm:sqref>
        </x14:conditionalFormatting>
        <x14:conditionalFormatting xmlns:xm="http://schemas.microsoft.com/office/excel/2006/main">
          <x14:cfRule type="expression" priority="7712" id="{5074389F-A03E-4341-9666-7DC94CD3BE4D}">
            <xm:f>AND(IF(X282&gt;'F:\Users\norela.briceno\Documents\Plan de acción\Plan Accion 2018\[Plan Accion Integrado ADRES Vigencia 2018 con Cuadro de Mando V6..xlsx]Plan de Accion 2018'!#REF!,X282&lt;&gt;¨N/A¨))</xm:f>
            <x14:dxf>
              <fill>
                <patternFill>
                  <bgColor theme="1" tint="0.499984740745262"/>
                </patternFill>
              </fill>
            </x14:dxf>
          </x14:cfRule>
          <x14:cfRule type="expression" priority="7713" stopIfTrue="1" id="{E67AB42E-D4EC-42F0-8739-1BF198DCF926}">
            <xm:f>AND(IF(X282='F:\Users\norela.briceno\Documents\Plan de acción\Plan Accion 2018\[Plan Accion Integrado ADRES Vigencia 2018 con Cuadro de Mando V6..xlsx]Plan de Accion 2018'!#REF!,X282&lt;&gt;"N/A"))</xm:f>
            <x14:dxf>
              <fill>
                <patternFill>
                  <bgColor rgb="FF00B050"/>
                </patternFill>
              </fill>
            </x14:dxf>
          </x14:cfRule>
          <x14:cfRule type="expression" priority="7714" stopIfTrue="1" id="{496E4543-CCEF-43B1-9CEF-161824F11372}">
            <xm:f>AND(IF(X282&lt;'F:\Users\norela.briceno\Documents\Plan de acción\Plan Accion 2018\[Plan Accion Integrado ADRES Vigencia 2018 con Cuadro de Mando V6..xlsx]Plan de Accion 2018'!#REF!,X282&lt;&gt;"N/A"))</xm:f>
            <x14:dxf>
              <fill>
                <patternFill>
                  <bgColor indexed="10"/>
                </patternFill>
              </fill>
            </x14:dxf>
          </x14:cfRule>
          <xm:sqref>X282</xm:sqref>
        </x14:conditionalFormatting>
        <x14:conditionalFormatting xmlns:xm="http://schemas.microsoft.com/office/excel/2006/main">
          <x14:cfRule type="expression" priority="7706" id="{AD84F002-1A94-4BBA-93F7-E7D713A0F489}">
            <xm:f>AND(IF(X292&gt;'F:\Users\norela.briceno\Documents\Plan de acción\Plan Accion 2018\[Plan Accion Integrado ADRES Vigencia 2018 con Cuadro de Mando V6..xlsx]Plan de Accion 2018'!#REF!,X292&lt;&gt;¨N/A¨))</xm:f>
            <x14:dxf>
              <fill>
                <patternFill>
                  <bgColor theme="1" tint="0.499984740745262"/>
                </patternFill>
              </fill>
            </x14:dxf>
          </x14:cfRule>
          <x14:cfRule type="expression" priority="7707" stopIfTrue="1" id="{5507D00B-6310-40A8-92EB-A2133FCAA571}">
            <xm:f>AND(IF(X292='F:\Users\norela.briceno\Documents\Plan de acción\Plan Accion 2018\[Plan Accion Integrado ADRES Vigencia 2018 con Cuadro de Mando V6..xlsx]Plan de Accion 2018'!#REF!,X292&lt;&gt;"N/A"))</xm:f>
            <x14:dxf>
              <fill>
                <patternFill>
                  <bgColor rgb="FF00B050"/>
                </patternFill>
              </fill>
            </x14:dxf>
          </x14:cfRule>
          <x14:cfRule type="expression" priority="7708" stopIfTrue="1" id="{9BA5CC62-706F-4FFE-924F-66ED2B755039}">
            <xm:f>AND(IF(X292&lt;'F:\Users\norela.briceno\Documents\Plan de acción\Plan Accion 2018\[Plan Accion Integrado ADRES Vigencia 2018 con Cuadro de Mando V6..xlsx]Plan de Accion 2018'!#REF!,X292&lt;&gt;"N/A"))</xm:f>
            <x14:dxf>
              <fill>
                <patternFill>
                  <bgColor indexed="10"/>
                </patternFill>
              </fill>
            </x14:dxf>
          </x14:cfRule>
          <xm:sqref>X292</xm:sqref>
        </x14:conditionalFormatting>
        <x14:conditionalFormatting xmlns:xm="http://schemas.microsoft.com/office/excel/2006/main">
          <x14:cfRule type="expression" priority="7703" id="{8CB76048-960D-4B3B-A35F-221E8D7A4E68}">
            <xm:f>AND(IF(X293&gt;'F:\Users\norela.briceno\Documents\Plan de acción\Plan Accion 2018\[Plan Accion Integrado ADRES Vigencia 2018 con Cuadro de Mando V6..xlsx]Plan de Accion 2018'!#REF!,X293&lt;&gt;¨N/A¨))</xm:f>
            <x14:dxf>
              <fill>
                <patternFill>
                  <bgColor theme="1" tint="0.499984740745262"/>
                </patternFill>
              </fill>
            </x14:dxf>
          </x14:cfRule>
          <x14:cfRule type="expression" priority="7704" stopIfTrue="1" id="{15A0054B-F405-4E13-B8EE-5F14223C7600}">
            <xm:f>AND(IF(X293='F:\Users\norela.briceno\Documents\Plan de acción\Plan Accion 2018\[Plan Accion Integrado ADRES Vigencia 2018 con Cuadro de Mando V6..xlsx]Plan de Accion 2018'!#REF!,X293&lt;&gt;"N/A"))</xm:f>
            <x14:dxf>
              <fill>
                <patternFill>
                  <bgColor rgb="FF00B050"/>
                </patternFill>
              </fill>
            </x14:dxf>
          </x14:cfRule>
          <x14:cfRule type="expression" priority="7705" stopIfTrue="1" id="{CD85CBD5-E253-4B3D-BAE5-056F48A02C31}">
            <xm:f>AND(IF(X293&lt;'F:\Users\norela.briceno\Documents\Plan de acción\Plan Accion 2018\[Plan Accion Integrado ADRES Vigencia 2018 con Cuadro de Mando V6..xlsx]Plan de Accion 2018'!#REF!,X293&lt;&gt;"N/A"))</xm:f>
            <x14:dxf>
              <fill>
                <patternFill>
                  <bgColor indexed="10"/>
                </patternFill>
              </fill>
            </x14:dxf>
          </x14:cfRule>
          <xm:sqref>X293</xm:sqref>
        </x14:conditionalFormatting>
        <x14:conditionalFormatting xmlns:xm="http://schemas.microsoft.com/office/excel/2006/main">
          <x14:cfRule type="expression" priority="7700" id="{C20B3FCD-D368-40FB-BF2B-96E4E088386B}">
            <xm:f>AND(IF(X294&gt;'F:\Users\norela.briceno\Documents\Plan de acción\Plan Accion 2018\[Plan Accion Integrado ADRES Vigencia 2018 con Cuadro de Mando V6..xlsx]Plan de Accion 2018'!#REF!,X294&lt;&gt;¨N/A¨))</xm:f>
            <x14:dxf>
              <fill>
                <patternFill>
                  <bgColor theme="1" tint="0.499984740745262"/>
                </patternFill>
              </fill>
            </x14:dxf>
          </x14:cfRule>
          <x14:cfRule type="expression" priority="7701" stopIfTrue="1" id="{B77C1172-F062-4DB6-A616-340A6344FD57}">
            <xm:f>AND(IF(X294='F:\Users\norela.briceno\Documents\Plan de acción\Plan Accion 2018\[Plan Accion Integrado ADRES Vigencia 2018 con Cuadro de Mando V6..xlsx]Plan de Accion 2018'!#REF!,X294&lt;&gt;"N/A"))</xm:f>
            <x14:dxf>
              <fill>
                <patternFill>
                  <bgColor rgb="FF00B050"/>
                </patternFill>
              </fill>
            </x14:dxf>
          </x14:cfRule>
          <x14:cfRule type="expression" priority="7702" stopIfTrue="1" id="{1A70AEB2-2BBF-4F60-8037-63401D383307}">
            <xm:f>AND(IF(X294&lt;'F:\Users\norela.briceno\Documents\Plan de acción\Plan Accion 2018\[Plan Accion Integrado ADRES Vigencia 2018 con Cuadro de Mando V6..xlsx]Plan de Accion 2018'!#REF!,X294&lt;&gt;"N/A"))</xm:f>
            <x14:dxf>
              <fill>
                <patternFill>
                  <bgColor indexed="10"/>
                </patternFill>
              </fill>
            </x14:dxf>
          </x14:cfRule>
          <xm:sqref>X294</xm:sqref>
        </x14:conditionalFormatting>
        <x14:conditionalFormatting xmlns:xm="http://schemas.microsoft.com/office/excel/2006/main">
          <x14:cfRule type="expression" priority="7697" id="{820DC77F-5C62-480F-9127-20BDBBFB112D}">
            <xm:f>AND(IF(X295&gt;'F:\Users\norela.briceno\Documents\Plan de acción\Plan Accion 2018\[Plan Accion Integrado ADRES Vigencia 2018 con Cuadro de Mando V6..xlsx]Plan de Accion 2018'!#REF!,X295&lt;&gt;¨N/A¨))</xm:f>
            <x14:dxf>
              <fill>
                <patternFill>
                  <bgColor theme="1" tint="0.499984740745262"/>
                </patternFill>
              </fill>
            </x14:dxf>
          </x14:cfRule>
          <x14:cfRule type="expression" priority="7698" stopIfTrue="1" id="{ACB67091-E312-4C13-A136-31F2B3E3E715}">
            <xm:f>AND(IF(X295='F:\Users\norela.briceno\Documents\Plan de acción\Plan Accion 2018\[Plan Accion Integrado ADRES Vigencia 2018 con Cuadro de Mando V6..xlsx]Plan de Accion 2018'!#REF!,X295&lt;&gt;"N/A"))</xm:f>
            <x14:dxf>
              <fill>
                <patternFill>
                  <bgColor rgb="FF00B050"/>
                </patternFill>
              </fill>
            </x14:dxf>
          </x14:cfRule>
          <x14:cfRule type="expression" priority="7699" stopIfTrue="1" id="{B9D23984-EA1B-4C10-A335-73B95F558B46}">
            <xm:f>AND(IF(X295&lt;'F:\Users\norela.briceno\Documents\Plan de acción\Plan Accion 2018\[Plan Accion Integrado ADRES Vigencia 2018 con Cuadro de Mando V6..xlsx]Plan de Accion 2018'!#REF!,X295&lt;&gt;"N/A"))</xm:f>
            <x14:dxf>
              <fill>
                <patternFill>
                  <bgColor indexed="10"/>
                </patternFill>
              </fill>
            </x14:dxf>
          </x14:cfRule>
          <xm:sqref>X295</xm:sqref>
        </x14:conditionalFormatting>
        <x14:conditionalFormatting xmlns:xm="http://schemas.microsoft.com/office/excel/2006/main">
          <x14:cfRule type="expression" priority="7694" id="{6DEAD6E9-04E0-4068-BDA8-0BB141A795E7}">
            <xm:f>AND(IF(X298&gt;'F:\Users\norela.briceno\Documents\Plan de acción\Plan Accion 2018\[Plan Accion Integrado ADRES Vigencia 2018 con Cuadro de Mando V6..xlsx]Plan de Accion 2018'!#REF!,X298&lt;&gt;¨N/A¨))</xm:f>
            <x14:dxf>
              <fill>
                <patternFill>
                  <bgColor theme="1" tint="0.499984740745262"/>
                </patternFill>
              </fill>
            </x14:dxf>
          </x14:cfRule>
          <x14:cfRule type="expression" priority="7695" stopIfTrue="1" id="{DA45ADEA-5A48-47F2-8210-E34B5AED6E86}">
            <xm:f>AND(IF(X298='F:\Users\norela.briceno\Documents\Plan de acción\Plan Accion 2018\[Plan Accion Integrado ADRES Vigencia 2018 con Cuadro de Mando V6..xlsx]Plan de Accion 2018'!#REF!,X298&lt;&gt;"N/A"))</xm:f>
            <x14:dxf>
              <fill>
                <patternFill>
                  <bgColor rgb="FF00B050"/>
                </patternFill>
              </fill>
            </x14:dxf>
          </x14:cfRule>
          <x14:cfRule type="expression" priority="7696" stopIfTrue="1" id="{61D38104-662C-4CB6-9959-649F7DDA0897}">
            <xm:f>AND(IF(X298&lt;'F:\Users\norela.briceno\Documents\Plan de acción\Plan Accion 2018\[Plan Accion Integrado ADRES Vigencia 2018 con Cuadro de Mando V6..xlsx]Plan de Accion 2018'!#REF!,X298&lt;&gt;"N/A"))</xm:f>
            <x14:dxf>
              <fill>
                <patternFill>
                  <bgColor indexed="10"/>
                </patternFill>
              </fill>
            </x14:dxf>
          </x14:cfRule>
          <xm:sqref>X298</xm:sqref>
        </x14:conditionalFormatting>
        <x14:conditionalFormatting xmlns:xm="http://schemas.microsoft.com/office/excel/2006/main">
          <x14:cfRule type="expression" priority="7691" id="{55BC7DF6-90E8-47F2-AC24-F08EA08D1B91}">
            <xm:f>AND(IF(X299&gt;'F:\Users\norela.briceno\Documents\Plan de acción\Plan Accion 2018\[Plan Accion Integrado ADRES Vigencia 2018 con Cuadro de Mando V6..xlsx]Plan de Accion 2018'!#REF!,X299&lt;&gt;¨N/A¨))</xm:f>
            <x14:dxf>
              <fill>
                <patternFill>
                  <bgColor theme="1" tint="0.499984740745262"/>
                </patternFill>
              </fill>
            </x14:dxf>
          </x14:cfRule>
          <x14:cfRule type="expression" priority="7692" stopIfTrue="1" id="{EABC1881-3707-4D86-8D19-799F3CF2F52B}">
            <xm:f>AND(IF(X299='F:\Users\norela.briceno\Documents\Plan de acción\Plan Accion 2018\[Plan Accion Integrado ADRES Vigencia 2018 con Cuadro de Mando V6..xlsx]Plan de Accion 2018'!#REF!,X299&lt;&gt;"N/A"))</xm:f>
            <x14:dxf>
              <fill>
                <patternFill>
                  <bgColor rgb="FF00B050"/>
                </patternFill>
              </fill>
            </x14:dxf>
          </x14:cfRule>
          <x14:cfRule type="expression" priority="7693" stopIfTrue="1" id="{7411A284-E47F-4EB1-B355-F590874BE57C}">
            <xm:f>AND(IF(X299&lt;'F:\Users\norela.briceno\Documents\Plan de acción\Plan Accion 2018\[Plan Accion Integrado ADRES Vigencia 2018 con Cuadro de Mando V6..xlsx]Plan de Accion 2018'!#REF!,X299&lt;&gt;"N/A"))</xm:f>
            <x14:dxf>
              <fill>
                <patternFill>
                  <bgColor indexed="10"/>
                </patternFill>
              </fill>
            </x14:dxf>
          </x14:cfRule>
          <xm:sqref>X299</xm:sqref>
        </x14:conditionalFormatting>
        <x14:conditionalFormatting xmlns:xm="http://schemas.microsoft.com/office/excel/2006/main">
          <x14:cfRule type="expression" priority="7688" id="{8233F2C0-924F-41F1-AF4B-88863F39096E}">
            <xm:f>AND(IF(X300&gt;'F:\Users\norela.briceno\Documents\Plan de acción\Plan Accion 2018\[Plan Accion Integrado ADRES Vigencia 2018 con Cuadro de Mando V6..xlsx]Plan de Accion 2018'!#REF!,X300&lt;&gt;¨N/A¨))</xm:f>
            <x14:dxf>
              <fill>
                <patternFill>
                  <bgColor theme="1" tint="0.499984740745262"/>
                </patternFill>
              </fill>
            </x14:dxf>
          </x14:cfRule>
          <x14:cfRule type="expression" priority="7689" stopIfTrue="1" id="{78E849C4-2502-4AD4-87BD-CB7F8598744D}">
            <xm:f>AND(IF(X300='F:\Users\norela.briceno\Documents\Plan de acción\Plan Accion 2018\[Plan Accion Integrado ADRES Vigencia 2018 con Cuadro de Mando V6..xlsx]Plan de Accion 2018'!#REF!,X300&lt;&gt;"N/A"))</xm:f>
            <x14:dxf>
              <fill>
                <patternFill>
                  <bgColor rgb="FF00B050"/>
                </patternFill>
              </fill>
            </x14:dxf>
          </x14:cfRule>
          <x14:cfRule type="expression" priority="7690" stopIfTrue="1" id="{2697C74B-19C0-4397-9F3A-59B362A8FFDD}">
            <xm:f>AND(IF(X300&lt;'F:\Users\norela.briceno\Documents\Plan de acción\Plan Accion 2018\[Plan Accion Integrado ADRES Vigencia 2018 con Cuadro de Mando V6..xlsx]Plan de Accion 2018'!#REF!,X300&lt;&gt;"N/A"))</xm:f>
            <x14:dxf>
              <fill>
                <patternFill>
                  <bgColor indexed="10"/>
                </patternFill>
              </fill>
            </x14:dxf>
          </x14:cfRule>
          <xm:sqref>X300</xm:sqref>
        </x14:conditionalFormatting>
        <x14:conditionalFormatting xmlns:xm="http://schemas.microsoft.com/office/excel/2006/main">
          <x14:cfRule type="expression" priority="7685" id="{5803BB87-1376-4FFE-AFA6-F928162EE95D}">
            <xm:f>AND(IF(X302&gt;'F:\Users\norela.briceno\Documents\Plan de acción\Plan Accion 2018\[Plan Accion Integrado ADRES Vigencia 2018 con Cuadro de Mando V6..xlsx]Plan de Accion 2018'!#REF!,X302&lt;&gt;¨N/A¨))</xm:f>
            <x14:dxf>
              <fill>
                <patternFill>
                  <bgColor theme="1" tint="0.499984740745262"/>
                </patternFill>
              </fill>
            </x14:dxf>
          </x14:cfRule>
          <x14:cfRule type="expression" priority="7686" stopIfTrue="1" id="{C10ABD3D-9E98-4C93-A67B-B934FBC940F6}">
            <xm:f>AND(IF(X302='F:\Users\norela.briceno\Documents\Plan de acción\Plan Accion 2018\[Plan Accion Integrado ADRES Vigencia 2018 con Cuadro de Mando V6..xlsx]Plan de Accion 2018'!#REF!,X302&lt;&gt;"N/A"))</xm:f>
            <x14:dxf>
              <fill>
                <patternFill>
                  <bgColor rgb="FF00B050"/>
                </patternFill>
              </fill>
            </x14:dxf>
          </x14:cfRule>
          <x14:cfRule type="expression" priority="7687" stopIfTrue="1" id="{F1F6B9E1-DFC2-48AF-9FF2-53BAC882F750}">
            <xm:f>AND(IF(X302&lt;'F:\Users\norela.briceno\Documents\Plan de acción\Plan Accion 2018\[Plan Accion Integrado ADRES Vigencia 2018 con Cuadro de Mando V6..xlsx]Plan de Accion 2018'!#REF!,X302&lt;&gt;"N/A"))</xm:f>
            <x14:dxf>
              <fill>
                <patternFill>
                  <bgColor indexed="10"/>
                </patternFill>
              </fill>
            </x14:dxf>
          </x14:cfRule>
          <xm:sqref>X302</xm:sqref>
        </x14:conditionalFormatting>
        <x14:conditionalFormatting xmlns:xm="http://schemas.microsoft.com/office/excel/2006/main">
          <x14:cfRule type="expression" priority="7679" id="{D826BFDC-C27D-4EAB-ADF3-145C46930A24}">
            <xm:f>AND(IF(X306&gt;'F:\Users\norela.briceno\Documents\Plan de acción\Plan Accion 2018\[Plan Accion Integrado ADRES Vigencia 2018 con Cuadro de Mando V6..xlsx]Plan de Accion 2018'!#REF!,X306&lt;&gt;¨N/A¨))</xm:f>
            <x14:dxf>
              <fill>
                <patternFill>
                  <bgColor theme="1" tint="0.499984740745262"/>
                </patternFill>
              </fill>
            </x14:dxf>
          </x14:cfRule>
          <x14:cfRule type="expression" priority="7680" stopIfTrue="1" id="{CBF8BCAC-A26F-4ECF-BD71-57D02157B63E}">
            <xm:f>AND(IF(X306='F:\Users\norela.briceno\Documents\Plan de acción\Plan Accion 2018\[Plan Accion Integrado ADRES Vigencia 2018 con Cuadro de Mando V6..xlsx]Plan de Accion 2018'!#REF!,X306&lt;&gt;"N/A"))</xm:f>
            <x14:dxf>
              <fill>
                <patternFill>
                  <bgColor rgb="FF00B050"/>
                </patternFill>
              </fill>
            </x14:dxf>
          </x14:cfRule>
          <x14:cfRule type="expression" priority="7681" stopIfTrue="1" id="{B74ACFAC-7155-46E0-9290-49FF2F0C64E7}">
            <xm:f>AND(IF(X306&lt;'F:\Users\norela.briceno\Documents\Plan de acción\Plan Accion 2018\[Plan Accion Integrado ADRES Vigencia 2018 con Cuadro de Mando V6..xlsx]Plan de Accion 2018'!#REF!,X306&lt;&gt;"N/A"))</xm:f>
            <x14:dxf>
              <fill>
                <patternFill>
                  <bgColor indexed="10"/>
                </patternFill>
              </fill>
            </x14:dxf>
          </x14:cfRule>
          <xm:sqref>X306</xm:sqref>
        </x14:conditionalFormatting>
        <x14:conditionalFormatting xmlns:xm="http://schemas.microsoft.com/office/excel/2006/main">
          <x14:cfRule type="expression" priority="7676" id="{86FB3F21-AB27-4A04-AA21-AF9CA07CA2C5}">
            <xm:f>AND(IF(X307&gt;'F:\Users\norela.briceno\Documents\Plan de acción\Plan Accion 2018\[Plan Accion Integrado ADRES Vigencia 2018 con Cuadro de Mando V6..xlsx]Plan de Accion 2018'!#REF!,X307&lt;&gt;¨N/A¨))</xm:f>
            <x14:dxf>
              <fill>
                <patternFill>
                  <bgColor theme="1" tint="0.499984740745262"/>
                </patternFill>
              </fill>
            </x14:dxf>
          </x14:cfRule>
          <x14:cfRule type="expression" priority="7677" stopIfTrue="1" id="{38B6BD0E-1D41-4F39-A10C-3417755DE7C9}">
            <xm:f>AND(IF(X307='F:\Users\norela.briceno\Documents\Plan de acción\Plan Accion 2018\[Plan Accion Integrado ADRES Vigencia 2018 con Cuadro de Mando V6..xlsx]Plan de Accion 2018'!#REF!,X307&lt;&gt;"N/A"))</xm:f>
            <x14:dxf>
              <fill>
                <patternFill>
                  <bgColor rgb="FF00B050"/>
                </patternFill>
              </fill>
            </x14:dxf>
          </x14:cfRule>
          <x14:cfRule type="expression" priority="7678" stopIfTrue="1" id="{C36F5010-811B-44FD-92F7-37C7AE7A1487}">
            <xm:f>AND(IF(X307&lt;'F:\Users\norela.briceno\Documents\Plan de acción\Plan Accion 2018\[Plan Accion Integrado ADRES Vigencia 2018 con Cuadro de Mando V6..xlsx]Plan de Accion 2018'!#REF!,X307&lt;&gt;"N/A"))</xm:f>
            <x14:dxf>
              <fill>
                <patternFill>
                  <bgColor indexed="10"/>
                </patternFill>
              </fill>
            </x14:dxf>
          </x14:cfRule>
          <xm:sqref>X307</xm:sqref>
        </x14:conditionalFormatting>
        <x14:conditionalFormatting xmlns:xm="http://schemas.microsoft.com/office/excel/2006/main">
          <x14:cfRule type="expression" priority="7673" id="{B248DD04-5EE4-44D1-A7EB-C38400C67F60}">
            <xm:f>AND(IF(X308&gt;'F:\Users\norela.briceno\Documents\Plan de acción\Plan Accion 2018\[Plan Accion Integrado ADRES Vigencia 2018 con Cuadro de Mando V6..xlsx]Plan de Accion 2018'!#REF!,X308&lt;&gt;¨N/A¨))</xm:f>
            <x14:dxf>
              <fill>
                <patternFill>
                  <bgColor theme="1" tint="0.499984740745262"/>
                </patternFill>
              </fill>
            </x14:dxf>
          </x14:cfRule>
          <x14:cfRule type="expression" priority="7674" stopIfTrue="1" id="{D212A704-4328-4191-BEF9-3B46EA41EB37}">
            <xm:f>AND(IF(X308='F:\Users\norela.briceno\Documents\Plan de acción\Plan Accion 2018\[Plan Accion Integrado ADRES Vigencia 2018 con Cuadro de Mando V6..xlsx]Plan de Accion 2018'!#REF!,X308&lt;&gt;"N/A"))</xm:f>
            <x14:dxf>
              <fill>
                <patternFill>
                  <bgColor rgb="FF00B050"/>
                </patternFill>
              </fill>
            </x14:dxf>
          </x14:cfRule>
          <x14:cfRule type="expression" priority="7675" stopIfTrue="1" id="{2083045A-F48D-4470-B8FB-68CE71CBC2B2}">
            <xm:f>AND(IF(X308&lt;'F:\Users\norela.briceno\Documents\Plan de acción\Plan Accion 2018\[Plan Accion Integrado ADRES Vigencia 2018 con Cuadro de Mando V6..xlsx]Plan de Accion 2018'!#REF!,X308&lt;&gt;"N/A"))</xm:f>
            <x14:dxf>
              <fill>
                <patternFill>
                  <bgColor indexed="10"/>
                </patternFill>
              </fill>
            </x14:dxf>
          </x14:cfRule>
          <xm:sqref>X308</xm:sqref>
        </x14:conditionalFormatting>
        <x14:conditionalFormatting xmlns:xm="http://schemas.microsoft.com/office/excel/2006/main">
          <x14:cfRule type="expression" priority="7670" id="{3F1D4952-6D83-4187-9CC9-5D37C3DF5E3A}">
            <xm:f>AND(IF(X310&gt;'F:\Users\norela.briceno\Documents\Plan de acción\Plan Accion 2018\[Plan Accion Integrado ADRES Vigencia 2018 con Cuadro de Mando V6..xlsx]Plan de Accion 2018'!#REF!,X310&lt;&gt;¨N/A¨))</xm:f>
            <x14:dxf>
              <fill>
                <patternFill>
                  <bgColor theme="1" tint="0.499984740745262"/>
                </patternFill>
              </fill>
            </x14:dxf>
          </x14:cfRule>
          <x14:cfRule type="expression" priority="7671" stopIfTrue="1" id="{13AD966A-496B-400A-BE1E-E8DC84368E91}">
            <xm:f>AND(IF(X310='F:\Users\norela.briceno\Documents\Plan de acción\Plan Accion 2018\[Plan Accion Integrado ADRES Vigencia 2018 con Cuadro de Mando V6..xlsx]Plan de Accion 2018'!#REF!,X310&lt;&gt;"N/A"))</xm:f>
            <x14:dxf>
              <fill>
                <patternFill>
                  <bgColor rgb="FF00B050"/>
                </patternFill>
              </fill>
            </x14:dxf>
          </x14:cfRule>
          <x14:cfRule type="expression" priority="7672" stopIfTrue="1" id="{82E967AA-0C87-4F00-987A-81AD1F2A9913}">
            <xm:f>AND(IF(X310&lt;'F:\Users\norela.briceno\Documents\Plan de acción\Plan Accion 2018\[Plan Accion Integrado ADRES Vigencia 2018 con Cuadro de Mando V6..xlsx]Plan de Accion 2018'!#REF!,X310&lt;&gt;"N/A"))</xm:f>
            <x14:dxf>
              <fill>
                <patternFill>
                  <bgColor indexed="10"/>
                </patternFill>
              </fill>
            </x14:dxf>
          </x14:cfRule>
          <xm:sqref>X310</xm:sqref>
        </x14:conditionalFormatting>
        <x14:conditionalFormatting xmlns:xm="http://schemas.microsoft.com/office/excel/2006/main">
          <x14:cfRule type="expression" priority="7667" id="{8DC23D2F-BEE7-45F1-81EE-BB06B704556C}">
            <xm:f>AND(IF(X311&gt;'F:\Users\norela.briceno\Documents\Plan de acción\Plan Accion 2018\[Plan Accion Integrado ADRES Vigencia 2018 con Cuadro de Mando V6..xlsx]Plan de Accion 2018'!#REF!,X311&lt;&gt;¨N/A¨))</xm:f>
            <x14:dxf>
              <fill>
                <patternFill>
                  <bgColor theme="1" tint="0.499984740745262"/>
                </patternFill>
              </fill>
            </x14:dxf>
          </x14:cfRule>
          <x14:cfRule type="expression" priority="7668" stopIfTrue="1" id="{3D71F5B6-A90A-40D5-8067-B817CB52C695}">
            <xm:f>AND(IF(X311='F:\Users\norela.briceno\Documents\Plan de acción\Plan Accion 2018\[Plan Accion Integrado ADRES Vigencia 2018 con Cuadro de Mando V6..xlsx]Plan de Accion 2018'!#REF!,X311&lt;&gt;"N/A"))</xm:f>
            <x14:dxf>
              <fill>
                <patternFill>
                  <bgColor rgb="FF00B050"/>
                </patternFill>
              </fill>
            </x14:dxf>
          </x14:cfRule>
          <x14:cfRule type="expression" priority="7669" stopIfTrue="1" id="{0955513B-721B-4559-8403-5E337F082FC2}">
            <xm:f>AND(IF(X311&lt;'F:\Users\norela.briceno\Documents\Plan de acción\Plan Accion 2018\[Plan Accion Integrado ADRES Vigencia 2018 con Cuadro de Mando V6..xlsx]Plan de Accion 2018'!#REF!,X311&lt;&gt;"N/A"))</xm:f>
            <x14:dxf>
              <fill>
                <patternFill>
                  <bgColor indexed="10"/>
                </patternFill>
              </fill>
            </x14:dxf>
          </x14:cfRule>
          <xm:sqref>X311</xm:sqref>
        </x14:conditionalFormatting>
        <x14:conditionalFormatting xmlns:xm="http://schemas.microsoft.com/office/excel/2006/main">
          <x14:cfRule type="expression" priority="7664" id="{61CD7194-2564-400B-9057-7616294CD2CD}">
            <xm:f>AND(IF(X312&gt;'F:\Users\norela.briceno\Documents\Plan de acción\Plan Accion 2018\[Plan Accion Integrado ADRES Vigencia 2018 con Cuadro de Mando V6..xlsx]Plan de Accion 2018'!#REF!,X312&lt;&gt;¨N/A¨))</xm:f>
            <x14:dxf>
              <fill>
                <patternFill>
                  <bgColor theme="1" tint="0.499984740745262"/>
                </patternFill>
              </fill>
            </x14:dxf>
          </x14:cfRule>
          <x14:cfRule type="expression" priority="7665" stopIfTrue="1" id="{095B12AD-87C8-4EC2-A693-F1A1E1A6BC52}">
            <xm:f>AND(IF(X312='F:\Users\norela.briceno\Documents\Plan de acción\Plan Accion 2018\[Plan Accion Integrado ADRES Vigencia 2018 con Cuadro de Mando V6..xlsx]Plan de Accion 2018'!#REF!,X312&lt;&gt;"N/A"))</xm:f>
            <x14:dxf>
              <fill>
                <patternFill>
                  <bgColor rgb="FF00B050"/>
                </patternFill>
              </fill>
            </x14:dxf>
          </x14:cfRule>
          <x14:cfRule type="expression" priority="7666" stopIfTrue="1" id="{4744AEC1-95E5-4186-91F1-897B2E9A6308}">
            <xm:f>AND(IF(X312&lt;'F:\Users\norela.briceno\Documents\Plan de acción\Plan Accion 2018\[Plan Accion Integrado ADRES Vigencia 2018 con Cuadro de Mando V6..xlsx]Plan de Accion 2018'!#REF!,X312&lt;&gt;"N/A"))</xm:f>
            <x14:dxf>
              <fill>
                <patternFill>
                  <bgColor indexed="10"/>
                </patternFill>
              </fill>
            </x14:dxf>
          </x14:cfRule>
          <xm:sqref>X312</xm:sqref>
        </x14:conditionalFormatting>
        <x14:conditionalFormatting xmlns:xm="http://schemas.microsoft.com/office/excel/2006/main">
          <x14:cfRule type="expression" priority="7661" id="{6E71DE50-BD7D-45E0-8994-47E46E72E8CE}">
            <xm:f>AND(IF(X314&gt;'F:\Users\norela.briceno\Documents\Plan de acción\Plan Accion 2018\[Plan Accion Integrado ADRES Vigencia 2018 con Cuadro de Mando V6..xlsx]Plan de Accion 2018'!#REF!,X314&lt;&gt;¨N/A¨))</xm:f>
            <x14:dxf>
              <fill>
                <patternFill>
                  <bgColor theme="1" tint="0.499984740745262"/>
                </patternFill>
              </fill>
            </x14:dxf>
          </x14:cfRule>
          <x14:cfRule type="expression" priority="7662" stopIfTrue="1" id="{8A6DFDEA-8F43-4154-80B0-25A3C6957BB6}">
            <xm:f>AND(IF(X314='F:\Users\norela.briceno\Documents\Plan de acción\Plan Accion 2018\[Plan Accion Integrado ADRES Vigencia 2018 con Cuadro de Mando V6..xlsx]Plan de Accion 2018'!#REF!,X314&lt;&gt;"N/A"))</xm:f>
            <x14:dxf>
              <fill>
                <patternFill>
                  <bgColor rgb="FF00B050"/>
                </patternFill>
              </fill>
            </x14:dxf>
          </x14:cfRule>
          <x14:cfRule type="expression" priority="7663" stopIfTrue="1" id="{C97E9B85-CFE3-4BE5-B4EF-11102E0ECE52}">
            <xm:f>AND(IF(X314&lt;'F:\Users\norela.briceno\Documents\Plan de acción\Plan Accion 2018\[Plan Accion Integrado ADRES Vigencia 2018 con Cuadro de Mando V6..xlsx]Plan de Accion 2018'!#REF!,X314&lt;&gt;"N/A"))</xm:f>
            <x14:dxf>
              <fill>
                <patternFill>
                  <bgColor indexed="10"/>
                </patternFill>
              </fill>
            </x14:dxf>
          </x14:cfRule>
          <xm:sqref>X314</xm:sqref>
        </x14:conditionalFormatting>
        <x14:conditionalFormatting xmlns:xm="http://schemas.microsoft.com/office/excel/2006/main">
          <x14:cfRule type="expression" priority="7658" id="{0C039764-8263-4789-8DFC-37A423A970C8}">
            <xm:f>AND(IF(X315&gt;'F:\Users\norela.briceno\Documents\Plan de acción\Plan Accion 2018\[Plan Accion Integrado ADRES Vigencia 2018 con Cuadro de Mando V6..xlsx]Plan de Accion 2018'!#REF!,X315&lt;&gt;¨N/A¨))</xm:f>
            <x14:dxf>
              <fill>
                <patternFill>
                  <bgColor theme="1" tint="0.499984740745262"/>
                </patternFill>
              </fill>
            </x14:dxf>
          </x14:cfRule>
          <x14:cfRule type="expression" priority="7659" stopIfTrue="1" id="{18158B36-1CF4-48DE-AC09-01E20316B329}">
            <xm:f>AND(IF(X315='F:\Users\norela.briceno\Documents\Plan de acción\Plan Accion 2018\[Plan Accion Integrado ADRES Vigencia 2018 con Cuadro de Mando V6..xlsx]Plan de Accion 2018'!#REF!,X315&lt;&gt;"N/A"))</xm:f>
            <x14:dxf>
              <fill>
                <patternFill>
                  <bgColor rgb="FF00B050"/>
                </patternFill>
              </fill>
            </x14:dxf>
          </x14:cfRule>
          <x14:cfRule type="expression" priority="7660" stopIfTrue="1" id="{B3715C8C-A803-476A-97A7-60884E4CE441}">
            <xm:f>AND(IF(X315&lt;'F:\Users\norela.briceno\Documents\Plan de acción\Plan Accion 2018\[Plan Accion Integrado ADRES Vigencia 2018 con Cuadro de Mando V6..xlsx]Plan de Accion 2018'!#REF!,X315&lt;&gt;"N/A"))</xm:f>
            <x14:dxf>
              <fill>
                <patternFill>
                  <bgColor indexed="10"/>
                </patternFill>
              </fill>
            </x14:dxf>
          </x14:cfRule>
          <xm:sqref>X315</xm:sqref>
        </x14:conditionalFormatting>
        <x14:conditionalFormatting xmlns:xm="http://schemas.microsoft.com/office/excel/2006/main">
          <x14:cfRule type="expression" priority="7655" id="{6177D855-B54F-4F27-BAFC-2EC784E98A32}">
            <xm:f>AND(IF(X316&gt;'F:\Users\norela.briceno\Documents\Plan de acción\Plan Accion 2018\[Plan Accion Integrado ADRES Vigencia 2018 con Cuadro de Mando V6..xlsx]Plan de Accion 2018'!#REF!,X316&lt;&gt;¨N/A¨))</xm:f>
            <x14:dxf>
              <fill>
                <patternFill>
                  <bgColor theme="1" tint="0.499984740745262"/>
                </patternFill>
              </fill>
            </x14:dxf>
          </x14:cfRule>
          <x14:cfRule type="expression" priority="7656" stopIfTrue="1" id="{678B81B7-6D34-4538-8E34-2CF4A9F50604}">
            <xm:f>AND(IF(X316='F:\Users\norela.briceno\Documents\Plan de acción\Plan Accion 2018\[Plan Accion Integrado ADRES Vigencia 2018 con Cuadro de Mando V6..xlsx]Plan de Accion 2018'!#REF!,X316&lt;&gt;"N/A"))</xm:f>
            <x14:dxf>
              <fill>
                <patternFill>
                  <bgColor rgb="FF00B050"/>
                </patternFill>
              </fill>
            </x14:dxf>
          </x14:cfRule>
          <x14:cfRule type="expression" priority="7657" stopIfTrue="1" id="{51DF5788-F1F5-407E-8F52-6CF5A7FBE2BE}">
            <xm:f>AND(IF(X316&lt;'F:\Users\norela.briceno\Documents\Plan de acción\Plan Accion 2018\[Plan Accion Integrado ADRES Vigencia 2018 con Cuadro de Mando V6..xlsx]Plan de Accion 2018'!#REF!,X316&lt;&gt;"N/A"))</xm:f>
            <x14:dxf>
              <fill>
                <patternFill>
                  <bgColor indexed="10"/>
                </patternFill>
              </fill>
            </x14:dxf>
          </x14:cfRule>
          <xm:sqref>X316</xm:sqref>
        </x14:conditionalFormatting>
        <x14:conditionalFormatting xmlns:xm="http://schemas.microsoft.com/office/excel/2006/main">
          <x14:cfRule type="expression" priority="7646" id="{AB2A33AD-928B-4576-A8A9-D1D77992DDC3}">
            <xm:f>AND(IF(X322&gt;'F:\Users\norela.briceno\Documents\Plan de acción\Plan Accion 2018\[Plan Accion Integrado ADRES Vigencia 2018 con Cuadro de Mando V6..xlsx]Plan de Accion 2018'!#REF!,X322&lt;&gt;¨N/A¨))</xm:f>
            <x14:dxf>
              <fill>
                <patternFill>
                  <bgColor theme="1" tint="0.499984740745262"/>
                </patternFill>
              </fill>
            </x14:dxf>
          </x14:cfRule>
          <x14:cfRule type="expression" priority="7647" stopIfTrue="1" id="{EC33804B-662D-4D3B-9811-259CC76631F5}">
            <xm:f>AND(IF(X322='F:\Users\norela.briceno\Documents\Plan de acción\Plan Accion 2018\[Plan Accion Integrado ADRES Vigencia 2018 con Cuadro de Mando V6..xlsx]Plan de Accion 2018'!#REF!,X322&lt;&gt;"N/A"))</xm:f>
            <x14:dxf>
              <fill>
                <patternFill>
                  <bgColor rgb="FF00B050"/>
                </patternFill>
              </fill>
            </x14:dxf>
          </x14:cfRule>
          <x14:cfRule type="expression" priority="7648" stopIfTrue="1" id="{922FCFF6-43CF-404C-B555-06B7C490CE8F}">
            <xm:f>AND(IF(X322&lt;'F:\Users\norela.briceno\Documents\Plan de acción\Plan Accion 2018\[Plan Accion Integrado ADRES Vigencia 2018 con Cuadro de Mando V6..xlsx]Plan de Accion 2018'!#REF!,X322&lt;&gt;"N/A"))</xm:f>
            <x14:dxf>
              <fill>
                <patternFill>
                  <bgColor indexed="10"/>
                </patternFill>
              </fill>
            </x14:dxf>
          </x14:cfRule>
          <xm:sqref>X322</xm:sqref>
        </x14:conditionalFormatting>
        <x14:conditionalFormatting xmlns:xm="http://schemas.microsoft.com/office/excel/2006/main">
          <x14:cfRule type="expression" priority="7643" id="{1B3C8E23-4F86-480D-BC2A-C455B2DC2EED}">
            <xm:f>AND(IF(X323&gt;'F:\Users\norela.briceno\Documents\Plan de acción\Plan Accion 2018\[Plan Accion Integrado ADRES Vigencia 2018 con Cuadro de Mando V6..xlsx]Plan de Accion 2018'!#REF!,X323&lt;&gt;¨N/A¨))</xm:f>
            <x14:dxf>
              <fill>
                <patternFill>
                  <bgColor theme="1" tint="0.499984740745262"/>
                </patternFill>
              </fill>
            </x14:dxf>
          </x14:cfRule>
          <x14:cfRule type="expression" priority="7644" stopIfTrue="1" id="{A66A9588-1F43-4819-AE92-BAED848344A2}">
            <xm:f>AND(IF(X323='F:\Users\norela.briceno\Documents\Plan de acción\Plan Accion 2018\[Plan Accion Integrado ADRES Vigencia 2018 con Cuadro de Mando V6..xlsx]Plan de Accion 2018'!#REF!,X323&lt;&gt;"N/A"))</xm:f>
            <x14:dxf>
              <fill>
                <patternFill>
                  <bgColor rgb="FF00B050"/>
                </patternFill>
              </fill>
            </x14:dxf>
          </x14:cfRule>
          <x14:cfRule type="expression" priority="7645" stopIfTrue="1" id="{38D1E117-5365-4294-AAEE-9CA29BCE779E}">
            <xm:f>AND(IF(X323&lt;'F:\Users\norela.briceno\Documents\Plan de acción\Plan Accion 2018\[Plan Accion Integrado ADRES Vigencia 2018 con Cuadro de Mando V6..xlsx]Plan de Accion 2018'!#REF!,X323&lt;&gt;"N/A"))</xm:f>
            <x14:dxf>
              <fill>
                <patternFill>
                  <bgColor indexed="10"/>
                </patternFill>
              </fill>
            </x14:dxf>
          </x14:cfRule>
          <xm:sqref>X323</xm:sqref>
        </x14:conditionalFormatting>
        <x14:conditionalFormatting xmlns:xm="http://schemas.microsoft.com/office/excel/2006/main">
          <x14:cfRule type="expression" priority="7631" id="{A817BF57-BD5A-42C5-9BC5-36700D6DC781}">
            <xm:f>AND(IF(X324&gt;'F:\Users\norela.briceno\Documents\Plan de acción\Plan Accion 2018\[Plan Accion Integrado ADRES Vigencia 2018 con Cuadro de Mando V6..xlsx]Plan de Accion 2018'!#REF!,X324&lt;&gt;¨N/A¨))</xm:f>
            <x14:dxf>
              <fill>
                <patternFill>
                  <bgColor theme="1" tint="0.499984740745262"/>
                </patternFill>
              </fill>
            </x14:dxf>
          </x14:cfRule>
          <x14:cfRule type="expression" priority="7632" stopIfTrue="1" id="{16710965-3D8E-4CBC-B13D-5048FDE833FD}">
            <xm:f>AND(IF(X324='F:\Users\norela.briceno\Documents\Plan de acción\Plan Accion 2018\[Plan Accion Integrado ADRES Vigencia 2018 con Cuadro de Mando V6..xlsx]Plan de Accion 2018'!#REF!,X324&lt;&gt;"N/A"))</xm:f>
            <x14:dxf>
              <fill>
                <patternFill>
                  <bgColor rgb="FF00B050"/>
                </patternFill>
              </fill>
            </x14:dxf>
          </x14:cfRule>
          <x14:cfRule type="expression" priority="7633" stopIfTrue="1" id="{B7A89F77-8363-43E2-858B-7F00394B4C69}">
            <xm:f>AND(IF(X324&lt;'F:\Users\norela.briceno\Documents\Plan de acción\Plan Accion 2018\[Plan Accion Integrado ADRES Vigencia 2018 con Cuadro de Mando V6..xlsx]Plan de Accion 2018'!#REF!,X324&lt;&gt;"N/A"))</xm:f>
            <x14:dxf>
              <fill>
                <patternFill>
                  <bgColor indexed="10"/>
                </patternFill>
              </fill>
            </x14:dxf>
          </x14:cfRule>
          <xm:sqref>X324</xm:sqref>
        </x14:conditionalFormatting>
        <x14:conditionalFormatting xmlns:xm="http://schemas.microsoft.com/office/excel/2006/main">
          <x14:cfRule type="expression" priority="7628" id="{812E80E6-24C5-4400-8F86-C10F9BEE39C1}">
            <xm:f>AND(IF(X325&gt;'F:\Users\norela.briceno\Documents\Plan de acción\Plan Accion 2018\[Plan Accion Integrado ADRES Vigencia 2018 con Cuadro de Mando V6..xlsx]Plan de Accion 2018'!#REF!,X325&lt;&gt;¨N/A¨))</xm:f>
            <x14:dxf>
              <fill>
                <patternFill>
                  <bgColor theme="1" tint="0.499984740745262"/>
                </patternFill>
              </fill>
            </x14:dxf>
          </x14:cfRule>
          <x14:cfRule type="expression" priority="7629" stopIfTrue="1" id="{9CE03A97-7DA2-4E66-B215-73C6FA3603E4}">
            <xm:f>AND(IF(X325='F:\Users\norela.briceno\Documents\Plan de acción\Plan Accion 2018\[Plan Accion Integrado ADRES Vigencia 2018 con Cuadro de Mando V6..xlsx]Plan de Accion 2018'!#REF!,X325&lt;&gt;"N/A"))</xm:f>
            <x14:dxf>
              <fill>
                <patternFill>
                  <bgColor rgb="FF00B050"/>
                </patternFill>
              </fill>
            </x14:dxf>
          </x14:cfRule>
          <x14:cfRule type="expression" priority="7630" stopIfTrue="1" id="{2CE497A0-450E-475F-851C-CAAE0670FE4A}">
            <xm:f>AND(IF(X325&lt;'F:\Users\norela.briceno\Documents\Plan de acción\Plan Accion 2018\[Plan Accion Integrado ADRES Vigencia 2018 con Cuadro de Mando V6..xlsx]Plan de Accion 2018'!#REF!,X325&lt;&gt;"N/A"))</xm:f>
            <x14:dxf>
              <fill>
                <patternFill>
                  <bgColor indexed="10"/>
                </patternFill>
              </fill>
            </x14:dxf>
          </x14:cfRule>
          <xm:sqref>X325</xm:sqref>
        </x14:conditionalFormatting>
        <x14:conditionalFormatting xmlns:xm="http://schemas.microsoft.com/office/excel/2006/main">
          <x14:cfRule type="expression" priority="7625" id="{E98D696D-87A9-4FF9-95CC-A2D715739685}">
            <xm:f>AND(IF(X326&gt;'F:\Users\norela.briceno\Documents\Plan de acción\Plan Accion 2018\[Plan Accion Integrado ADRES Vigencia 2018 con Cuadro de Mando V6..xlsx]Plan de Accion 2018'!#REF!,X326&lt;&gt;¨N/A¨))</xm:f>
            <x14:dxf>
              <fill>
                <patternFill>
                  <bgColor theme="1" tint="0.499984740745262"/>
                </patternFill>
              </fill>
            </x14:dxf>
          </x14:cfRule>
          <x14:cfRule type="expression" priority="7626" stopIfTrue="1" id="{EDC31330-6E1D-49E9-AE18-AF07AAB25462}">
            <xm:f>AND(IF(X326='F:\Users\norela.briceno\Documents\Plan de acción\Plan Accion 2018\[Plan Accion Integrado ADRES Vigencia 2018 con Cuadro de Mando V6..xlsx]Plan de Accion 2018'!#REF!,X326&lt;&gt;"N/A"))</xm:f>
            <x14:dxf>
              <fill>
                <patternFill>
                  <bgColor rgb="FF00B050"/>
                </patternFill>
              </fill>
            </x14:dxf>
          </x14:cfRule>
          <x14:cfRule type="expression" priority="7627" stopIfTrue="1" id="{EB211209-EA16-4697-9766-BB40F3292BE3}">
            <xm:f>AND(IF(X326&lt;'F:\Users\norela.briceno\Documents\Plan de acción\Plan Accion 2018\[Plan Accion Integrado ADRES Vigencia 2018 con Cuadro de Mando V6..xlsx]Plan de Accion 2018'!#REF!,X326&lt;&gt;"N/A"))</xm:f>
            <x14:dxf>
              <fill>
                <patternFill>
                  <bgColor indexed="10"/>
                </patternFill>
              </fill>
            </x14:dxf>
          </x14:cfRule>
          <xm:sqref>X326</xm:sqref>
        </x14:conditionalFormatting>
        <x14:conditionalFormatting xmlns:xm="http://schemas.microsoft.com/office/excel/2006/main">
          <x14:cfRule type="expression" priority="7622" id="{0DFFCCB2-C919-4185-9C1B-A2CC9828282D}">
            <xm:f>AND(IF(X327&gt;'F:\Users\norela.briceno\Documents\Plan de acción\Plan Accion 2018\[Plan Accion Integrado ADRES Vigencia 2018 con Cuadro de Mando V6..xlsx]Plan de Accion 2018'!#REF!,X327&lt;&gt;¨N/A¨))</xm:f>
            <x14:dxf>
              <fill>
                <patternFill>
                  <bgColor theme="1" tint="0.499984740745262"/>
                </patternFill>
              </fill>
            </x14:dxf>
          </x14:cfRule>
          <x14:cfRule type="expression" priority="7623" stopIfTrue="1" id="{B10729DF-5FCC-4F81-8D2B-FC801090D498}">
            <xm:f>AND(IF(X327='F:\Users\norela.briceno\Documents\Plan de acción\Plan Accion 2018\[Plan Accion Integrado ADRES Vigencia 2018 con Cuadro de Mando V6..xlsx]Plan de Accion 2018'!#REF!,X327&lt;&gt;"N/A"))</xm:f>
            <x14:dxf>
              <fill>
                <patternFill>
                  <bgColor rgb="FF00B050"/>
                </patternFill>
              </fill>
            </x14:dxf>
          </x14:cfRule>
          <x14:cfRule type="expression" priority="7624" stopIfTrue="1" id="{D39A42B5-872A-4DC6-8E43-FA2CCEBF7867}">
            <xm:f>AND(IF(X327&lt;'F:\Users\norela.briceno\Documents\Plan de acción\Plan Accion 2018\[Plan Accion Integrado ADRES Vigencia 2018 con Cuadro de Mando V6..xlsx]Plan de Accion 2018'!#REF!,X327&lt;&gt;"N/A"))</xm:f>
            <x14:dxf>
              <fill>
                <patternFill>
                  <bgColor indexed="10"/>
                </patternFill>
              </fill>
            </x14:dxf>
          </x14:cfRule>
          <xm:sqref>X327</xm:sqref>
        </x14:conditionalFormatting>
        <x14:conditionalFormatting xmlns:xm="http://schemas.microsoft.com/office/excel/2006/main">
          <x14:cfRule type="expression" priority="7619" id="{1C1C7FD3-EFBC-47D0-AD6F-18B606125A47}">
            <xm:f>AND(IF(X328&gt;'F:\Users\norela.briceno\Documents\Plan de acción\Plan Accion 2018\[Plan Accion Integrado ADRES Vigencia 2018 con Cuadro de Mando V6..xlsx]Plan de Accion 2018'!#REF!,X328&lt;&gt;¨N/A¨))</xm:f>
            <x14:dxf>
              <fill>
                <patternFill>
                  <bgColor theme="1" tint="0.499984740745262"/>
                </patternFill>
              </fill>
            </x14:dxf>
          </x14:cfRule>
          <x14:cfRule type="expression" priority="7620" stopIfTrue="1" id="{2BD30257-47E2-4F8D-8CEE-CF339D2E30A1}">
            <xm:f>AND(IF(X328='F:\Users\norela.briceno\Documents\Plan de acción\Plan Accion 2018\[Plan Accion Integrado ADRES Vigencia 2018 con Cuadro de Mando V6..xlsx]Plan de Accion 2018'!#REF!,X328&lt;&gt;"N/A"))</xm:f>
            <x14:dxf>
              <fill>
                <patternFill>
                  <bgColor rgb="FF00B050"/>
                </patternFill>
              </fill>
            </x14:dxf>
          </x14:cfRule>
          <x14:cfRule type="expression" priority="7621" stopIfTrue="1" id="{94E647F0-8F5B-4D09-A83A-586ECC67F5E1}">
            <xm:f>AND(IF(X328&lt;'F:\Users\norela.briceno\Documents\Plan de acción\Plan Accion 2018\[Plan Accion Integrado ADRES Vigencia 2018 con Cuadro de Mando V6..xlsx]Plan de Accion 2018'!#REF!,X328&lt;&gt;"N/A"))</xm:f>
            <x14:dxf>
              <fill>
                <patternFill>
                  <bgColor indexed="10"/>
                </patternFill>
              </fill>
            </x14:dxf>
          </x14:cfRule>
          <xm:sqref>X328</xm:sqref>
        </x14:conditionalFormatting>
        <x14:conditionalFormatting xmlns:xm="http://schemas.microsoft.com/office/excel/2006/main">
          <x14:cfRule type="expression" priority="7616" id="{F70F0F38-FC5D-477E-8956-69BFA79D4DFD}">
            <xm:f>AND(IF(X329&gt;'F:\Users\norela.briceno\Documents\Plan de acción\Plan Accion 2018\[Plan Accion Integrado ADRES Vigencia 2018 con Cuadro de Mando V6..xlsx]Plan de Accion 2018'!#REF!,X329&lt;&gt;¨N/A¨))</xm:f>
            <x14:dxf>
              <fill>
                <patternFill>
                  <bgColor theme="1" tint="0.499984740745262"/>
                </patternFill>
              </fill>
            </x14:dxf>
          </x14:cfRule>
          <x14:cfRule type="expression" priority="7617" stopIfTrue="1" id="{A7853F64-932E-4E6E-B874-65BD744C36D0}">
            <xm:f>AND(IF(X329='F:\Users\norela.briceno\Documents\Plan de acción\Plan Accion 2018\[Plan Accion Integrado ADRES Vigencia 2018 con Cuadro de Mando V6..xlsx]Plan de Accion 2018'!#REF!,X329&lt;&gt;"N/A"))</xm:f>
            <x14:dxf>
              <fill>
                <patternFill>
                  <bgColor rgb="FF00B050"/>
                </patternFill>
              </fill>
            </x14:dxf>
          </x14:cfRule>
          <x14:cfRule type="expression" priority="7618" stopIfTrue="1" id="{66C69939-48E8-4076-936B-F5BD2855232D}">
            <xm:f>AND(IF(X329&lt;'F:\Users\norela.briceno\Documents\Plan de acción\Plan Accion 2018\[Plan Accion Integrado ADRES Vigencia 2018 con Cuadro de Mando V6..xlsx]Plan de Accion 2018'!#REF!,X329&lt;&gt;"N/A"))</xm:f>
            <x14:dxf>
              <fill>
                <patternFill>
                  <bgColor indexed="10"/>
                </patternFill>
              </fill>
            </x14:dxf>
          </x14:cfRule>
          <xm:sqref>X329</xm:sqref>
        </x14:conditionalFormatting>
        <x14:conditionalFormatting xmlns:xm="http://schemas.microsoft.com/office/excel/2006/main">
          <x14:cfRule type="expression" priority="7613" id="{E5727483-F55D-4F37-88F4-6E3518AC47BC}">
            <xm:f>AND(IF(X330&gt;'F:\Users\norela.briceno\Documents\Plan de acción\Plan Accion 2018\[Plan Accion Integrado ADRES Vigencia 2018 con Cuadro de Mando V6..xlsx]Plan de Accion 2018'!#REF!,X330&lt;&gt;¨N/A¨))</xm:f>
            <x14:dxf>
              <fill>
                <patternFill>
                  <bgColor theme="1" tint="0.499984740745262"/>
                </patternFill>
              </fill>
            </x14:dxf>
          </x14:cfRule>
          <x14:cfRule type="expression" priority="7614" stopIfTrue="1" id="{7C0FF403-E5F0-4504-8066-BEAC4145F5D4}">
            <xm:f>AND(IF(X330='F:\Users\norela.briceno\Documents\Plan de acción\Plan Accion 2018\[Plan Accion Integrado ADRES Vigencia 2018 con Cuadro de Mando V6..xlsx]Plan de Accion 2018'!#REF!,X330&lt;&gt;"N/A"))</xm:f>
            <x14:dxf>
              <fill>
                <patternFill>
                  <bgColor rgb="FF00B050"/>
                </patternFill>
              </fill>
            </x14:dxf>
          </x14:cfRule>
          <x14:cfRule type="expression" priority="7615" stopIfTrue="1" id="{0984980F-0035-4A71-8420-59237E52955F}">
            <xm:f>AND(IF(X330&lt;'F:\Users\norela.briceno\Documents\Plan de acción\Plan Accion 2018\[Plan Accion Integrado ADRES Vigencia 2018 con Cuadro de Mando V6..xlsx]Plan de Accion 2018'!#REF!,X330&lt;&gt;"N/A"))</xm:f>
            <x14:dxf>
              <fill>
                <patternFill>
                  <bgColor indexed="10"/>
                </patternFill>
              </fill>
            </x14:dxf>
          </x14:cfRule>
          <xm:sqref>X330</xm:sqref>
        </x14:conditionalFormatting>
        <x14:conditionalFormatting xmlns:xm="http://schemas.microsoft.com/office/excel/2006/main">
          <x14:cfRule type="expression" priority="7610" id="{E20B0C65-3E71-4B79-B265-3A0C8BF3970E}">
            <xm:f>AND(IF(X331&gt;'F:\Users\norela.briceno\Documents\Plan de acción\Plan Accion 2018\[Plan Accion Integrado ADRES Vigencia 2018 con Cuadro de Mando V6..xlsx]Plan de Accion 2018'!#REF!,X331&lt;&gt;¨N/A¨))</xm:f>
            <x14:dxf>
              <fill>
                <patternFill>
                  <bgColor theme="1" tint="0.499984740745262"/>
                </patternFill>
              </fill>
            </x14:dxf>
          </x14:cfRule>
          <x14:cfRule type="expression" priority="7611" stopIfTrue="1" id="{0C48D5E8-5CCB-4CBD-8C9D-47EFCCB8AAEA}">
            <xm:f>AND(IF(X331='F:\Users\norela.briceno\Documents\Plan de acción\Plan Accion 2018\[Plan Accion Integrado ADRES Vigencia 2018 con Cuadro de Mando V6..xlsx]Plan de Accion 2018'!#REF!,X331&lt;&gt;"N/A"))</xm:f>
            <x14:dxf>
              <fill>
                <patternFill>
                  <bgColor rgb="FF00B050"/>
                </patternFill>
              </fill>
            </x14:dxf>
          </x14:cfRule>
          <x14:cfRule type="expression" priority="7612" stopIfTrue="1" id="{A995C821-8E23-422E-B493-D8D16B9CD9AC}">
            <xm:f>AND(IF(X331&lt;'F:\Users\norela.briceno\Documents\Plan de acción\Plan Accion 2018\[Plan Accion Integrado ADRES Vigencia 2018 con Cuadro de Mando V6..xlsx]Plan de Accion 2018'!#REF!,X331&lt;&gt;"N/A"))</xm:f>
            <x14:dxf>
              <fill>
                <patternFill>
                  <bgColor indexed="10"/>
                </patternFill>
              </fill>
            </x14:dxf>
          </x14:cfRule>
          <xm:sqref>X331</xm:sqref>
        </x14:conditionalFormatting>
        <x14:conditionalFormatting xmlns:xm="http://schemas.microsoft.com/office/excel/2006/main">
          <x14:cfRule type="expression" priority="7607" id="{D37E1BD4-01D5-4D94-A807-66DEF2848CBF}">
            <xm:f>AND(IF(X332&gt;'F:\Users\norela.briceno\Documents\Plan de acción\Plan Accion 2018\[Plan Accion Integrado ADRES Vigencia 2018 con Cuadro de Mando V6..xlsx]Plan de Accion 2018'!#REF!,X332&lt;&gt;¨N/A¨))</xm:f>
            <x14:dxf>
              <fill>
                <patternFill>
                  <bgColor theme="1" tint="0.499984740745262"/>
                </patternFill>
              </fill>
            </x14:dxf>
          </x14:cfRule>
          <x14:cfRule type="expression" priority="7608" stopIfTrue="1" id="{2C100F58-EDE7-4B02-88FF-2F62683A3EDF}">
            <xm:f>AND(IF(X332='F:\Users\norela.briceno\Documents\Plan de acción\Plan Accion 2018\[Plan Accion Integrado ADRES Vigencia 2018 con Cuadro de Mando V6..xlsx]Plan de Accion 2018'!#REF!,X332&lt;&gt;"N/A"))</xm:f>
            <x14:dxf>
              <fill>
                <patternFill>
                  <bgColor rgb="FF00B050"/>
                </patternFill>
              </fill>
            </x14:dxf>
          </x14:cfRule>
          <x14:cfRule type="expression" priority="7609" stopIfTrue="1" id="{78745610-F766-42AF-8CE5-A0FAE5104EDC}">
            <xm:f>AND(IF(X332&lt;'F:\Users\norela.briceno\Documents\Plan de acción\Plan Accion 2018\[Plan Accion Integrado ADRES Vigencia 2018 con Cuadro de Mando V6..xlsx]Plan de Accion 2018'!#REF!,X332&lt;&gt;"N/A"))</xm:f>
            <x14:dxf>
              <fill>
                <patternFill>
                  <bgColor indexed="10"/>
                </patternFill>
              </fill>
            </x14:dxf>
          </x14:cfRule>
          <xm:sqref>X332</xm:sqref>
        </x14:conditionalFormatting>
        <x14:conditionalFormatting xmlns:xm="http://schemas.microsoft.com/office/excel/2006/main">
          <x14:cfRule type="expression" priority="7562" id="{C30D828D-2B61-46A1-A74C-52496A91A752}">
            <xm:f>AND(IF(X351&gt;'F:\Users\norela.briceno\Documents\Plan de acción\Plan Accion 2018\[Plan Accion Integrado ADRES Vigencia 2018 con Cuadro de Mando V6..xlsx]Plan de Accion 2018'!#REF!,X351&lt;&gt;¨N/A¨))</xm:f>
            <x14:dxf>
              <fill>
                <patternFill>
                  <bgColor theme="1" tint="0.499984740745262"/>
                </patternFill>
              </fill>
            </x14:dxf>
          </x14:cfRule>
          <x14:cfRule type="expression" priority="7563" stopIfTrue="1" id="{0BB08879-C7C5-4E08-81F5-ECDE03469316}">
            <xm:f>AND(IF(X351='F:\Users\norela.briceno\Documents\Plan de acción\Plan Accion 2018\[Plan Accion Integrado ADRES Vigencia 2018 con Cuadro de Mando V6..xlsx]Plan de Accion 2018'!#REF!,X351&lt;&gt;"N/A"))</xm:f>
            <x14:dxf>
              <fill>
                <patternFill>
                  <bgColor rgb="FF00B050"/>
                </patternFill>
              </fill>
            </x14:dxf>
          </x14:cfRule>
          <x14:cfRule type="expression" priority="7564" stopIfTrue="1" id="{8454FC45-FD8A-45A2-BD23-3C324C606DE5}">
            <xm:f>AND(IF(X351&lt;'F:\Users\norela.briceno\Documents\Plan de acción\Plan Accion 2018\[Plan Accion Integrado ADRES Vigencia 2018 con Cuadro de Mando V6..xlsx]Plan de Accion 2018'!#REF!,X351&lt;&gt;"N/A"))</xm:f>
            <x14:dxf>
              <fill>
                <patternFill>
                  <bgColor indexed="10"/>
                </patternFill>
              </fill>
            </x14:dxf>
          </x14:cfRule>
          <xm:sqref>X351</xm:sqref>
        </x14:conditionalFormatting>
        <x14:conditionalFormatting xmlns:xm="http://schemas.microsoft.com/office/excel/2006/main">
          <x14:cfRule type="expression" priority="7559" id="{6216847F-BE76-4509-A556-3E11FC4FFDC7}">
            <xm:f>AND(IF(X353&gt;'F:\Users\norela.briceno\Documents\Plan de acción\Plan Accion 2018\[Plan Accion Integrado ADRES Vigencia 2018 con Cuadro de Mando V6..xlsx]Plan de Accion 2018'!#REF!,X353&lt;&gt;¨N/A¨))</xm:f>
            <x14:dxf>
              <fill>
                <patternFill>
                  <bgColor theme="1" tint="0.499984740745262"/>
                </patternFill>
              </fill>
            </x14:dxf>
          </x14:cfRule>
          <x14:cfRule type="expression" priority="7560" stopIfTrue="1" id="{F1761B13-E32C-43DC-BF51-574EC12BC46D}">
            <xm:f>AND(IF(X353='F:\Users\norela.briceno\Documents\Plan de acción\Plan Accion 2018\[Plan Accion Integrado ADRES Vigencia 2018 con Cuadro de Mando V6..xlsx]Plan de Accion 2018'!#REF!,X353&lt;&gt;"N/A"))</xm:f>
            <x14:dxf>
              <fill>
                <patternFill>
                  <bgColor rgb="FF00B050"/>
                </patternFill>
              </fill>
            </x14:dxf>
          </x14:cfRule>
          <x14:cfRule type="expression" priority="7561" stopIfTrue="1" id="{D6F06D70-140B-4FE4-A057-20800A53E1AA}">
            <xm:f>AND(IF(X353&lt;'F:\Users\norela.briceno\Documents\Plan de acción\Plan Accion 2018\[Plan Accion Integrado ADRES Vigencia 2018 con Cuadro de Mando V6..xlsx]Plan de Accion 2018'!#REF!,X353&lt;&gt;"N/A"))</xm:f>
            <x14:dxf>
              <fill>
                <patternFill>
                  <bgColor indexed="10"/>
                </patternFill>
              </fill>
            </x14:dxf>
          </x14:cfRule>
          <xm:sqref>X353</xm:sqref>
        </x14:conditionalFormatting>
        <x14:conditionalFormatting xmlns:xm="http://schemas.microsoft.com/office/excel/2006/main">
          <x14:cfRule type="expression" priority="7538" id="{AAFB95E0-116F-44DD-986D-354C6DBA0B06}">
            <xm:f>AND(IF(X357&gt;'F:\Users\norela.briceno\Documents\Plan de acción\Plan Accion 2018\[Plan Accion Integrado ADRES Vigencia 2018 con Cuadro de Mando V6..xlsx]Plan de Accion 2018'!#REF!,X357&lt;&gt;¨N/A¨))</xm:f>
            <x14:dxf>
              <fill>
                <patternFill>
                  <bgColor theme="1" tint="0.499984740745262"/>
                </patternFill>
              </fill>
            </x14:dxf>
          </x14:cfRule>
          <x14:cfRule type="expression" priority="7539" stopIfTrue="1" id="{A916369B-E651-4DDF-82BF-7B8F0603F60B}">
            <xm:f>AND(IF(X357='F:\Users\norela.briceno\Documents\Plan de acción\Plan Accion 2018\[Plan Accion Integrado ADRES Vigencia 2018 con Cuadro de Mando V6..xlsx]Plan de Accion 2018'!#REF!,X357&lt;&gt;"N/A"))</xm:f>
            <x14:dxf>
              <fill>
                <patternFill>
                  <bgColor rgb="FF00B050"/>
                </patternFill>
              </fill>
            </x14:dxf>
          </x14:cfRule>
          <x14:cfRule type="expression" priority="7540" stopIfTrue="1" id="{6C766714-8A06-4557-8FC4-D430DB6B2A7D}">
            <xm:f>AND(IF(X357&lt;'F:\Users\norela.briceno\Documents\Plan de acción\Plan Accion 2018\[Plan Accion Integrado ADRES Vigencia 2018 con Cuadro de Mando V6..xlsx]Plan de Accion 2018'!#REF!,X357&lt;&gt;"N/A"))</xm:f>
            <x14:dxf>
              <fill>
                <patternFill>
                  <bgColor indexed="10"/>
                </patternFill>
              </fill>
            </x14:dxf>
          </x14:cfRule>
          <xm:sqref>X357</xm:sqref>
        </x14:conditionalFormatting>
        <x14:conditionalFormatting xmlns:xm="http://schemas.microsoft.com/office/excel/2006/main">
          <x14:cfRule type="expression" priority="7535" id="{7146B9F2-1FE5-4D4D-8012-E653B4811D37}">
            <xm:f>AND(IF(X358&gt;'F:\Users\norela.briceno\Documents\Plan de acción\Plan Accion 2018\[Plan Accion Integrado ADRES Vigencia 2018 con Cuadro de Mando V6..xlsx]Plan de Accion 2018'!#REF!,X358&lt;&gt;¨N/A¨))</xm:f>
            <x14:dxf>
              <fill>
                <patternFill>
                  <bgColor theme="1" tint="0.499984740745262"/>
                </patternFill>
              </fill>
            </x14:dxf>
          </x14:cfRule>
          <x14:cfRule type="expression" priority="7536" stopIfTrue="1" id="{FFAD7C9B-CC13-452D-89F7-D9D4D322682E}">
            <xm:f>AND(IF(X358='F:\Users\norela.briceno\Documents\Plan de acción\Plan Accion 2018\[Plan Accion Integrado ADRES Vigencia 2018 con Cuadro de Mando V6..xlsx]Plan de Accion 2018'!#REF!,X358&lt;&gt;"N/A"))</xm:f>
            <x14:dxf>
              <fill>
                <patternFill>
                  <bgColor rgb="FF00B050"/>
                </patternFill>
              </fill>
            </x14:dxf>
          </x14:cfRule>
          <x14:cfRule type="expression" priority="7537" stopIfTrue="1" id="{E61CEBF6-997F-44D4-8AFD-893508ED5A3D}">
            <xm:f>AND(IF(X358&lt;'F:\Users\norela.briceno\Documents\Plan de acción\Plan Accion 2018\[Plan Accion Integrado ADRES Vigencia 2018 con Cuadro de Mando V6..xlsx]Plan de Accion 2018'!#REF!,X358&lt;&gt;"N/A"))</xm:f>
            <x14:dxf>
              <fill>
                <patternFill>
                  <bgColor indexed="10"/>
                </patternFill>
              </fill>
            </x14:dxf>
          </x14:cfRule>
          <xm:sqref>X358</xm:sqref>
        </x14:conditionalFormatting>
        <x14:conditionalFormatting xmlns:xm="http://schemas.microsoft.com/office/excel/2006/main">
          <x14:cfRule type="expression" priority="7532" id="{54A175BC-B34C-42E8-BD7B-63E56952BABE}">
            <xm:f>AND(IF(X359&gt;'F:\Users\norela.briceno\Documents\Plan de acción\Plan Accion 2018\[Plan Accion Integrado ADRES Vigencia 2018 con Cuadro de Mando V6..xlsx]Plan de Accion 2018'!#REF!,X359&lt;&gt;¨N/A¨))</xm:f>
            <x14:dxf>
              <fill>
                <patternFill>
                  <bgColor theme="1" tint="0.499984740745262"/>
                </patternFill>
              </fill>
            </x14:dxf>
          </x14:cfRule>
          <x14:cfRule type="expression" priority="7533" stopIfTrue="1" id="{B07FA84E-BA4C-4BB0-82FD-87D80DA5E57F}">
            <xm:f>AND(IF(X359='F:\Users\norela.briceno\Documents\Plan de acción\Plan Accion 2018\[Plan Accion Integrado ADRES Vigencia 2018 con Cuadro de Mando V6..xlsx]Plan de Accion 2018'!#REF!,X359&lt;&gt;"N/A"))</xm:f>
            <x14:dxf>
              <fill>
                <patternFill>
                  <bgColor rgb="FF00B050"/>
                </patternFill>
              </fill>
            </x14:dxf>
          </x14:cfRule>
          <x14:cfRule type="expression" priority="7534" stopIfTrue="1" id="{AC15B1C5-9053-445F-A979-C8DC5AA30B32}">
            <xm:f>AND(IF(X359&lt;'F:\Users\norela.briceno\Documents\Plan de acción\Plan Accion 2018\[Plan Accion Integrado ADRES Vigencia 2018 con Cuadro de Mando V6..xlsx]Plan de Accion 2018'!#REF!,X359&lt;&gt;"N/A"))</xm:f>
            <x14:dxf>
              <fill>
                <patternFill>
                  <bgColor indexed="10"/>
                </patternFill>
              </fill>
            </x14:dxf>
          </x14:cfRule>
          <xm:sqref>X359</xm:sqref>
        </x14:conditionalFormatting>
        <x14:conditionalFormatting xmlns:xm="http://schemas.microsoft.com/office/excel/2006/main">
          <x14:cfRule type="expression" priority="7529" id="{EF6D873B-D3CB-429C-A710-592333092C24}">
            <xm:f>AND(IF(X360&gt;'F:\Users\norela.briceno\Documents\Plan de acción\Plan Accion 2018\[Plan Accion Integrado ADRES Vigencia 2018 con Cuadro de Mando V6..xlsx]Plan de Accion 2018'!#REF!,X360&lt;&gt;¨N/A¨))</xm:f>
            <x14:dxf>
              <fill>
                <patternFill>
                  <bgColor theme="1" tint="0.499984740745262"/>
                </patternFill>
              </fill>
            </x14:dxf>
          </x14:cfRule>
          <x14:cfRule type="expression" priority="7530" stopIfTrue="1" id="{DCB22A1F-DB7A-4EF5-A39A-4D84E6783267}">
            <xm:f>AND(IF(X360='F:\Users\norela.briceno\Documents\Plan de acción\Plan Accion 2018\[Plan Accion Integrado ADRES Vigencia 2018 con Cuadro de Mando V6..xlsx]Plan de Accion 2018'!#REF!,X360&lt;&gt;"N/A"))</xm:f>
            <x14:dxf>
              <fill>
                <patternFill>
                  <bgColor rgb="FF00B050"/>
                </patternFill>
              </fill>
            </x14:dxf>
          </x14:cfRule>
          <x14:cfRule type="expression" priority="7531" stopIfTrue="1" id="{2004CDDD-30F2-48CE-AB9C-BEC8F7A8EFE5}">
            <xm:f>AND(IF(X360&lt;'F:\Users\norela.briceno\Documents\Plan de acción\Plan Accion 2018\[Plan Accion Integrado ADRES Vigencia 2018 con Cuadro de Mando V6..xlsx]Plan de Accion 2018'!#REF!,X360&lt;&gt;"N/A"))</xm:f>
            <x14:dxf>
              <fill>
                <patternFill>
                  <bgColor indexed="10"/>
                </patternFill>
              </fill>
            </x14:dxf>
          </x14:cfRule>
          <xm:sqref>X360 X362</xm:sqref>
        </x14:conditionalFormatting>
        <x14:conditionalFormatting xmlns:xm="http://schemas.microsoft.com/office/excel/2006/main">
          <x14:cfRule type="expression" priority="7526" id="{B27D13C5-E682-434E-95B8-3EE02E81D0FF}">
            <xm:f>AND(IF(X363&gt;'F:\Users\norela.briceno\Documents\Plan de acción\Plan Accion 2018\[Plan Accion Integrado ADRES Vigencia 2018 con Cuadro de Mando V6..xlsx]Plan de Accion 2018'!#REF!,X363&lt;&gt;¨N/A¨))</xm:f>
            <x14:dxf>
              <fill>
                <patternFill>
                  <bgColor theme="1" tint="0.499984740745262"/>
                </patternFill>
              </fill>
            </x14:dxf>
          </x14:cfRule>
          <x14:cfRule type="expression" priority="7527" stopIfTrue="1" id="{64B50708-3B37-452A-A372-06635CFBBA34}">
            <xm:f>AND(IF(X363='F:\Users\norela.briceno\Documents\Plan de acción\Plan Accion 2018\[Plan Accion Integrado ADRES Vigencia 2018 con Cuadro de Mando V6..xlsx]Plan de Accion 2018'!#REF!,X363&lt;&gt;"N/A"))</xm:f>
            <x14:dxf>
              <fill>
                <patternFill>
                  <bgColor rgb="FF00B050"/>
                </patternFill>
              </fill>
            </x14:dxf>
          </x14:cfRule>
          <x14:cfRule type="expression" priority="7528" stopIfTrue="1" id="{5E52F88F-697F-42C2-BB96-D0F699174790}">
            <xm:f>AND(IF(X363&lt;'F:\Users\norela.briceno\Documents\Plan de acción\Plan Accion 2018\[Plan Accion Integrado ADRES Vigencia 2018 con Cuadro de Mando V6..xlsx]Plan de Accion 2018'!#REF!,X363&lt;&gt;"N/A"))</xm:f>
            <x14:dxf>
              <fill>
                <patternFill>
                  <bgColor indexed="10"/>
                </patternFill>
              </fill>
            </x14:dxf>
          </x14:cfRule>
          <xm:sqref>X363</xm:sqref>
        </x14:conditionalFormatting>
        <x14:conditionalFormatting xmlns:xm="http://schemas.microsoft.com/office/excel/2006/main">
          <x14:cfRule type="expression" priority="7523" id="{75565626-94AD-4B9E-B53A-45775C7FC6E3}">
            <xm:f>AND(IF(X364&gt;'F:\Users\norela.briceno\Documents\Plan de acción\Plan Accion 2018\[Plan Accion Integrado ADRES Vigencia 2018 con Cuadro de Mando V6..xlsx]Plan de Accion 2018'!#REF!,X364&lt;&gt;¨N/A¨))</xm:f>
            <x14:dxf>
              <fill>
                <patternFill>
                  <bgColor theme="1" tint="0.499984740745262"/>
                </patternFill>
              </fill>
            </x14:dxf>
          </x14:cfRule>
          <x14:cfRule type="expression" priority="7524" stopIfTrue="1" id="{BC565C92-C1D9-4B74-9B40-9A5BDD60E87D}">
            <xm:f>AND(IF(X364='F:\Users\norela.briceno\Documents\Plan de acción\Plan Accion 2018\[Plan Accion Integrado ADRES Vigencia 2018 con Cuadro de Mando V6..xlsx]Plan de Accion 2018'!#REF!,X364&lt;&gt;"N/A"))</xm:f>
            <x14:dxf>
              <fill>
                <patternFill>
                  <bgColor rgb="FF00B050"/>
                </patternFill>
              </fill>
            </x14:dxf>
          </x14:cfRule>
          <x14:cfRule type="expression" priority="7525" stopIfTrue="1" id="{DC6B3F33-1DD0-4E22-938F-716CA08C5650}">
            <xm:f>AND(IF(X364&lt;'F:\Users\norela.briceno\Documents\Plan de acción\Plan Accion 2018\[Plan Accion Integrado ADRES Vigencia 2018 con Cuadro de Mando V6..xlsx]Plan de Accion 2018'!#REF!,X364&lt;&gt;"N/A"))</xm:f>
            <x14:dxf>
              <fill>
                <patternFill>
                  <bgColor indexed="10"/>
                </patternFill>
              </fill>
            </x14:dxf>
          </x14:cfRule>
          <xm:sqref>X364</xm:sqref>
        </x14:conditionalFormatting>
        <x14:conditionalFormatting xmlns:xm="http://schemas.microsoft.com/office/excel/2006/main">
          <x14:cfRule type="expression" priority="7520" id="{4204F6AF-11C6-4810-A748-572ABC527053}">
            <xm:f>AND(IF(AE364&gt;'F:\Users\norela.briceno\Documents\Plan de acción\Plan Accion 2018\[Plan Accion Integrado ADRES Vigencia 2018 con Cuadro de Mando V6..xlsx]Plan de Accion 2018'!#REF!,AE364&lt;&gt;¨N/A¨))</xm:f>
            <x14:dxf>
              <fill>
                <patternFill>
                  <bgColor theme="1" tint="0.499984740745262"/>
                </patternFill>
              </fill>
            </x14:dxf>
          </x14:cfRule>
          <x14:cfRule type="expression" priority="7521" stopIfTrue="1" id="{09445627-BB75-46E9-B29F-D053B221D519}">
            <xm:f>AND(IF(AE364='F:\Users\norela.briceno\Documents\Plan de acción\Plan Accion 2018\[Plan Accion Integrado ADRES Vigencia 2018 con Cuadro de Mando V6..xlsx]Plan de Accion 2018'!#REF!,AE364&lt;&gt;"N/A"))</xm:f>
            <x14:dxf>
              <fill>
                <patternFill>
                  <bgColor rgb="FF00B050"/>
                </patternFill>
              </fill>
            </x14:dxf>
          </x14:cfRule>
          <x14:cfRule type="expression" priority="7522" stopIfTrue="1" id="{5F41D5C2-4B49-47C6-8C3B-E4EC9B881A68}">
            <xm:f>AND(IF(AE364&lt;'F:\Users\norela.briceno\Documents\Plan de acción\Plan Accion 2018\[Plan Accion Integrado ADRES Vigencia 2018 con Cuadro de Mando V6..xlsx]Plan de Accion 2018'!#REF!,AE364&lt;&gt;"N/A"))</xm:f>
            <x14:dxf>
              <fill>
                <patternFill>
                  <bgColor indexed="10"/>
                </patternFill>
              </fill>
            </x14:dxf>
          </x14:cfRule>
          <xm:sqref>AE364</xm:sqref>
        </x14:conditionalFormatting>
        <x14:conditionalFormatting xmlns:xm="http://schemas.microsoft.com/office/excel/2006/main">
          <x14:cfRule type="expression" priority="7517" id="{969C9820-6EBB-49C4-81EE-70A1CFF3E668}">
            <xm:f>AND(IF(AE363&gt;'F:\Users\norela.briceno\Documents\Plan de acción\Plan Accion 2018\[Plan Accion Integrado ADRES Vigencia 2018 con Cuadro de Mando V6..xlsx]Plan de Accion 2018'!#REF!,AE363&lt;&gt;¨N/A¨))</xm:f>
            <x14:dxf>
              <fill>
                <patternFill>
                  <bgColor theme="1" tint="0.499984740745262"/>
                </patternFill>
              </fill>
            </x14:dxf>
          </x14:cfRule>
          <x14:cfRule type="expression" priority="7518" stopIfTrue="1" id="{E93ACE42-B7F1-4E8B-B622-5A526ACBEF77}">
            <xm:f>AND(IF(AE363='F:\Users\norela.briceno\Documents\Plan de acción\Plan Accion 2018\[Plan Accion Integrado ADRES Vigencia 2018 con Cuadro de Mando V6..xlsx]Plan de Accion 2018'!#REF!,AE363&lt;&gt;"N/A"))</xm:f>
            <x14:dxf>
              <fill>
                <patternFill>
                  <bgColor rgb="FF00B050"/>
                </patternFill>
              </fill>
            </x14:dxf>
          </x14:cfRule>
          <x14:cfRule type="expression" priority="7519" stopIfTrue="1" id="{70A4501E-2360-4693-8A27-4A6E247CC527}">
            <xm:f>AND(IF(AE363&lt;'F:\Users\norela.briceno\Documents\Plan de acción\Plan Accion 2018\[Plan Accion Integrado ADRES Vigencia 2018 con Cuadro de Mando V6..xlsx]Plan de Accion 2018'!#REF!,AE363&lt;&gt;"N/A"))</xm:f>
            <x14:dxf>
              <fill>
                <patternFill>
                  <bgColor indexed="10"/>
                </patternFill>
              </fill>
            </x14:dxf>
          </x14:cfRule>
          <xm:sqref>AE363</xm:sqref>
        </x14:conditionalFormatting>
        <x14:conditionalFormatting xmlns:xm="http://schemas.microsoft.com/office/excel/2006/main">
          <x14:cfRule type="expression" priority="7514" id="{83CDA44E-8E7B-40DA-98EA-CA04276515AF}">
            <xm:f>AND(IF(AE360&gt;'F:\Users\norela.briceno\Documents\Plan de acción\Plan Accion 2018\[Plan Accion Integrado ADRES Vigencia 2018 con Cuadro de Mando V6..xlsx]Plan de Accion 2018'!#REF!,AE360&lt;&gt;¨N/A¨))</xm:f>
            <x14:dxf>
              <fill>
                <patternFill>
                  <bgColor theme="1" tint="0.499984740745262"/>
                </patternFill>
              </fill>
            </x14:dxf>
          </x14:cfRule>
          <x14:cfRule type="expression" priority="7515" stopIfTrue="1" id="{BE5F60B4-C1E8-4B31-A796-487ADC1C7A89}">
            <xm:f>AND(IF(AE360='F:\Users\norela.briceno\Documents\Plan de acción\Plan Accion 2018\[Plan Accion Integrado ADRES Vigencia 2018 con Cuadro de Mando V6..xlsx]Plan de Accion 2018'!#REF!,AE360&lt;&gt;"N/A"))</xm:f>
            <x14:dxf>
              <fill>
                <patternFill>
                  <bgColor rgb="FF00B050"/>
                </patternFill>
              </fill>
            </x14:dxf>
          </x14:cfRule>
          <x14:cfRule type="expression" priority="7516" stopIfTrue="1" id="{DA6C9805-3E5A-4B9A-A482-2652EC132374}">
            <xm:f>AND(IF(AE360&lt;'F:\Users\norela.briceno\Documents\Plan de acción\Plan Accion 2018\[Plan Accion Integrado ADRES Vigencia 2018 con Cuadro de Mando V6..xlsx]Plan de Accion 2018'!#REF!,AE360&lt;&gt;"N/A"))</xm:f>
            <x14:dxf>
              <fill>
                <patternFill>
                  <bgColor indexed="10"/>
                </patternFill>
              </fill>
            </x14:dxf>
          </x14:cfRule>
          <xm:sqref>AE360 AE362</xm:sqref>
        </x14:conditionalFormatting>
        <x14:conditionalFormatting xmlns:xm="http://schemas.microsoft.com/office/excel/2006/main">
          <x14:cfRule type="expression" priority="7511" id="{D8C3C830-1C64-4C32-B28B-3850BBBE7A7E}">
            <xm:f>AND(IF(AE359&gt;'F:\Users\norela.briceno\Documents\Plan de acción\Plan Accion 2018\[Plan Accion Integrado ADRES Vigencia 2018 con Cuadro de Mando V6..xlsx]Plan de Accion 2018'!#REF!,AE359&lt;&gt;¨N/A¨))</xm:f>
            <x14:dxf>
              <fill>
                <patternFill>
                  <bgColor theme="1" tint="0.499984740745262"/>
                </patternFill>
              </fill>
            </x14:dxf>
          </x14:cfRule>
          <x14:cfRule type="expression" priority="7512" stopIfTrue="1" id="{6314D03C-6E39-4B6E-9971-B7DE405A01DC}">
            <xm:f>AND(IF(AE359='F:\Users\norela.briceno\Documents\Plan de acción\Plan Accion 2018\[Plan Accion Integrado ADRES Vigencia 2018 con Cuadro de Mando V6..xlsx]Plan de Accion 2018'!#REF!,AE359&lt;&gt;"N/A"))</xm:f>
            <x14:dxf>
              <fill>
                <patternFill>
                  <bgColor rgb="FF00B050"/>
                </patternFill>
              </fill>
            </x14:dxf>
          </x14:cfRule>
          <x14:cfRule type="expression" priority="7513" stopIfTrue="1" id="{9E4A89B1-54B1-4B60-A6CA-BB6AC4A3BD87}">
            <xm:f>AND(IF(AE359&lt;'F:\Users\norela.briceno\Documents\Plan de acción\Plan Accion 2018\[Plan Accion Integrado ADRES Vigencia 2018 con Cuadro de Mando V6..xlsx]Plan de Accion 2018'!#REF!,AE359&lt;&gt;"N/A"))</xm:f>
            <x14:dxf>
              <fill>
                <patternFill>
                  <bgColor indexed="10"/>
                </patternFill>
              </fill>
            </x14:dxf>
          </x14:cfRule>
          <xm:sqref>AE359</xm:sqref>
        </x14:conditionalFormatting>
        <x14:conditionalFormatting xmlns:xm="http://schemas.microsoft.com/office/excel/2006/main">
          <x14:cfRule type="expression" priority="7508" id="{2E064F73-1034-4E6F-8C04-8A9466DBB7CF}">
            <xm:f>AND(IF(AE358&gt;'F:\Users\norela.briceno\Documents\Plan de acción\Plan Accion 2018\[Plan Accion Integrado ADRES Vigencia 2018 con Cuadro de Mando V6..xlsx]Plan de Accion 2018'!#REF!,AE358&lt;&gt;¨N/A¨))</xm:f>
            <x14:dxf>
              <fill>
                <patternFill>
                  <bgColor theme="1" tint="0.499984740745262"/>
                </patternFill>
              </fill>
            </x14:dxf>
          </x14:cfRule>
          <x14:cfRule type="expression" priority="7509" stopIfTrue="1" id="{0BAF1DAB-B292-4BD9-BA46-EBAA6BC91164}">
            <xm:f>AND(IF(AE358='F:\Users\norela.briceno\Documents\Plan de acción\Plan Accion 2018\[Plan Accion Integrado ADRES Vigencia 2018 con Cuadro de Mando V6..xlsx]Plan de Accion 2018'!#REF!,AE358&lt;&gt;"N/A"))</xm:f>
            <x14:dxf>
              <fill>
                <patternFill>
                  <bgColor rgb="FF00B050"/>
                </patternFill>
              </fill>
            </x14:dxf>
          </x14:cfRule>
          <x14:cfRule type="expression" priority="7510" stopIfTrue="1" id="{B9C0635F-F6FF-4DAC-886C-A3E619DBC32B}">
            <xm:f>AND(IF(AE358&lt;'F:\Users\norela.briceno\Documents\Plan de acción\Plan Accion 2018\[Plan Accion Integrado ADRES Vigencia 2018 con Cuadro de Mando V6..xlsx]Plan de Accion 2018'!#REF!,AE358&lt;&gt;"N/A"))</xm:f>
            <x14:dxf>
              <fill>
                <patternFill>
                  <bgColor indexed="10"/>
                </patternFill>
              </fill>
            </x14:dxf>
          </x14:cfRule>
          <xm:sqref>AE358</xm:sqref>
        </x14:conditionalFormatting>
        <x14:conditionalFormatting xmlns:xm="http://schemas.microsoft.com/office/excel/2006/main">
          <x14:cfRule type="expression" priority="7505" id="{A528082E-746B-4063-8631-4F8222B13B8C}">
            <xm:f>AND(IF(AE357&gt;'F:\Users\norela.briceno\Documents\Plan de acción\Plan Accion 2018\[Plan Accion Integrado ADRES Vigencia 2018 con Cuadro de Mando V6..xlsx]Plan de Accion 2018'!#REF!,AE357&lt;&gt;¨N/A¨))</xm:f>
            <x14:dxf>
              <fill>
                <patternFill>
                  <bgColor theme="1" tint="0.499984740745262"/>
                </patternFill>
              </fill>
            </x14:dxf>
          </x14:cfRule>
          <x14:cfRule type="expression" priority="7506" stopIfTrue="1" id="{0EE2E455-BA53-4AB9-ACDC-A03492D67409}">
            <xm:f>AND(IF(AE357='F:\Users\norela.briceno\Documents\Plan de acción\Plan Accion 2018\[Plan Accion Integrado ADRES Vigencia 2018 con Cuadro de Mando V6..xlsx]Plan de Accion 2018'!#REF!,AE357&lt;&gt;"N/A"))</xm:f>
            <x14:dxf>
              <fill>
                <patternFill>
                  <bgColor rgb="FF00B050"/>
                </patternFill>
              </fill>
            </x14:dxf>
          </x14:cfRule>
          <x14:cfRule type="expression" priority="7507" stopIfTrue="1" id="{82285A43-1C46-43BE-B524-3533C58606BE}">
            <xm:f>AND(IF(AE357&lt;'F:\Users\norela.briceno\Documents\Plan de acción\Plan Accion 2018\[Plan Accion Integrado ADRES Vigencia 2018 con Cuadro de Mando V6..xlsx]Plan de Accion 2018'!#REF!,AE357&lt;&gt;"N/A"))</xm:f>
            <x14:dxf>
              <fill>
                <patternFill>
                  <bgColor indexed="10"/>
                </patternFill>
              </fill>
            </x14:dxf>
          </x14:cfRule>
          <xm:sqref>AE357</xm:sqref>
        </x14:conditionalFormatting>
        <x14:conditionalFormatting xmlns:xm="http://schemas.microsoft.com/office/excel/2006/main">
          <x14:cfRule type="expression" priority="7484" id="{0C22B0BA-7BFA-45F0-B91C-510BC7CA9BA4}">
            <xm:f>AND(IF(AE353&gt;'F:\Users\norela.briceno\Documents\Plan de acción\Plan Accion 2018\[Plan Accion Integrado ADRES Vigencia 2018 con Cuadro de Mando V6..xlsx]Plan de Accion 2018'!#REF!,AE353&lt;&gt;¨N/A¨))</xm:f>
            <x14:dxf>
              <fill>
                <patternFill>
                  <bgColor theme="1" tint="0.499984740745262"/>
                </patternFill>
              </fill>
            </x14:dxf>
          </x14:cfRule>
          <x14:cfRule type="expression" priority="7485" stopIfTrue="1" id="{6C98027C-1D91-4AB3-81C4-E9DA344BED11}">
            <xm:f>AND(IF(AE353='F:\Users\norela.briceno\Documents\Plan de acción\Plan Accion 2018\[Plan Accion Integrado ADRES Vigencia 2018 con Cuadro de Mando V6..xlsx]Plan de Accion 2018'!#REF!,AE353&lt;&gt;"N/A"))</xm:f>
            <x14:dxf>
              <fill>
                <patternFill>
                  <bgColor rgb="FF00B050"/>
                </patternFill>
              </fill>
            </x14:dxf>
          </x14:cfRule>
          <x14:cfRule type="expression" priority="7486" stopIfTrue="1" id="{2A164961-5CC9-47E5-971B-D4FBAC20EEDF}">
            <xm:f>AND(IF(AE353&lt;'F:\Users\norela.briceno\Documents\Plan de acción\Plan Accion 2018\[Plan Accion Integrado ADRES Vigencia 2018 con Cuadro de Mando V6..xlsx]Plan de Accion 2018'!#REF!,AE353&lt;&gt;"N/A"))</xm:f>
            <x14:dxf>
              <fill>
                <patternFill>
                  <bgColor indexed="10"/>
                </patternFill>
              </fill>
            </x14:dxf>
          </x14:cfRule>
          <xm:sqref>AE353</xm:sqref>
        </x14:conditionalFormatting>
        <x14:conditionalFormatting xmlns:xm="http://schemas.microsoft.com/office/excel/2006/main">
          <x14:cfRule type="expression" priority="7481" id="{DA234CE6-604F-44D9-9DE9-C5967646ECF5}">
            <xm:f>AND(IF(AE351&gt;'F:\Users\norela.briceno\Documents\Plan de acción\Plan Accion 2018\[Plan Accion Integrado ADRES Vigencia 2018 con Cuadro de Mando V6..xlsx]Plan de Accion 2018'!#REF!,AE351&lt;&gt;¨N/A¨))</xm:f>
            <x14:dxf>
              <fill>
                <patternFill>
                  <bgColor theme="1" tint="0.499984740745262"/>
                </patternFill>
              </fill>
            </x14:dxf>
          </x14:cfRule>
          <x14:cfRule type="expression" priority="7482" stopIfTrue="1" id="{0FB09515-B60A-4B19-9B7B-FB13AB59A576}">
            <xm:f>AND(IF(AE351='F:\Users\norela.briceno\Documents\Plan de acción\Plan Accion 2018\[Plan Accion Integrado ADRES Vigencia 2018 con Cuadro de Mando V6..xlsx]Plan de Accion 2018'!#REF!,AE351&lt;&gt;"N/A"))</xm:f>
            <x14:dxf>
              <fill>
                <patternFill>
                  <bgColor rgb="FF00B050"/>
                </patternFill>
              </fill>
            </x14:dxf>
          </x14:cfRule>
          <x14:cfRule type="expression" priority="7483" stopIfTrue="1" id="{7591B0D2-372E-49FF-BF09-18BB2012727F}">
            <xm:f>AND(IF(AE351&lt;'F:\Users\norela.briceno\Documents\Plan de acción\Plan Accion 2018\[Plan Accion Integrado ADRES Vigencia 2018 con Cuadro de Mando V6..xlsx]Plan de Accion 2018'!#REF!,AE351&lt;&gt;"N/A"))</xm:f>
            <x14:dxf>
              <fill>
                <patternFill>
                  <bgColor indexed="10"/>
                </patternFill>
              </fill>
            </x14:dxf>
          </x14:cfRule>
          <xm:sqref>AE351</xm:sqref>
        </x14:conditionalFormatting>
        <x14:conditionalFormatting xmlns:xm="http://schemas.microsoft.com/office/excel/2006/main">
          <x14:cfRule type="expression" priority="7436" id="{626AAE07-CB06-43EC-AF82-4BF3FCED3249}">
            <xm:f>AND(IF(AE332&gt;'F:\Users\norela.briceno\Documents\Plan de acción\Plan Accion 2018\[Plan Accion Integrado ADRES Vigencia 2018 con Cuadro de Mando V6..xlsx]Plan de Accion 2018'!#REF!,AE332&lt;&gt;¨N/A¨))</xm:f>
            <x14:dxf>
              <fill>
                <patternFill>
                  <bgColor theme="1" tint="0.499984740745262"/>
                </patternFill>
              </fill>
            </x14:dxf>
          </x14:cfRule>
          <x14:cfRule type="expression" priority="7437" stopIfTrue="1" id="{1E022B08-BA84-491D-9304-5C8990634B2F}">
            <xm:f>AND(IF(AE332='F:\Users\norela.briceno\Documents\Plan de acción\Plan Accion 2018\[Plan Accion Integrado ADRES Vigencia 2018 con Cuadro de Mando V6..xlsx]Plan de Accion 2018'!#REF!,AE332&lt;&gt;"N/A"))</xm:f>
            <x14:dxf>
              <fill>
                <patternFill>
                  <bgColor rgb="FF00B050"/>
                </patternFill>
              </fill>
            </x14:dxf>
          </x14:cfRule>
          <x14:cfRule type="expression" priority="7438" stopIfTrue="1" id="{47CB32AA-403A-4C04-A64B-A9151F08D50D}">
            <xm:f>AND(IF(AE332&lt;'F:\Users\norela.briceno\Documents\Plan de acción\Plan Accion 2018\[Plan Accion Integrado ADRES Vigencia 2018 con Cuadro de Mando V6..xlsx]Plan de Accion 2018'!#REF!,AE332&lt;&gt;"N/A"))</xm:f>
            <x14:dxf>
              <fill>
                <patternFill>
                  <bgColor indexed="10"/>
                </patternFill>
              </fill>
            </x14:dxf>
          </x14:cfRule>
          <xm:sqref>AE332</xm:sqref>
        </x14:conditionalFormatting>
        <x14:conditionalFormatting xmlns:xm="http://schemas.microsoft.com/office/excel/2006/main">
          <x14:cfRule type="expression" priority="7433" id="{963D16B8-5035-4807-9735-E1478D378BC0}">
            <xm:f>AND(IF(AE331&gt;'F:\Users\norela.briceno\Documents\Plan de acción\Plan Accion 2018\[Plan Accion Integrado ADRES Vigencia 2018 con Cuadro de Mando V6..xlsx]Plan de Accion 2018'!#REF!,AE331&lt;&gt;¨N/A¨))</xm:f>
            <x14:dxf>
              <fill>
                <patternFill>
                  <bgColor theme="1" tint="0.499984740745262"/>
                </patternFill>
              </fill>
            </x14:dxf>
          </x14:cfRule>
          <x14:cfRule type="expression" priority="7434" stopIfTrue="1" id="{3C3BC837-B608-426A-B1EC-AC0F8A7288B2}">
            <xm:f>AND(IF(AE331='F:\Users\norela.briceno\Documents\Plan de acción\Plan Accion 2018\[Plan Accion Integrado ADRES Vigencia 2018 con Cuadro de Mando V6..xlsx]Plan de Accion 2018'!#REF!,AE331&lt;&gt;"N/A"))</xm:f>
            <x14:dxf>
              <fill>
                <patternFill>
                  <bgColor rgb="FF00B050"/>
                </patternFill>
              </fill>
            </x14:dxf>
          </x14:cfRule>
          <x14:cfRule type="expression" priority="7435" stopIfTrue="1" id="{D1DD5DD5-E4CB-44F9-A849-C14DF1BE0045}">
            <xm:f>AND(IF(AE331&lt;'F:\Users\norela.briceno\Documents\Plan de acción\Plan Accion 2018\[Plan Accion Integrado ADRES Vigencia 2018 con Cuadro de Mando V6..xlsx]Plan de Accion 2018'!#REF!,AE331&lt;&gt;"N/A"))</xm:f>
            <x14:dxf>
              <fill>
                <patternFill>
                  <bgColor indexed="10"/>
                </patternFill>
              </fill>
            </x14:dxf>
          </x14:cfRule>
          <xm:sqref>AE331</xm:sqref>
        </x14:conditionalFormatting>
        <x14:conditionalFormatting xmlns:xm="http://schemas.microsoft.com/office/excel/2006/main">
          <x14:cfRule type="expression" priority="7430" id="{D4BBA563-86FD-40E0-858B-F1F535D466BD}">
            <xm:f>AND(IF(AE330&gt;'F:\Users\norela.briceno\Documents\Plan de acción\Plan Accion 2018\[Plan Accion Integrado ADRES Vigencia 2018 con Cuadro de Mando V6..xlsx]Plan de Accion 2018'!#REF!,AE330&lt;&gt;¨N/A¨))</xm:f>
            <x14:dxf>
              <fill>
                <patternFill>
                  <bgColor theme="1" tint="0.499984740745262"/>
                </patternFill>
              </fill>
            </x14:dxf>
          </x14:cfRule>
          <x14:cfRule type="expression" priority="7431" stopIfTrue="1" id="{04EE8B3C-1103-4BE2-B8E3-FFB484A6F15C}">
            <xm:f>AND(IF(AE330='F:\Users\norela.briceno\Documents\Plan de acción\Plan Accion 2018\[Plan Accion Integrado ADRES Vigencia 2018 con Cuadro de Mando V6..xlsx]Plan de Accion 2018'!#REF!,AE330&lt;&gt;"N/A"))</xm:f>
            <x14:dxf>
              <fill>
                <patternFill>
                  <bgColor rgb="FF00B050"/>
                </patternFill>
              </fill>
            </x14:dxf>
          </x14:cfRule>
          <x14:cfRule type="expression" priority="7432" stopIfTrue="1" id="{2A2594B5-15A5-4887-A1A2-43C8EA479D07}">
            <xm:f>AND(IF(AE330&lt;'F:\Users\norela.briceno\Documents\Plan de acción\Plan Accion 2018\[Plan Accion Integrado ADRES Vigencia 2018 con Cuadro de Mando V6..xlsx]Plan de Accion 2018'!#REF!,AE330&lt;&gt;"N/A"))</xm:f>
            <x14:dxf>
              <fill>
                <patternFill>
                  <bgColor indexed="10"/>
                </patternFill>
              </fill>
            </x14:dxf>
          </x14:cfRule>
          <xm:sqref>AE330</xm:sqref>
        </x14:conditionalFormatting>
        <x14:conditionalFormatting xmlns:xm="http://schemas.microsoft.com/office/excel/2006/main">
          <x14:cfRule type="expression" priority="7427" id="{A52FED0A-502D-4D7C-9281-2D4E915F8817}">
            <xm:f>AND(IF(AE329&gt;'F:\Users\norela.briceno\Documents\Plan de acción\Plan Accion 2018\[Plan Accion Integrado ADRES Vigencia 2018 con Cuadro de Mando V6..xlsx]Plan de Accion 2018'!#REF!,AE329&lt;&gt;¨N/A¨))</xm:f>
            <x14:dxf>
              <fill>
                <patternFill>
                  <bgColor theme="1" tint="0.499984740745262"/>
                </patternFill>
              </fill>
            </x14:dxf>
          </x14:cfRule>
          <x14:cfRule type="expression" priority="7428" stopIfTrue="1" id="{B60C6CC4-8FE2-4876-A413-014559352DEE}">
            <xm:f>AND(IF(AE329='F:\Users\norela.briceno\Documents\Plan de acción\Plan Accion 2018\[Plan Accion Integrado ADRES Vigencia 2018 con Cuadro de Mando V6..xlsx]Plan de Accion 2018'!#REF!,AE329&lt;&gt;"N/A"))</xm:f>
            <x14:dxf>
              <fill>
                <patternFill>
                  <bgColor rgb="FF00B050"/>
                </patternFill>
              </fill>
            </x14:dxf>
          </x14:cfRule>
          <x14:cfRule type="expression" priority="7429" stopIfTrue="1" id="{B726E35B-84A0-4740-857D-EF5C0C3BF75C}">
            <xm:f>AND(IF(AE329&lt;'F:\Users\norela.briceno\Documents\Plan de acción\Plan Accion 2018\[Plan Accion Integrado ADRES Vigencia 2018 con Cuadro de Mando V6..xlsx]Plan de Accion 2018'!#REF!,AE329&lt;&gt;"N/A"))</xm:f>
            <x14:dxf>
              <fill>
                <patternFill>
                  <bgColor indexed="10"/>
                </patternFill>
              </fill>
            </x14:dxf>
          </x14:cfRule>
          <xm:sqref>AE329</xm:sqref>
        </x14:conditionalFormatting>
        <x14:conditionalFormatting xmlns:xm="http://schemas.microsoft.com/office/excel/2006/main">
          <x14:cfRule type="expression" priority="7424" id="{CB0EFDC0-C584-4496-BCC2-7B6735AD3657}">
            <xm:f>AND(IF(AE328&gt;'F:\Users\norela.briceno\Documents\Plan de acción\Plan Accion 2018\[Plan Accion Integrado ADRES Vigencia 2018 con Cuadro de Mando V6..xlsx]Plan de Accion 2018'!#REF!,AE328&lt;&gt;¨N/A¨))</xm:f>
            <x14:dxf>
              <fill>
                <patternFill>
                  <bgColor theme="1" tint="0.499984740745262"/>
                </patternFill>
              </fill>
            </x14:dxf>
          </x14:cfRule>
          <x14:cfRule type="expression" priority="7425" stopIfTrue="1" id="{97E54A70-BC6B-4467-9E4C-33D320E336FC}">
            <xm:f>AND(IF(AE328='F:\Users\norela.briceno\Documents\Plan de acción\Plan Accion 2018\[Plan Accion Integrado ADRES Vigencia 2018 con Cuadro de Mando V6..xlsx]Plan de Accion 2018'!#REF!,AE328&lt;&gt;"N/A"))</xm:f>
            <x14:dxf>
              <fill>
                <patternFill>
                  <bgColor rgb="FF00B050"/>
                </patternFill>
              </fill>
            </x14:dxf>
          </x14:cfRule>
          <x14:cfRule type="expression" priority="7426" stopIfTrue="1" id="{3F95311B-D37A-46CD-B961-7C103A490135}">
            <xm:f>AND(IF(AE328&lt;'F:\Users\norela.briceno\Documents\Plan de acción\Plan Accion 2018\[Plan Accion Integrado ADRES Vigencia 2018 con Cuadro de Mando V6..xlsx]Plan de Accion 2018'!#REF!,AE328&lt;&gt;"N/A"))</xm:f>
            <x14:dxf>
              <fill>
                <patternFill>
                  <bgColor indexed="10"/>
                </patternFill>
              </fill>
            </x14:dxf>
          </x14:cfRule>
          <xm:sqref>AE328</xm:sqref>
        </x14:conditionalFormatting>
        <x14:conditionalFormatting xmlns:xm="http://schemas.microsoft.com/office/excel/2006/main">
          <x14:cfRule type="expression" priority="7421" id="{520DAC72-66FD-491D-9BDB-9D31D2531D21}">
            <xm:f>AND(IF(AE327&gt;'F:\Users\norela.briceno\Documents\Plan de acción\Plan Accion 2018\[Plan Accion Integrado ADRES Vigencia 2018 con Cuadro de Mando V6..xlsx]Plan de Accion 2018'!#REF!,AE327&lt;&gt;¨N/A¨))</xm:f>
            <x14:dxf>
              <fill>
                <patternFill>
                  <bgColor theme="1" tint="0.499984740745262"/>
                </patternFill>
              </fill>
            </x14:dxf>
          </x14:cfRule>
          <x14:cfRule type="expression" priority="7422" stopIfTrue="1" id="{84593A07-F0EA-42B9-9684-1091459B31CF}">
            <xm:f>AND(IF(AE327='F:\Users\norela.briceno\Documents\Plan de acción\Plan Accion 2018\[Plan Accion Integrado ADRES Vigencia 2018 con Cuadro de Mando V6..xlsx]Plan de Accion 2018'!#REF!,AE327&lt;&gt;"N/A"))</xm:f>
            <x14:dxf>
              <fill>
                <patternFill>
                  <bgColor rgb="FF00B050"/>
                </patternFill>
              </fill>
            </x14:dxf>
          </x14:cfRule>
          <x14:cfRule type="expression" priority="7423" stopIfTrue="1" id="{42128122-F869-432F-B94F-0B396A0F36EF}">
            <xm:f>AND(IF(AE327&lt;'F:\Users\norela.briceno\Documents\Plan de acción\Plan Accion 2018\[Plan Accion Integrado ADRES Vigencia 2018 con Cuadro de Mando V6..xlsx]Plan de Accion 2018'!#REF!,AE327&lt;&gt;"N/A"))</xm:f>
            <x14:dxf>
              <fill>
                <patternFill>
                  <bgColor indexed="10"/>
                </patternFill>
              </fill>
            </x14:dxf>
          </x14:cfRule>
          <xm:sqref>AE327</xm:sqref>
        </x14:conditionalFormatting>
        <x14:conditionalFormatting xmlns:xm="http://schemas.microsoft.com/office/excel/2006/main">
          <x14:cfRule type="expression" priority="7418" id="{EFC33EAE-E84C-478D-8A2C-555BE6174FC7}">
            <xm:f>AND(IF(AE326&gt;'F:\Users\norela.briceno\Documents\Plan de acción\Plan Accion 2018\[Plan Accion Integrado ADRES Vigencia 2018 con Cuadro de Mando V6..xlsx]Plan de Accion 2018'!#REF!,AE326&lt;&gt;¨N/A¨))</xm:f>
            <x14:dxf>
              <fill>
                <patternFill>
                  <bgColor theme="1" tint="0.499984740745262"/>
                </patternFill>
              </fill>
            </x14:dxf>
          </x14:cfRule>
          <x14:cfRule type="expression" priority="7419" stopIfTrue="1" id="{69E6FB14-D78B-45DA-94EC-1CC33512B363}">
            <xm:f>AND(IF(AE326='F:\Users\norela.briceno\Documents\Plan de acción\Plan Accion 2018\[Plan Accion Integrado ADRES Vigencia 2018 con Cuadro de Mando V6..xlsx]Plan de Accion 2018'!#REF!,AE326&lt;&gt;"N/A"))</xm:f>
            <x14:dxf>
              <fill>
                <patternFill>
                  <bgColor rgb="FF00B050"/>
                </patternFill>
              </fill>
            </x14:dxf>
          </x14:cfRule>
          <x14:cfRule type="expression" priority="7420" stopIfTrue="1" id="{7BA0F772-BF78-489E-A1A5-68C26EDEFCD2}">
            <xm:f>AND(IF(AE326&lt;'F:\Users\norela.briceno\Documents\Plan de acción\Plan Accion 2018\[Plan Accion Integrado ADRES Vigencia 2018 con Cuadro de Mando V6..xlsx]Plan de Accion 2018'!#REF!,AE326&lt;&gt;"N/A"))</xm:f>
            <x14:dxf>
              <fill>
                <patternFill>
                  <bgColor indexed="10"/>
                </patternFill>
              </fill>
            </x14:dxf>
          </x14:cfRule>
          <xm:sqref>AE326</xm:sqref>
        </x14:conditionalFormatting>
        <x14:conditionalFormatting xmlns:xm="http://schemas.microsoft.com/office/excel/2006/main">
          <x14:cfRule type="expression" priority="7415" id="{76D5B2E2-22D2-4403-A67A-BD6D62604301}">
            <xm:f>AND(IF(AE325&gt;'F:\Users\norela.briceno\Documents\Plan de acción\Plan Accion 2018\[Plan Accion Integrado ADRES Vigencia 2018 con Cuadro de Mando V6..xlsx]Plan de Accion 2018'!#REF!,AE325&lt;&gt;¨N/A¨))</xm:f>
            <x14:dxf>
              <fill>
                <patternFill>
                  <bgColor theme="1" tint="0.499984740745262"/>
                </patternFill>
              </fill>
            </x14:dxf>
          </x14:cfRule>
          <x14:cfRule type="expression" priority="7416" stopIfTrue="1" id="{F9A89588-4EB8-44AC-B92E-B4D6F8FF14B0}">
            <xm:f>AND(IF(AE325='F:\Users\norela.briceno\Documents\Plan de acción\Plan Accion 2018\[Plan Accion Integrado ADRES Vigencia 2018 con Cuadro de Mando V6..xlsx]Plan de Accion 2018'!#REF!,AE325&lt;&gt;"N/A"))</xm:f>
            <x14:dxf>
              <fill>
                <patternFill>
                  <bgColor rgb="FF00B050"/>
                </patternFill>
              </fill>
            </x14:dxf>
          </x14:cfRule>
          <x14:cfRule type="expression" priority="7417" stopIfTrue="1" id="{8DD101F1-DAA0-43A5-827E-2953714C3C1A}">
            <xm:f>AND(IF(AE325&lt;'F:\Users\norela.briceno\Documents\Plan de acción\Plan Accion 2018\[Plan Accion Integrado ADRES Vigencia 2018 con Cuadro de Mando V6..xlsx]Plan de Accion 2018'!#REF!,AE325&lt;&gt;"N/A"))</xm:f>
            <x14:dxf>
              <fill>
                <patternFill>
                  <bgColor indexed="10"/>
                </patternFill>
              </fill>
            </x14:dxf>
          </x14:cfRule>
          <xm:sqref>AE325</xm:sqref>
        </x14:conditionalFormatting>
        <x14:conditionalFormatting xmlns:xm="http://schemas.microsoft.com/office/excel/2006/main">
          <x14:cfRule type="expression" priority="7412" id="{DC0B189F-A9E1-4F47-97F2-5019F432700B}">
            <xm:f>AND(IF(AE324&gt;'F:\Users\norela.briceno\Documents\Plan de acción\Plan Accion 2018\[Plan Accion Integrado ADRES Vigencia 2018 con Cuadro de Mando V6..xlsx]Plan de Accion 2018'!#REF!,AE324&lt;&gt;¨N/A¨))</xm:f>
            <x14:dxf>
              <fill>
                <patternFill>
                  <bgColor theme="1" tint="0.499984740745262"/>
                </patternFill>
              </fill>
            </x14:dxf>
          </x14:cfRule>
          <x14:cfRule type="expression" priority="7413" stopIfTrue="1" id="{8066106F-C6D9-4E73-9138-769A7E2F2B8B}">
            <xm:f>AND(IF(AE324='F:\Users\norela.briceno\Documents\Plan de acción\Plan Accion 2018\[Plan Accion Integrado ADRES Vigencia 2018 con Cuadro de Mando V6..xlsx]Plan de Accion 2018'!#REF!,AE324&lt;&gt;"N/A"))</xm:f>
            <x14:dxf>
              <fill>
                <patternFill>
                  <bgColor rgb="FF00B050"/>
                </patternFill>
              </fill>
            </x14:dxf>
          </x14:cfRule>
          <x14:cfRule type="expression" priority="7414" stopIfTrue="1" id="{AEC53E95-91CC-43DB-ACB5-D3C420F0A321}">
            <xm:f>AND(IF(AE324&lt;'F:\Users\norela.briceno\Documents\Plan de acción\Plan Accion 2018\[Plan Accion Integrado ADRES Vigencia 2018 con Cuadro de Mando V6..xlsx]Plan de Accion 2018'!#REF!,AE324&lt;&gt;"N/A"))</xm:f>
            <x14:dxf>
              <fill>
                <patternFill>
                  <bgColor indexed="10"/>
                </patternFill>
              </fill>
            </x14:dxf>
          </x14:cfRule>
          <xm:sqref>AE324</xm:sqref>
        </x14:conditionalFormatting>
        <x14:conditionalFormatting xmlns:xm="http://schemas.microsoft.com/office/excel/2006/main">
          <x14:cfRule type="expression" priority="7400" id="{EF6D0DE9-F2D7-4821-9272-21146AA19537}">
            <xm:f>AND(IF(AE323&gt;'F:\Users\norela.briceno\Documents\Plan de acción\Plan Accion 2018\[Plan Accion Integrado ADRES Vigencia 2018 con Cuadro de Mando V6..xlsx]Plan de Accion 2018'!#REF!,AE323&lt;&gt;¨N/A¨))</xm:f>
            <x14:dxf>
              <fill>
                <patternFill>
                  <bgColor theme="1" tint="0.499984740745262"/>
                </patternFill>
              </fill>
            </x14:dxf>
          </x14:cfRule>
          <x14:cfRule type="expression" priority="7401" stopIfTrue="1" id="{1FDE64DD-FF12-49C8-BA98-6FFD2A9DD818}">
            <xm:f>AND(IF(AE323='F:\Users\norela.briceno\Documents\Plan de acción\Plan Accion 2018\[Plan Accion Integrado ADRES Vigencia 2018 con Cuadro de Mando V6..xlsx]Plan de Accion 2018'!#REF!,AE323&lt;&gt;"N/A"))</xm:f>
            <x14:dxf>
              <fill>
                <patternFill>
                  <bgColor rgb="FF00B050"/>
                </patternFill>
              </fill>
            </x14:dxf>
          </x14:cfRule>
          <x14:cfRule type="expression" priority="7402" stopIfTrue="1" id="{A386E4BA-50BA-4CFB-8427-092CF8F998B7}">
            <xm:f>AND(IF(AE323&lt;'F:\Users\norela.briceno\Documents\Plan de acción\Plan Accion 2018\[Plan Accion Integrado ADRES Vigencia 2018 con Cuadro de Mando V6..xlsx]Plan de Accion 2018'!#REF!,AE323&lt;&gt;"N/A"))</xm:f>
            <x14:dxf>
              <fill>
                <patternFill>
                  <bgColor indexed="10"/>
                </patternFill>
              </fill>
            </x14:dxf>
          </x14:cfRule>
          <xm:sqref>AE323</xm:sqref>
        </x14:conditionalFormatting>
        <x14:conditionalFormatting xmlns:xm="http://schemas.microsoft.com/office/excel/2006/main">
          <x14:cfRule type="expression" priority="7397" id="{27961E7E-D2D5-404D-8CC6-8BD71BB79AE4}">
            <xm:f>AND(IF(AE322&gt;'F:\Users\norela.briceno\Documents\Plan de acción\Plan Accion 2018\[Plan Accion Integrado ADRES Vigencia 2018 con Cuadro de Mando V6..xlsx]Plan de Accion 2018'!#REF!,AE322&lt;&gt;¨N/A¨))</xm:f>
            <x14:dxf>
              <fill>
                <patternFill>
                  <bgColor theme="1" tint="0.499984740745262"/>
                </patternFill>
              </fill>
            </x14:dxf>
          </x14:cfRule>
          <x14:cfRule type="expression" priority="7398" stopIfTrue="1" id="{2EA79C29-E0AD-446E-8CB4-456CBC9DDAC0}">
            <xm:f>AND(IF(AE322='F:\Users\norela.briceno\Documents\Plan de acción\Plan Accion 2018\[Plan Accion Integrado ADRES Vigencia 2018 con Cuadro de Mando V6..xlsx]Plan de Accion 2018'!#REF!,AE322&lt;&gt;"N/A"))</xm:f>
            <x14:dxf>
              <fill>
                <patternFill>
                  <bgColor rgb="FF00B050"/>
                </patternFill>
              </fill>
            </x14:dxf>
          </x14:cfRule>
          <x14:cfRule type="expression" priority="7399" stopIfTrue="1" id="{C605A455-EBC7-4201-ADCF-DF0740E9B1D7}">
            <xm:f>AND(IF(AE322&lt;'F:\Users\norela.briceno\Documents\Plan de acción\Plan Accion 2018\[Plan Accion Integrado ADRES Vigencia 2018 con Cuadro de Mando V6..xlsx]Plan de Accion 2018'!#REF!,AE322&lt;&gt;"N/A"))</xm:f>
            <x14:dxf>
              <fill>
                <patternFill>
                  <bgColor indexed="10"/>
                </patternFill>
              </fill>
            </x14:dxf>
          </x14:cfRule>
          <xm:sqref>AE322</xm:sqref>
        </x14:conditionalFormatting>
        <x14:conditionalFormatting xmlns:xm="http://schemas.microsoft.com/office/excel/2006/main">
          <x14:cfRule type="expression" priority="7388" id="{0E876E9E-605A-473E-88DB-62510B60C1BA}">
            <xm:f>AND(IF(AE316&gt;'F:\Users\norela.briceno\Documents\Plan de acción\Plan Accion 2018\[Plan Accion Integrado ADRES Vigencia 2018 con Cuadro de Mando V6..xlsx]Plan de Accion 2018'!#REF!,AE316&lt;&gt;¨N/A¨))</xm:f>
            <x14:dxf>
              <fill>
                <patternFill>
                  <bgColor theme="1" tint="0.499984740745262"/>
                </patternFill>
              </fill>
            </x14:dxf>
          </x14:cfRule>
          <x14:cfRule type="expression" priority="7389" stopIfTrue="1" id="{95CC18A7-5AF7-4A90-A0E5-D98220DAC070}">
            <xm:f>AND(IF(AE316='F:\Users\norela.briceno\Documents\Plan de acción\Plan Accion 2018\[Plan Accion Integrado ADRES Vigencia 2018 con Cuadro de Mando V6..xlsx]Plan de Accion 2018'!#REF!,AE316&lt;&gt;"N/A"))</xm:f>
            <x14:dxf>
              <fill>
                <patternFill>
                  <bgColor rgb="FF00B050"/>
                </patternFill>
              </fill>
            </x14:dxf>
          </x14:cfRule>
          <x14:cfRule type="expression" priority="7390" stopIfTrue="1" id="{3DF96256-273D-4A99-BDE5-E276D458A1B5}">
            <xm:f>AND(IF(AE316&lt;'F:\Users\norela.briceno\Documents\Plan de acción\Plan Accion 2018\[Plan Accion Integrado ADRES Vigencia 2018 con Cuadro de Mando V6..xlsx]Plan de Accion 2018'!#REF!,AE316&lt;&gt;"N/A"))</xm:f>
            <x14:dxf>
              <fill>
                <patternFill>
                  <bgColor indexed="10"/>
                </patternFill>
              </fill>
            </x14:dxf>
          </x14:cfRule>
          <xm:sqref>AE316</xm:sqref>
        </x14:conditionalFormatting>
        <x14:conditionalFormatting xmlns:xm="http://schemas.microsoft.com/office/excel/2006/main">
          <x14:cfRule type="expression" priority="7385" id="{57453E5B-7009-4E0C-A7E0-540FA281024E}">
            <xm:f>AND(IF(AE315&gt;'F:\Users\norela.briceno\Documents\Plan de acción\Plan Accion 2018\[Plan Accion Integrado ADRES Vigencia 2018 con Cuadro de Mando V6..xlsx]Plan de Accion 2018'!#REF!,AE315&lt;&gt;¨N/A¨))</xm:f>
            <x14:dxf>
              <fill>
                <patternFill>
                  <bgColor theme="1" tint="0.499984740745262"/>
                </patternFill>
              </fill>
            </x14:dxf>
          </x14:cfRule>
          <x14:cfRule type="expression" priority="7386" stopIfTrue="1" id="{C09C1E91-C67D-494D-A67F-5FC6A3DCF572}">
            <xm:f>AND(IF(AE315='F:\Users\norela.briceno\Documents\Plan de acción\Plan Accion 2018\[Plan Accion Integrado ADRES Vigencia 2018 con Cuadro de Mando V6..xlsx]Plan de Accion 2018'!#REF!,AE315&lt;&gt;"N/A"))</xm:f>
            <x14:dxf>
              <fill>
                <patternFill>
                  <bgColor rgb="FF00B050"/>
                </patternFill>
              </fill>
            </x14:dxf>
          </x14:cfRule>
          <x14:cfRule type="expression" priority="7387" stopIfTrue="1" id="{04473938-666F-457C-90E7-EC44DB6D6565}">
            <xm:f>AND(IF(AE315&lt;'F:\Users\norela.briceno\Documents\Plan de acción\Plan Accion 2018\[Plan Accion Integrado ADRES Vigencia 2018 con Cuadro de Mando V6..xlsx]Plan de Accion 2018'!#REF!,AE315&lt;&gt;"N/A"))</xm:f>
            <x14:dxf>
              <fill>
                <patternFill>
                  <bgColor indexed="10"/>
                </patternFill>
              </fill>
            </x14:dxf>
          </x14:cfRule>
          <xm:sqref>AE315</xm:sqref>
        </x14:conditionalFormatting>
        <x14:conditionalFormatting xmlns:xm="http://schemas.microsoft.com/office/excel/2006/main">
          <x14:cfRule type="expression" priority="7382" id="{A76E8C1E-7C24-4A40-A474-D7F88D9E3092}">
            <xm:f>AND(IF(AE314&gt;'F:\Users\norela.briceno\Documents\Plan de acción\Plan Accion 2018\[Plan Accion Integrado ADRES Vigencia 2018 con Cuadro de Mando V6..xlsx]Plan de Accion 2018'!#REF!,AE314&lt;&gt;¨N/A¨))</xm:f>
            <x14:dxf>
              <fill>
                <patternFill>
                  <bgColor theme="1" tint="0.499984740745262"/>
                </patternFill>
              </fill>
            </x14:dxf>
          </x14:cfRule>
          <x14:cfRule type="expression" priority="7383" stopIfTrue="1" id="{5EC4F279-85A0-4694-80BA-70EA9E3300C4}">
            <xm:f>AND(IF(AE314='F:\Users\norela.briceno\Documents\Plan de acción\Plan Accion 2018\[Plan Accion Integrado ADRES Vigencia 2018 con Cuadro de Mando V6..xlsx]Plan de Accion 2018'!#REF!,AE314&lt;&gt;"N/A"))</xm:f>
            <x14:dxf>
              <fill>
                <patternFill>
                  <bgColor rgb="FF00B050"/>
                </patternFill>
              </fill>
            </x14:dxf>
          </x14:cfRule>
          <x14:cfRule type="expression" priority="7384" stopIfTrue="1" id="{E1678F9E-77CA-464F-965E-3F29A84FB46B}">
            <xm:f>AND(IF(AE314&lt;'F:\Users\norela.briceno\Documents\Plan de acción\Plan Accion 2018\[Plan Accion Integrado ADRES Vigencia 2018 con Cuadro de Mando V6..xlsx]Plan de Accion 2018'!#REF!,AE314&lt;&gt;"N/A"))</xm:f>
            <x14:dxf>
              <fill>
                <patternFill>
                  <bgColor indexed="10"/>
                </patternFill>
              </fill>
            </x14:dxf>
          </x14:cfRule>
          <xm:sqref>AE314</xm:sqref>
        </x14:conditionalFormatting>
        <x14:conditionalFormatting xmlns:xm="http://schemas.microsoft.com/office/excel/2006/main">
          <x14:cfRule type="expression" priority="7379" id="{A9EC1B23-32BA-4D26-84B0-0BED98BB2139}">
            <xm:f>AND(IF(AE312&gt;'F:\Users\norela.briceno\Documents\Plan de acción\Plan Accion 2018\[Plan Accion Integrado ADRES Vigencia 2018 con Cuadro de Mando V6..xlsx]Plan de Accion 2018'!#REF!,AE312&lt;&gt;¨N/A¨))</xm:f>
            <x14:dxf>
              <fill>
                <patternFill>
                  <bgColor theme="1" tint="0.499984740745262"/>
                </patternFill>
              </fill>
            </x14:dxf>
          </x14:cfRule>
          <x14:cfRule type="expression" priority="7380" stopIfTrue="1" id="{2F40A9BA-801A-4999-98FC-369B9FA337B5}">
            <xm:f>AND(IF(AE312='F:\Users\norela.briceno\Documents\Plan de acción\Plan Accion 2018\[Plan Accion Integrado ADRES Vigencia 2018 con Cuadro de Mando V6..xlsx]Plan de Accion 2018'!#REF!,AE312&lt;&gt;"N/A"))</xm:f>
            <x14:dxf>
              <fill>
                <patternFill>
                  <bgColor rgb="FF00B050"/>
                </patternFill>
              </fill>
            </x14:dxf>
          </x14:cfRule>
          <x14:cfRule type="expression" priority="7381" stopIfTrue="1" id="{D7EC0176-7790-47A2-8F7D-5EF222803F84}">
            <xm:f>AND(IF(AE312&lt;'F:\Users\norela.briceno\Documents\Plan de acción\Plan Accion 2018\[Plan Accion Integrado ADRES Vigencia 2018 con Cuadro de Mando V6..xlsx]Plan de Accion 2018'!#REF!,AE312&lt;&gt;"N/A"))</xm:f>
            <x14:dxf>
              <fill>
                <patternFill>
                  <bgColor indexed="10"/>
                </patternFill>
              </fill>
            </x14:dxf>
          </x14:cfRule>
          <xm:sqref>AE312</xm:sqref>
        </x14:conditionalFormatting>
        <x14:conditionalFormatting xmlns:xm="http://schemas.microsoft.com/office/excel/2006/main">
          <x14:cfRule type="expression" priority="7376" id="{91CE974F-9B97-4028-A185-7837776309B0}">
            <xm:f>AND(IF(AE311&gt;'F:\Users\norela.briceno\Documents\Plan de acción\Plan Accion 2018\[Plan Accion Integrado ADRES Vigencia 2018 con Cuadro de Mando V6..xlsx]Plan de Accion 2018'!#REF!,AE311&lt;&gt;¨N/A¨))</xm:f>
            <x14:dxf>
              <fill>
                <patternFill>
                  <bgColor theme="1" tint="0.499984740745262"/>
                </patternFill>
              </fill>
            </x14:dxf>
          </x14:cfRule>
          <x14:cfRule type="expression" priority="7377" stopIfTrue="1" id="{287C9726-049F-455D-97E8-715D2DDC0A5B}">
            <xm:f>AND(IF(AE311='F:\Users\norela.briceno\Documents\Plan de acción\Plan Accion 2018\[Plan Accion Integrado ADRES Vigencia 2018 con Cuadro de Mando V6..xlsx]Plan de Accion 2018'!#REF!,AE311&lt;&gt;"N/A"))</xm:f>
            <x14:dxf>
              <fill>
                <patternFill>
                  <bgColor rgb="FF00B050"/>
                </patternFill>
              </fill>
            </x14:dxf>
          </x14:cfRule>
          <x14:cfRule type="expression" priority="7378" stopIfTrue="1" id="{F218F980-F77F-493A-8275-AC32C50CA0A5}">
            <xm:f>AND(IF(AE311&lt;'F:\Users\norela.briceno\Documents\Plan de acción\Plan Accion 2018\[Plan Accion Integrado ADRES Vigencia 2018 con Cuadro de Mando V6..xlsx]Plan de Accion 2018'!#REF!,AE311&lt;&gt;"N/A"))</xm:f>
            <x14:dxf>
              <fill>
                <patternFill>
                  <bgColor indexed="10"/>
                </patternFill>
              </fill>
            </x14:dxf>
          </x14:cfRule>
          <xm:sqref>AE311</xm:sqref>
        </x14:conditionalFormatting>
        <x14:conditionalFormatting xmlns:xm="http://schemas.microsoft.com/office/excel/2006/main">
          <x14:cfRule type="expression" priority="7373" id="{8FAFB3D3-21E8-4C91-9DBA-8064937B575F}">
            <xm:f>AND(IF(AE310&gt;'F:\Users\norela.briceno\Documents\Plan de acción\Plan Accion 2018\[Plan Accion Integrado ADRES Vigencia 2018 con Cuadro de Mando V6..xlsx]Plan de Accion 2018'!#REF!,AE310&lt;&gt;¨N/A¨))</xm:f>
            <x14:dxf>
              <fill>
                <patternFill>
                  <bgColor theme="1" tint="0.499984740745262"/>
                </patternFill>
              </fill>
            </x14:dxf>
          </x14:cfRule>
          <x14:cfRule type="expression" priority="7374" stopIfTrue="1" id="{AE920E4D-374A-4F9E-B529-66FB44CCE722}">
            <xm:f>AND(IF(AE310='F:\Users\norela.briceno\Documents\Plan de acción\Plan Accion 2018\[Plan Accion Integrado ADRES Vigencia 2018 con Cuadro de Mando V6..xlsx]Plan de Accion 2018'!#REF!,AE310&lt;&gt;"N/A"))</xm:f>
            <x14:dxf>
              <fill>
                <patternFill>
                  <bgColor rgb="FF00B050"/>
                </patternFill>
              </fill>
            </x14:dxf>
          </x14:cfRule>
          <x14:cfRule type="expression" priority="7375" stopIfTrue="1" id="{4CC303F4-ECD8-4178-A2B8-317A37F90B90}">
            <xm:f>AND(IF(AE310&lt;'F:\Users\norela.briceno\Documents\Plan de acción\Plan Accion 2018\[Plan Accion Integrado ADRES Vigencia 2018 con Cuadro de Mando V6..xlsx]Plan de Accion 2018'!#REF!,AE310&lt;&gt;"N/A"))</xm:f>
            <x14:dxf>
              <fill>
                <patternFill>
                  <bgColor indexed="10"/>
                </patternFill>
              </fill>
            </x14:dxf>
          </x14:cfRule>
          <xm:sqref>AE310</xm:sqref>
        </x14:conditionalFormatting>
        <x14:conditionalFormatting xmlns:xm="http://schemas.microsoft.com/office/excel/2006/main">
          <x14:cfRule type="expression" priority="7370" id="{09C2ADFB-22E2-49DB-BC6C-AE555D34F05D}">
            <xm:f>AND(IF(AE308&gt;'F:\Users\norela.briceno\Documents\Plan de acción\Plan Accion 2018\[Plan Accion Integrado ADRES Vigencia 2018 con Cuadro de Mando V6..xlsx]Plan de Accion 2018'!#REF!,AE308&lt;&gt;¨N/A¨))</xm:f>
            <x14:dxf>
              <fill>
                <patternFill>
                  <bgColor theme="1" tint="0.499984740745262"/>
                </patternFill>
              </fill>
            </x14:dxf>
          </x14:cfRule>
          <x14:cfRule type="expression" priority="7371" stopIfTrue="1" id="{4C8411B6-CE7D-484A-A72C-A1E94A39835B}">
            <xm:f>AND(IF(AE308='F:\Users\norela.briceno\Documents\Plan de acción\Plan Accion 2018\[Plan Accion Integrado ADRES Vigencia 2018 con Cuadro de Mando V6..xlsx]Plan de Accion 2018'!#REF!,AE308&lt;&gt;"N/A"))</xm:f>
            <x14:dxf>
              <fill>
                <patternFill>
                  <bgColor rgb="FF00B050"/>
                </patternFill>
              </fill>
            </x14:dxf>
          </x14:cfRule>
          <x14:cfRule type="expression" priority="7372" stopIfTrue="1" id="{5018CC45-F89F-4D84-8C4C-943AE96FA55F}">
            <xm:f>AND(IF(AE308&lt;'F:\Users\norela.briceno\Documents\Plan de acción\Plan Accion 2018\[Plan Accion Integrado ADRES Vigencia 2018 con Cuadro de Mando V6..xlsx]Plan de Accion 2018'!#REF!,AE308&lt;&gt;"N/A"))</xm:f>
            <x14:dxf>
              <fill>
                <patternFill>
                  <bgColor indexed="10"/>
                </patternFill>
              </fill>
            </x14:dxf>
          </x14:cfRule>
          <xm:sqref>AE308</xm:sqref>
        </x14:conditionalFormatting>
        <x14:conditionalFormatting xmlns:xm="http://schemas.microsoft.com/office/excel/2006/main">
          <x14:cfRule type="expression" priority="7367" id="{07720643-099B-4FF6-8694-4D979C261F3B}">
            <xm:f>AND(IF(AE307&gt;'F:\Users\norela.briceno\Documents\Plan de acción\Plan Accion 2018\[Plan Accion Integrado ADRES Vigencia 2018 con Cuadro de Mando V6..xlsx]Plan de Accion 2018'!#REF!,AE307&lt;&gt;¨N/A¨))</xm:f>
            <x14:dxf>
              <fill>
                <patternFill>
                  <bgColor theme="1" tint="0.499984740745262"/>
                </patternFill>
              </fill>
            </x14:dxf>
          </x14:cfRule>
          <x14:cfRule type="expression" priority="7368" stopIfTrue="1" id="{17B58746-6670-4EAC-A44B-D6EED0754B22}">
            <xm:f>AND(IF(AE307='F:\Users\norela.briceno\Documents\Plan de acción\Plan Accion 2018\[Plan Accion Integrado ADRES Vigencia 2018 con Cuadro de Mando V6..xlsx]Plan de Accion 2018'!#REF!,AE307&lt;&gt;"N/A"))</xm:f>
            <x14:dxf>
              <fill>
                <patternFill>
                  <bgColor rgb="FF00B050"/>
                </patternFill>
              </fill>
            </x14:dxf>
          </x14:cfRule>
          <x14:cfRule type="expression" priority="7369" stopIfTrue="1" id="{5EC371A8-4971-4C16-9552-8A988D2EB007}">
            <xm:f>AND(IF(AE307&lt;'F:\Users\norela.briceno\Documents\Plan de acción\Plan Accion 2018\[Plan Accion Integrado ADRES Vigencia 2018 con Cuadro de Mando V6..xlsx]Plan de Accion 2018'!#REF!,AE307&lt;&gt;"N/A"))</xm:f>
            <x14:dxf>
              <fill>
                <patternFill>
                  <bgColor indexed="10"/>
                </patternFill>
              </fill>
            </x14:dxf>
          </x14:cfRule>
          <xm:sqref>AE307</xm:sqref>
        </x14:conditionalFormatting>
        <x14:conditionalFormatting xmlns:xm="http://schemas.microsoft.com/office/excel/2006/main">
          <x14:cfRule type="expression" priority="7364" id="{DFDA1C78-DBAA-496A-A02D-CEDFB31BC006}">
            <xm:f>AND(IF(AE306&gt;'F:\Users\norela.briceno\Documents\Plan de acción\Plan Accion 2018\[Plan Accion Integrado ADRES Vigencia 2018 con Cuadro de Mando V6..xlsx]Plan de Accion 2018'!#REF!,AE306&lt;&gt;¨N/A¨))</xm:f>
            <x14:dxf>
              <fill>
                <patternFill>
                  <bgColor theme="1" tint="0.499984740745262"/>
                </patternFill>
              </fill>
            </x14:dxf>
          </x14:cfRule>
          <x14:cfRule type="expression" priority="7365" stopIfTrue="1" id="{CAE3B717-A80C-4658-A496-CC015C0D02CB}">
            <xm:f>AND(IF(AE306='F:\Users\norela.briceno\Documents\Plan de acción\Plan Accion 2018\[Plan Accion Integrado ADRES Vigencia 2018 con Cuadro de Mando V6..xlsx]Plan de Accion 2018'!#REF!,AE306&lt;&gt;"N/A"))</xm:f>
            <x14:dxf>
              <fill>
                <patternFill>
                  <bgColor rgb="FF00B050"/>
                </patternFill>
              </fill>
            </x14:dxf>
          </x14:cfRule>
          <x14:cfRule type="expression" priority="7366" stopIfTrue="1" id="{D662A534-6794-4414-8BB4-847E4E11470E}">
            <xm:f>AND(IF(AE306&lt;'F:\Users\norela.briceno\Documents\Plan de acción\Plan Accion 2018\[Plan Accion Integrado ADRES Vigencia 2018 con Cuadro de Mando V6..xlsx]Plan de Accion 2018'!#REF!,AE306&lt;&gt;"N/A"))</xm:f>
            <x14:dxf>
              <fill>
                <patternFill>
                  <bgColor indexed="10"/>
                </patternFill>
              </fill>
            </x14:dxf>
          </x14:cfRule>
          <xm:sqref>AE306</xm:sqref>
        </x14:conditionalFormatting>
        <x14:conditionalFormatting xmlns:xm="http://schemas.microsoft.com/office/excel/2006/main">
          <x14:cfRule type="expression" priority="7358" id="{DC4F388D-98C9-4C56-AAD0-D2D02864BE76}">
            <xm:f>AND(IF(AE302&gt;'F:\Users\norela.briceno\Documents\Plan de acción\Plan Accion 2018\[Plan Accion Integrado ADRES Vigencia 2018 con Cuadro de Mando V6..xlsx]Plan de Accion 2018'!#REF!,AE302&lt;&gt;¨N/A¨))</xm:f>
            <x14:dxf>
              <fill>
                <patternFill>
                  <bgColor theme="1" tint="0.499984740745262"/>
                </patternFill>
              </fill>
            </x14:dxf>
          </x14:cfRule>
          <x14:cfRule type="expression" priority="7359" stopIfTrue="1" id="{5A940AE0-BF0C-4917-99B8-D0510363A0FF}">
            <xm:f>AND(IF(AE302='F:\Users\norela.briceno\Documents\Plan de acción\Plan Accion 2018\[Plan Accion Integrado ADRES Vigencia 2018 con Cuadro de Mando V6..xlsx]Plan de Accion 2018'!#REF!,AE302&lt;&gt;"N/A"))</xm:f>
            <x14:dxf>
              <fill>
                <patternFill>
                  <bgColor rgb="FF00B050"/>
                </patternFill>
              </fill>
            </x14:dxf>
          </x14:cfRule>
          <x14:cfRule type="expression" priority="7360" stopIfTrue="1" id="{8FDE0A0F-2F18-4BB5-ADFA-FD670070B235}">
            <xm:f>AND(IF(AE302&lt;'F:\Users\norela.briceno\Documents\Plan de acción\Plan Accion 2018\[Plan Accion Integrado ADRES Vigencia 2018 con Cuadro de Mando V6..xlsx]Plan de Accion 2018'!#REF!,AE302&lt;&gt;"N/A"))</xm:f>
            <x14:dxf>
              <fill>
                <patternFill>
                  <bgColor indexed="10"/>
                </patternFill>
              </fill>
            </x14:dxf>
          </x14:cfRule>
          <xm:sqref>AE302</xm:sqref>
        </x14:conditionalFormatting>
        <x14:conditionalFormatting xmlns:xm="http://schemas.microsoft.com/office/excel/2006/main">
          <x14:cfRule type="expression" priority="7355" id="{1740B5C5-9F90-42DB-AAD2-9A764985B544}">
            <xm:f>AND(IF(AE300&gt;'F:\Users\norela.briceno\Documents\Plan de acción\Plan Accion 2018\[Plan Accion Integrado ADRES Vigencia 2018 con Cuadro de Mando V6..xlsx]Plan de Accion 2018'!#REF!,AE300&lt;&gt;¨N/A¨))</xm:f>
            <x14:dxf>
              <fill>
                <patternFill>
                  <bgColor theme="1" tint="0.499984740745262"/>
                </patternFill>
              </fill>
            </x14:dxf>
          </x14:cfRule>
          <x14:cfRule type="expression" priority="7356" stopIfTrue="1" id="{2EC59945-B7EB-4B28-98B4-2D5ADAED94D2}">
            <xm:f>AND(IF(AE300='F:\Users\norela.briceno\Documents\Plan de acción\Plan Accion 2018\[Plan Accion Integrado ADRES Vigencia 2018 con Cuadro de Mando V6..xlsx]Plan de Accion 2018'!#REF!,AE300&lt;&gt;"N/A"))</xm:f>
            <x14:dxf>
              <fill>
                <patternFill>
                  <bgColor rgb="FF00B050"/>
                </patternFill>
              </fill>
            </x14:dxf>
          </x14:cfRule>
          <x14:cfRule type="expression" priority="7357" stopIfTrue="1" id="{EFF70493-3E39-4164-98F2-96FB3E9448DB}">
            <xm:f>AND(IF(AE300&lt;'F:\Users\norela.briceno\Documents\Plan de acción\Plan Accion 2018\[Plan Accion Integrado ADRES Vigencia 2018 con Cuadro de Mando V6..xlsx]Plan de Accion 2018'!#REF!,AE300&lt;&gt;"N/A"))</xm:f>
            <x14:dxf>
              <fill>
                <patternFill>
                  <bgColor indexed="10"/>
                </patternFill>
              </fill>
            </x14:dxf>
          </x14:cfRule>
          <xm:sqref>AE300</xm:sqref>
        </x14:conditionalFormatting>
        <x14:conditionalFormatting xmlns:xm="http://schemas.microsoft.com/office/excel/2006/main">
          <x14:cfRule type="expression" priority="7352" id="{FA9FE018-C915-4292-97F4-55FFB1DE4021}">
            <xm:f>AND(IF(AE299&gt;'F:\Users\norela.briceno\Documents\Plan de acción\Plan Accion 2018\[Plan Accion Integrado ADRES Vigencia 2018 con Cuadro de Mando V6..xlsx]Plan de Accion 2018'!#REF!,AE299&lt;&gt;¨N/A¨))</xm:f>
            <x14:dxf>
              <fill>
                <patternFill>
                  <bgColor theme="1" tint="0.499984740745262"/>
                </patternFill>
              </fill>
            </x14:dxf>
          </x14:cfRule>
          <x14:cfRule type="expression" priority="7353" stopIfTrue="1" id="{94A6F6B2-1687-496A-9C90-ED61BE78C9C3}">
            <xm:f>AND(IF(AE299='F:\Users\norela.briceno\Documents\Plan de acción\Plan Accion 2018\[Plan Accion Integrado ADRES Vigencia 2018 con Cuadro de Mando V6..xlsx]Plan de Accion 2018'!#REF!,AE299&lt;&gt;"N/A"))</xm:f>
            <x14:dxf>
              <fill>
                <patternFill>
                  <bgColor rgb="FF00B050"/>
                </patternFill>
              </fill>
            </x14:dxf>
          </x14:cfRule>
          <x14:cfRule type="expression" priority="7354" stopIfTrue="1" id="{DD6C0072-27FD-4B93-8792-E0A706D8DFCF}">
            <xm:f>AND(IF(AE299&lt;'F:\Users\norela.briceno\Documents\Plan de acción\Plan Accion 2018\[Plan Accion Integrado ADRES Vigencia 2018 con Cuadro de Mando V6..xlsx]Plan de Accion 2018'!#REF!,AE299&lt;&gt;"N/A"))</xm:f>
            <x14:dxf>
              <fill>
                <patternFill>
                  <bgColor indexed="10"/>
                </patternFill>
              </fill>
            </x14:dxf>
          </x14:cfRule>
          <xm:sqref>AE299</xm:sqref>
        </x14:conditionalFormatting>
        <x14:conditionalFormatting xmlns:xm="http://schemas.microsoft.com/office/excel/2006/main">
          <x14:cfRule type="expression" priority="7349" id="{8401464E-B838-4C21-A231-C9BE97E42FA7}">
            <xm:f>AND(IF(AE298&gt;'F:\Users\norela.briceno\Documents\Plan de acción\Plan Accion 2018\[Plan Accion Integrado ADRES Vigencia 2018 con Cuadro de Mando V6..xlsx]Plan de Accion 2018'!#REF!,AE298&lt;&gt;¨N/A¨))</xm:f>
            <x14:dxf>
              <fill>
                <patternFill>
                  <bgColor theme="1" tint="0.499984740745262"/>
                </patternFill>
              </fill>
            </x14:dxf>
          </x14:cfRule>
          <x14:cfRule type="expression" priority="7350" stopIfTrue="1" id="{CA013279-4108-4B52-BB77-5B558F98F56D}">
            <xm:f>AND(IF(AE298='F:\Users\norela.briceno\Documents\Plan de acción\Plan Accion 2018\[Plan Accion Integrado ADRES Vigencia 2018 con Cuadro de Mando V6..xlsx]Plan de Accion 2018'!#REF!,AE298&lt;&gt;"N/A"))</xm:f>
            <x14:dxf>
              <fill>
                <patternFill>
                  <bgColor rgb="FF00B050"/>
                </patternFill>
              </fill>
            </x14:dxf>
          </x14:cfRule>
          <x14:cfRule type="expression" priority="7351" stopIfTrue="1" id="{7B3B5FCB-F61D-4FD6-8AA2-ADF26AC730F2}">
            <xm:f>AND(IF(AE298&lt;'F:\Users\norela.briceno\Documents\Plan de acción\Plan Accion 2018\[Plan Accion Integrado ADRES Vigencia 2018 con Cuadro de Mando V6..xlsx]Plan de Accion 2018'!#REF!,AE298&lt;&gt;"N/A"))</xm:f>
            <x14:dxf>
              <fill>
                <patternFill>
                  <bgColor indexed="10"/>
                </patternFill>
              </fill>
            </x14:dxf>
          </x14:cfRule>
          <xm:sqref>AE298</xm:sqref>
        </x14:conditionalFormatting>
        <x14:conditionalFormatting xmlns:xm="http://schemas.microsoft.com/office/excel/2006/main">
          <x14:cfRule type="expression" priority="7346" id="{31F75AC6-3367-4518-B427-9D01C1E8EFDB}">
            <xm:f>AND(IF(AE295&gt;'F:\Users\norela.briceno\Documents\Plan de acción\Plan Accion 2018\[Plan Accion Integrado ADRES Vigencia 2018 con Cuadro de Mando V6..xlsx]Plan de Accion 2018'!#REF!,AE295&lt;&gt;¨N/A¨))</xm:f>
            <x14:dxf>
              <fill>
                <patternFill>
                  <bgColor theme="1" tint="0.499984740745262"/>
                </patternFill>
              </fill>
            </x14:dxf>
          </x14:cfRule>
          <x14:cfRule type="expression" priority="7347" stopIfTrue="1" id="{4BABB27F-5BFD-423A-9F98-3BF0B63CCF5C}">
            <xm:f>AND(IF(AE295='F:\Users\norela.briceno\Documents\Plan de acción\Plan Accion 2018\[Plan Accion Integrado ADRES Vigencia 2018 con Cuadro de Mando V6..xlsx]Plan de Accion 2018'!#REF!,AE295&lt;&gt;"N/A"))</xm:f>
            <x14:dxf>
              <fill>
                <patternFill>
                  <bgColor rgb="FF00B050"/>
                </patternFill>
              </fill>
            </x14:dxf>
          </x14:cfRule>
          <x14:cfRule type="expression" priority="7348" stopIfTrue="1" id="{DB437727-3216-43D5-B17C-D02A65888FF5}">
            <xm:f>AND(IF(AE295&lt;'F:\Users\norela.briceno\Documents\Plan de acción\Plan Accion 2018\[Plan Accion Integrado ADRES Vigencia 2018 con Cuadro de Mando V6..xlsx]Plan de Accion 2018'!#REF!,AE295&lt;&gt;"N/A"))</xm:f>
            <x14:dxf>
              <fill>
                <patternFill>
                  <bgColor indexed="10"/>
                </patternFill>
              </fill>
            </x14:dxf>
          </x14:cfRule>
          <xm:sqref>AE295</xm:sqref>
        </x14:conditionalFormatting>
        <x14:conditionalFormatting xmlns:xm="http://schemas.microsoft.com/office/excel/2006/main">
          <x14:cfRule type="expression" priority="7343" id="{42E95F42-C894-4C72-9CF5-F61A85D7D510}">
            <xm:f>AND(IF(AE294&gt;'F:\Users\norela.briceno\Documents\Plan de acción\Plan Accion 2018\[Plan Accion Integrado ADRES Vigencia 2018 con Cuadro de Mando V6..xlsx]Plan de Accion 2018'!#REF!,AE294&lt;&gt;¨N/A¨))</xm:f>
            <x14:dxf>
              <fill>
                <patternFill>
                  <bgColor theme="1" tint="0.499984740745262"/>
                </patternFill>
              </fill>
            </x14:dxf>
          </x14:cfRule>
          <x14:cfRule type="expression" priority="7344" stopIfTrue="1" id="{E1EEBB83-DD77-45F1-B1BF-1A121A36EE9F}">
            <xm:f>AND(IF(AE294='F:\Users\norela.briceno\Documents\Plan de acción\Plan Accion 2018\[Plan Accion Integrado ADRES Vigencia 2018 con Cuadro de Mando V6..xlsx]Plan de Accion 2018'!#REF!,AE294&lt;&gt;"N/A"))</xm:f>
            <x14:dxf>
              <fill>
                <patternFill>
                  <bgColor rgb="FF00B050"/>
                </patternFill>
              </fill>
            </x14:dxf>
          </x14:cfRule>
          <x14:cfRule type="expression" priority="7345" stopIfTrue="1" id="{BBC2DAF0-E398-4A86-8968-416E97909E30}">
            <xm:f>AND(IF(AE294&lt;'F:\Users\norela.briceno\Documents\Plan de acción\Plan Accion 2018\[Plan Accion Integrado ADRES Vigencia 2018 con Cuadro de Mando V6..xlsx]Plan de Accion 2018'!#REF!,AE294&lt;&gt;"N/A"))</xm:f>
            <x14:dxf>
              <fill>
                <patternFill>
                  <bgColor indexed="10"/>
                </patternFill>
              </fill>
            </x14:dxf>
          </x14:cfRule>
          <xm:sqref>AE294</xm:sqref>
        </x14:conditionalFormatting>
        <x14:conditionalFormatting xmlns:xm="http://schemas.microsoft.com/office/excel/2006/main">
          <x14:cfRule type="expression" priority="7340" id="{4457E1AC-F74E-479F-A7EF-8B9C32F49426}">
            <xm:f>AND(IF(AE293&gt;'F:\Users\norela.briceno\Documents\Plan de acción\Plan Accion 2018\[Plan Accion Integrado ADRES Vigencia 2018 con Cuadro de Mando V6..xlsx]Plan de Accion 2018'!#REF!,AE293&lt;&gt;¨N/A¨))</xm:f>
            <x14:dxf>
              <fill>
                <patternFill>
                  <bgColor theme="1" tint="0.499984740745262"/>
                </patternFill>
              </fill>
            </x14:dxf>
          </x14:cfRule>
          <x14:cfRule type="expression" priority="7341" stopIfTrue="1" id="{DBF395F6-F36E-4097-87E6-3DCC0E4F6AA7}">
            <xm:f>AND(IF(AE293='F:\Users\norela.briceno\Documents\Plan de acción\Plan Accion 2018\[Plan Accion Integrado ADRES Vigencia 2018 con Cuadro de Mando V6..xlsx]Plan de Accion 2018'!#REF!,AE293&lt;&gt;"N/A"))</xm:f>
            <x14:dxf>
              <fill>
                <patternFill>
                  <bgColor rgb="FF00B050"/>
                </patternFill>
              </fill>
            </x14:dxf>
          </x14:cfRule>
          <x14:cfRule type="expression" priority="7342" stopIfTrue="1" id="{5B272B91-4339-41FA-A447-9D1D8DCC51C2}">
            <xm:f>AND(IF(AE293&lt;'F:\Users\norela.briceno\Documents\Plan de acción\Plan Accion 2018\[Plan Accion Integrado ADRES Vigencia 2018 con Cuadro de Mando V6..xlsx]Plan de Accion 2018'!#REF!,AE293&lt;&gt;"N/A"))</xm:f>
            <x14:dxf>
              <fill>
                <patternFill>
                  <bgColor indexed="10"/>
                </patternFill>
              </fill>
            </x14:dxf>
          </x14:cfRule>
          <xm:sqref>AE293</xm:sqref>
        </x14:conditionalFormatting>
        <x14:conditionalFormatting xmlns:xm="http://schemas.microsoft.com/office/excel/2006/main">
          <x14:cfRule type="expression" priority="7337" id="{F56E2422-C099-4CD6-A9CE-EE1E9A2DC248}">
            <xm:f>AND(IF(AE292&gt;'F:\Users\norela.briceno\Documents\Plan de acción\Plan Accion 2018\[Plan Accion Integrado ADRES Vigencia 2018 con Cuadro de Mando V6..xlsx]Plan de Accion 2018'!#REF!,AE292&lt;&gt;¨N/A¨))</xm:f>
            <x14:dxf>
              <fill>
                <patternFill>
                  <bgColor theme="1" tint="0.499984740745262"/>
                </patternFill>
              </fill>
            </x14:dxf>
          </x14:cfRule>
          <x14:cfRule type="expression" priority="7338" stopIfTrue="1" id="{7038D0B1-95D7-4C3D-AFC3-5EB2A44E3512}">
            <xm:f>AND(IF(AE292='F:\Users\norela.briceno\Documents\Plan de acción\Plan Accion 2018\[Plan Accion Integrado ADRES Vigencia 2018 con Cuadro de Mando V6..xlsx]Plan de Accion 2018'!#REF!,AE292&lt;&gt;"N/A"))</xm:f>
            <x14:dxf>
              <fill>
                <patternFill>
                  <bgColor rgb="FF00B050"/>
                </patternFill>
              </fill>
            </x14:dxf>
          </x14:cfRule>
          <x14:cfRule type="expression" priority="7339" stopIfTrue="1" id="{BB0B57B6-EAFB-4A59-B64E-F7A45F1FBD36}">
            <xm:f>AND(IF(AE292&lt;'F:\Users\norela.briceno\Documents\Plan de acción\Plan Accion 2018\[Plan Accion Integrado ADRES Vigencia 2018 con Cuadro de Mando V6..xlsx]Plan de Accion 2018'!#REF!,AE292&lt;&gt;"N/A"))</xm:f>
            <x14:dxf>
              <fill>
                <patternFill>
                  <bgColor indexed="10"/>
                </patternFill>
              </fill>
            </x14:dxf>
          </x14:cfRule>
          <xm:sqref>AE292</xm:sqref>
        </x14:conditionalFormatting>
        <x14:conditionalFormatting xmlns:xm="http://schemas.microsoft.com/office/excel/2006/main">
          <x14:cfRule type="expression" priority="7334" id="{05AC99D1-A095-4C1E-A976-E1173F5BB00C}">
            <xm:f>AND(IF(AE289&gt;'F:\Users\norela.briceno\Documents\Plan de acción\Plan Accion 2018\[Plan Accion Integrado ADRES Vigencia 2018 con Cuadro de Mando V6..xlsx]Plan de Accion 2018'!#REF!,AE289&lt;&gt;¨N/A¨))</xm:f>
            <x14:dxf>
              <fill>
                <patternFill>
                  <bgColor theme="1" tint="0.499984740745262"/>
                </patternFill>
              </fill>
            </x14:dxf>
          </x14:cfRule>
          <x14:cfRule type="expression" priority="7335" stopIfTrue="1" id="{1CE5408B-0D56-4EDE-BCD9-81952F112522}">
            <xm:f>AND(IF(AE289='F:\Users\norela.briceno\Documents\Plan de acción\Plan Accion 2018\[Plan Accion Integrado ADRES Vigencia 2018 con Cuadro de Mando V6..xlsx]Plan de Accion 2018'!#REF!,AE289&lt;&gt;"N/A"))</xm:f>
            <x14:dxf>
              <fill>
                <patternFill>
                  <bgColor rgb="FF00B050"/>
                </patternFill>
              </fill>
            </x14:dxf>
          </x14:cfRule>
          <x14:cfRule type="expression" priority="7336" stopIfTrue="1" id="{EA0E26B0-54A7-49D3-86CA-0C19E6129362}">
            <xm:f>AND(IF(AE289&lt;'F:\Users\norela.briceno\Documents\Plan de acción\Plan Accion 2018\[Plan Accion Integrado ADRES Vigencia 2018 con Cuadro de Mando V6..xlsx]Plan de Accion 2018'!#REF!,AE289&lt;&gt;"N/A"))</xm:f>
            <x14:dxf>
              <fill>
                <patternFill>
                  <bgColor indexed="10"/>
                </patternFill>
              </fill>
            </x14:dxf>
          </x14:cfRule>
          <xm:sqref>AE289</xm:sqref>
        </x14:conditionalFormatting>
        <x14:conditionalFormatting xmlns:xm="http://schemas.microsoft.com/office/excel/2006/main">
          <x14:cfRule type="expression" priority="7331" id="{BC49D2F4-5D6F-480A-8D0A-29CA9555ACBF}">
            <xm:f>AND(IF(AE282&gt;'F:\Users\norela.briceno\Documents\Plan de acción\Plan Accion 2018\[Plan Accion Integrado ADRES Vigencia 2018 con Cuadro de Mando V6..xlsx]Plan de Accion 2018'!#REF!,AE282&lt;&gt;¨N/A¨))</xm:f>
            <x14:dxf>
              <fill>
                <patternFill>
                  <bgColor theme="1" tint="0.499984740745262"/>
                </patternFill>
              </fill>
            </x14:dxf>
          </x14:cfRule>
          <x14:cfRule type="expression" priority="7332" stopIfTrue="1" id="{41E870BC-AD4A-489D-8C0E-667D58A4200C}">
            <xm:f>AND(IF(AE282='F:\Users\norela.briceno\Documents\Plan de acción\Plan Accion 2018\[Plan Accion Integrado ADRES Vigencia 2018 con Cuadro de Mando V6..xlsx]Plan de Accion 2018'!#REF!,AE282&lt;&gt;"N/A"))</xm:f>
            <x14:dxf>
              <fill>
                <patternFill>
                  <bgColor rgb="FF00B050"/>
                </patternFill>
              </fill>
            </x14:dxf>
          </x14:cfRule>
          <x14:cfRule type="expression" priority="7333" stopIfTrue="1" id="{7454B5D8-3F7E-43E7-B1A5-771CA9D3E280}">
            <xm:f>AND(IF(AE282&lt;'F:\Users\norela.briceno\Documents\Plan de acción\Plan Accion 2018\[Plan Accion Integrado ADRES Vigencia 2018 con Cuadro de Mando V6..xlsx]Plan de Accion 2018'!#REF!,AE282&lt;&gt;"N/A"))</xm:f>
            <x14:dxf>
              <fill>
                <patternFill>
                  <bgColor indexed="10"/>
                </patternFill>
              </fill>
            </x14:dxf>
          </x14:cfRule>
          <xm:sqref>AE282</xm:sqref>
        </x14:conditionalFormatting>
        <x14:conditionalFormatting xmlns:xm="http://schemas.microsoft.com/office/excel/2006/main">
          <x14:cfRule type="expression" priority="7328" id="{BBB6AECA-4271-44FA-AFF6-0A914C6AA4C8}">
            <xm:f>AND(IF(AE281&gt;'F:\Users\norela.briceno\Documents\Plan de acción\Plan Accion 2018\[Plan Accion Integrado ADRES Vigencia 2018 con Cuadro de Mando V6..xlsx]Plan de Accion 2018'!#REF!,AE281&lt;&gt;¨N/A¨))</xm:f>
            <x14:dxf>
              <fill>
                <patternFill>
                  <bgColor theme="1" tint="0.499984740745262"/>
                </patternFill>
              </fill>
            </x14:dxf>
          </x14:cfRule>
          <x14:cfRule type="expression" priority="7329" stopIfTrue="1" id="{86271A0F-CCAA-49E4-9034-1B2A242D6B07}">
            <xm:f>AND(IF(AE281='F:\Users\norela.briceno\Documents\Plan de acción\Plan Accion 2018\[Plan Accion Integrado ADRES Vigencia 2018 con Cuadro de Mando V6..xlsx]Plan de Accion 2018'!#REF!,AE281&lt;&gt;"N/A"))</xm:f>
            <x14:dxf>
              <fill>
                <patternFill>
                  <bgColor rgb="FF00B050"/>
                </patternFill>
              </fill>
            </x14:dxf>
          </x14:cfRule>
          <x14:cfRule type="expression" priority="7330" stopIfTrue="1" id="{8E518EE7-2652-46F5-8A39-46E9BDCBF599}">
            <xm:f>AND(IF(AE281&lt;'F:\Users\norela.briceno\Documents\Plan de acción\Plan Accion 2018\[Plan Accion Integrado ADRES Vigencia 2018 con Cuadro de Mando V6..xlsx]Plan de Accion 2018'!#REF!,AE281&lt;&gt;"N/A"))</xm:f>
            <x14:dxf>
              <fill>
                <patternFill>
                  <bgColor indexed="10"/>
                </patternFill>
              </fill>
            </x14:dxf>
          </x14:cfRule>
          <xm:sqref>AE281</xm:sqref>
        </x14:conditionalFormatting>
        <x14:conditionalFormatting xmlns:xm="http://schemas.microsoft.com/office/excel/2006/main">
          <x14:cfRule type="expression" priority="7325" id="{9E2D4E4F-B718-42CC-9D50-D13AEFD2DCD0}">
            <xm:f>AND(IF(AE280&gt;'F:\Users\norela.briceno\Documents\Plan de acción\Plan Accion 2018\[Plan Accion Integrado ADRES Vigencia 2018 con Cuadro de Mando V6..xlsx]Plan de Accion 2018'!#REF!,AE280&lt;&gt;¨N/A¨))</xm:f>
            <x14:dxf>
              <fill>
                <patternFill>
                  <bgColor theme="1" tint="0.499984740745262"/>
                </patternFill>
              </fill>
            </x14:dxf>
          </x14:cfRule>
          <x14:cfRule type="expression" priority="7326" stopIfTrue="1" id="{3C46F653-A01B-4E2A-A840-8147AFF49C8A}">
            <xm:f>AND(IF(AE280='F:\Users\norela.briceno\Documents\Plan de acción\Plan Accion 2018\[Plan Accion Integrado ADRES Vigencia 2018 con Cuadro de Mando V6..xlsx]Plan de Accion 2018'!#REF!,AE280&lt;&gt;"N/A"))</xm:f>
            <x14:dxf>
              <fill>
                <patternFill>
                  <bgColor rgb="FF00B050"/>
                </patternFill>
              </fill>
            </x14:dxf>
          </x14:cfRule>
          <x14:cfRule type="expression" priority="7327" stopIfTrue="1" id="{C2AB9964-EB24-40A6-9E36-9CCE2CDAB924}">
            <xm:f>AND(IF(AE280&lt;'F:\Users\norela.briceno\Documents\Plan de acción\Plan Accion 2018\[Plan Accion Integrado ADRES Vigencia 2018 con Cuadro de Mando V6..xlsx]Plan de Accion 2018'!#REF!,AE280&lt;&gt;"N/A"))</xm:f>
            <x14:dxf>
              <fill>
                <patternFill>
                  <bgColor indexed="10"/>
                </patternFill>
              </fill>
            </x14:dxf>
          </x14:cfRule>
          <xm:sqref>AE280</xm:sqref>
        </x14:conditionalFormatting>
        <x14:conditionalFormatting xmlns:xm="http://schemas.microsoft.com/office/excel/2006/main">
          <x14:cfRule type="expression" priority="7322" id="{5D410DC7-2499-498D-AF4C-28D2C801D5B7}">
            <xm:f>AND(IF(AE279&gt;'F:\Users\norela.briceno\Documents\Plan de acción\Plan Accion 2018\[Plan Accion Integrado ADRES Vigencia 2018 con Cuadro de Mando V6..xlsx]Plan de Accion 2018'!#REF!,AE279&lt;&gt;¨N/A¨))</xm:f>
            <x14:dxf>
              <fill>
                <patternFill>
                  <bgColor theme="1" tint="0.499984740745262"/>
                </patternFill>
              </fill>
            </x14:dxf>
          </x14:cfRule>
          <x14:cfRule type="expression" priority="7323" stopIfTrue="1" id="{4120FE5E-E26A-4363-9669-43D25D2E588D}">
            <xm:f>AND(IF(AE279='F:\Users\norela.briceno\Documents\Plan de acción\Plan Accion 2018\[Plan Accion Integrado ADRES Vigencia 2018 con Cuadro de Mando V6..xlsx]Plan de Accion 2018'!#REF!,AE279&lt;&gt;"N/A"))</xm:f>
            <x14:dxf>
              <fill>
                <patternFill>
                  <bgColor rgb="FF00B050"/>
                </patternFill>
              </fill>
            </x14:dxf>
          </x14:cfRule>
          <x14:cfRule type="expression" priority="7324" stopIfTrue="1" id="{D440F070-B398-452B-8C2F-F0B4021F6AD2}">
            <xm:f>AND(IF(AE279&lt;'F:\Users\norela.briceno\Documents\Plan de acción\Plan Accion 2018\[Plan Accion Integrado ADRES Vigencia 2018 con Cuadro de Mando V6..xlsx]Plan de Accion 2018'!#REF!,AE279&lt;&gt;"N/A"))</xm:f>
            <x14:dxf>
              <fill>
                <patternFill>
                  <bgColor indexed="10"/>
                </patternFill>
              </fill>
            </x14:dxf>
          </x14:cfRule>
          <xm:sqref>AE279</xm:sqref>
        </x14:conditionalFormatting>
        <x14:conditionalFormatting xmlns:xm="http://schemas.microsoft.com/office/excel/2006/main">
          <x14:cfRule type="expression" priority="7319" id="{45AA729E-DF22-4843-963A-386C7A8B80C3}">
            <xm:f>AND(IF(AE278&gt;'F:\Users\norela.briceno\Documents\Plan de acción\Plan Accion 2018\[Plan Accion Integrado ADRES Vigencia 2018 con Cuadro de Mando V6..xlsx]Plan de Accion 2018'!#REF!,AE278&lt;&gt;¨N/A¨))</xm:f>
            <x14:dxf>
              <fill>
                <patternFill>
                  <bgColor theme="1" tint="0.499984740745262"/>
                </patternFill>
              </fill>
            </x14:dxf>
          </x14:cfRule>
          <x14:cfRule type="expression" priority="7320" stopIfTrue="1" id="{5B4E026F-FF28-4E02-A38F-46A7E5FAC68F}">
            <xm:f>AND(IF(AE278='F:\Users\norela.briceno\Documents\Plan de acción\Plan Accion 2018\[Plan Accion Integrado ADRES Vigencia 2018 con Cuadro de Mando V6..xlsx]Plan de Accion 2018'!#REF!,AE278&lt;&gt;"N/A"))</xm:f>
            <x14:dxf>
              <fill>
                <patternFill>
                  <bgColor rgb="FF00B050"/>
                </patternFill>
              </fill>
            </x14:dxf>
          </x14:cfRule>
          <x14:cfRule type="expression" priority="7321" stopIfTrue="1" id="{6FB16ED5-B027-42BA-A4C5-0145495BFD43}">
            <xm:f>AND(IF(AE278&lt;'F:\Users\norela.briceno\Documents\Plan de acción\Plan Accion 2018\[Plan Accion Integrado ADRES Vigencia 2018 con Cuadro de Mando V6..xlsx]Plan de Accion 2018'!#REF!,AE278&lt;&gt;"N/A"))</xm:f>
            <x14:dxf>
              <fill>
                <patternFill>
                  <bgColor indexed="10"/>
                </patternFill>
              </fill>
            </x14:dxf>
          </x14:cfRule>
          <xm:sqref>AE278</xm:sqref>
        </x14:conditionalFormatting>
        <x14:conditionalFormatting xmlns:xm="http://schemas.microsoft.com/office/excel/2006/main">
          <x14:cfRule type="expression" priority="7316" id="{4DBADC6D-4362-40C6-ABE2-B744343A4CCA}">
            <xm:f>AND(IF(AE277&gt;'F:\Users\norela.briceno\Documents\Plan de acción\Plan Accion 2018\[Plan Accion Integrado ADRES Vigencia 2018 con Cuadro de Mando V6..xlsx]Plan de Accion 2018'!#REF!,AE277&lt;&gt;¨N/A¨))</xm:f>
            <x14:dxf>
              <fill>
                <patternFill>
                  <bgColor theme="1" tint="0.499984740745262"/>
                </patternFill>
              </fill>
            </x14:dxf>
          </x14:cfRule>
          <x14:cfRule type="expression" priority="7317" stopIfTrue="1" id="{37911CE6-D5FB-4118-AEAE-C0439ADADA70}">
            <xm:f>AND(IF(AE277='F:\Users\norela.briceno\Documents\Plan de acción\Plan Accion 2018\[Plan Accion Integrado ADRES Vigencia 2018 con Cuadro de Mando V6..xlsx]Plan de Accion 2018'!#REF!,AE277&lt;&gt;"N/A"))</xm:f>
            <x14:dxf>
              <fill>
                <patternFill>
                  <bgColor rgb="FF00B050"/>
                </patternFill>
              </fill>
            </x14:dxf>
          </x14:cfRule>
          <x14:cfRule type="expression" priority="7318" stopIfTrue="1" id="{417761B7-1A95-4E40-8227-ECC6021B9C46}">
            <xm:f>AND(IF(AE277&lt;'F:\Users\norela.briceno\Documents\Plan de acción\Plan Accion 2018\[Plan Accion Integrado ADRES Vigencia 2018 con Cuadro de Mando V6..xlsx]Plan de Accion 2018'!#REF!,AE277&lt;&gt;"N/A"))</xm:f>
            <x14:dxf>
              <fill>
                <patternFill>
                  <bgColor indexed="10"/>
                </patternFill>
              </fill>
            </x14:dxf>
          </x14:cfRule>
          <xm:sqref>AE277</xm:sqref>
        </x14:conditionalFormatting>
        <x14:conditionalFormatting xmlns:xm="http://schemas.microsoft.com/office/excel/2006/main">
          <x14:cfRule type="expression" priority="7313" id="{FA12B589-978C-4FFD-92CF-DC7EBA705D5F}">
            <xm:f>AND(IF(AE276&gt;'F:\Users\norela.briceno\Documents\Plan de acción\Plan Accion 2018\[Plan Accion Integrado ADRES Vigencia 2018 con Cuadro de Mando V6..xlsx]Plan de Accion 2018'!#REF!,AE276&lt;&gt;¨N/A¨))</xm:f>
            <x14:dxf>
              <fill>
                <patternFill>
                  <bgColor theme="1" tint="0.499984740745262"/>
                </patternFill>
              </fill>
            </x14:dxf>
          </x14:cfRule>
          <x14:cfRule type="expression" priority="7314" stopIfTrue="1" id="{4C5E561A-786A-49C0-8EA7-6ABBED79DD21}">
            <xm:f>AND(IF(AE276='F:\Users\norela.briceno\Documents\Plan de acción\Plan Accion 2018\[Plan Accion Integrado ADRES Vigencia 2018 con Cuadro de Mando V6..xlsx]Plan de Accion 2018'!#REF!,AE276&lt;&gt;"N/A"))</xm:f>
            <x14:dxf>
              <fill>
                <patternFill>
                  <bgColor rgb="FF00B050"/>
                </patternFill>
              </fill>
            </x14:dxf>
          </x14:cfRule>
          <x14:cfRule type="expression" priority="7315" stopIfTrue="1" id="{401C5FB4-D04F-460F-B451-35AE9852EC63}">
            <xm:f>AND(IF(AE276&lt;'F:\Users\norela.briceno\Documents\Plan de acción\Plan Accion 2018\[Plan Accion Integrado ADRES Vigencia 2018 con Cuadro de Mando V6..xlsx]Plan de Accion 2018'!#REF!,AE276&lt;&gt;"N/A"))</xm:f>
            <x14:dxf>
              <fill>
                <patternFill>
                  <bgColor indexed="10"/>
                </patternFill>
              </fill>
            </x14:dxf>
          </x14:cfRule>
          <xm:sqref>AE276</xm:sqref>
        </x14:conditionalFormatting>
        <x14:conditionalFormatting xmlns:xm="http://schemas.microsoft.com/office/excel/2006/main">
          <x14:cfRule type="expression" priority="7310" id="{FED0B0AB-125B-40E0-A624-FDD1892022D8}">
            <xm:f>AND(IF(AE275&gt;'F:\Users\norela.briceno\Documents\Plan de acción\Plan Accion 2018\[Plan Accion Integrado ADRES Vigencia 2018 con Cuadro de Mando V6..xlsx]Plan de Accion 2018'!#REF!,AE275&lt;&gt;¨N/A¨))</xm:f>
            <x14:dxf>
              <fill>
                <patternFill>
                  <bgColor theme="1" tint="0.499984740745262"/>
                </patternFill>
              </fill>
            </x14:dxf>
          </x14:cfRule>
          <x14:cfRule type="expression" priority="7311" stopIfTrue="1" id="{466A001C-EC1A-4572-BA83-3AACCEE3FE60}">
            <xm:f>AND(IF(AE275='F:\Users\norela.briceno\Documents\Plan de acción\Plan Accion 2018\[Plan Accion Integrado ADRES Vigencia 2018 con Cuadro de Mando V6..xlsx]Plan de Accion 2018'!#REF!,AE275&lt;&gt;"N/A"))</xm:f>
            <x14:dxf>
              <fill>
                <patternFill>
                  <bgColor rgb="FF00B050"/>
                </patternFill>
              </fill>
            </x14:dxf>
          </x14:cfRule>
          <x14:cfRule type="expression" priority="7312" stopIfTrue="1" id="{F648779D-FD28-4305-8BE0-1EB418A5031E}">
            <xm:f>AND(IF(AE275&lt;'F:\Users\norela.briceno\Documents\Plan de acción\Plan Accion 2018\[Plan Accion Integrado ADRES Vigencia 2018 con Cuadro de Mando V6..xlsx]Plan de Accion 2018'!#REF!,AE275&lt;&gt;"N/A"))</xm:f>
            <x14:dxf>
              <fill>
                <patternFill>
                  <bgColor indexed="10"/>
                </patternFill>
              </fill>
            </x14:dxf>
          </x14:cfRule>
          <xm:sqref>AE275</xm:sqref>
        </x14:conditionalFormatting>
        <x14:conditionalFormatting xmlns:xm="http://schemas.microsoft.com/office/excel/2006/main">
          <x14:cfRule type="expression" priority="7307" id="{3C3FB487-065B-4A5B-BB7E-BBADEEB778C1}">
            <xm:f>AND(IF(AE274&gt;'F:\Users\norela.briceno\Documents\Plan de acción\Plan Accion 2018\[Plan Accion Integrado ADRES Vigencia 2018 con Cuadro de Mando V6..xlsx]Plan de Accion 2018'!#REF!,AE274&lt;&gt;¨N/A¨))</xm:f>
            <x14:dxf>
              <fill>
                <patternFill>
                  <bgColor theme="1" tint="0.499984740745262"/>
                </patternFill>
              </fill>
            </x14:dxf>
          </x14:cfRule>
          <x14:cfRule type="expression" priority="7308" stopIfTrue="1" id="{4AFC5DED-B564-4D7A-9561-6811EFAA303D}">
            <xm:f>AND(IF(AE274='F:\Users\norela.briceno\Documents\Plan de acción\Plan Accion 2018\[Plan Accion Integrado ADRES Vigencia 2018 con Cuadro de Mando V6..xlsx]Plan de Accion 2018'!#REF!,AE274&lt;&gt;"N/A"))</xm:f>
            <x14:dxf>
              <fill>
                <patternFill>
                  <bgColor rgb="FF00B050"/>
                </patternFill>
              </fill>
            </x14:dxf>
          </x14:cfRule>
          <x14:cfRule type="expression" priority="7309" stopIfTrue="1" id="{963F346B-FDE8-4F08-B3C5-032B4B8347FE}">
            <xm:f>AND(IF(AE274&lt;'F:\Users\norela.briceno\Documents\Plan de acción\Plan Accion 2018\[Plan Accion Integrado ADRES Vigencia 2018 con Cuadro de Mando V6..xlsx]Plan de Accion 2018'!#REF!,AE274&lt;&gt;"N/A"))</xm:f>
            <x14:dxf>
              <fill>
                <patternFill>
                  <bgColor indexed="10"/>
                </patternFill>
              </fill>
            </x14:dxf>
          </x14:cfRule>
          <xm:sqref>AE274</xm:sqref>
        </x14:conditionalFormatting>
        <x14:conditionalFormatting xmlns:xm="http://schemas.microsoft.com/office/excel/2006/main">
          <x14:cfRule type="expression" priority="7304" id="{3C4A4790-8545-4612-BA83-A496DAD3B3C4}">
            <xm:f>AND(IF(AE273&gt;'F:\Users\norela.briceno\Documents\Plan de acción\Plan Accion 2018\[Plan Accion Integrado ADRES Vigencia 2018 con Cuadro de Mando V6..xlsx]Plan de Accion 2018'!#REF!,AE273&lt;&gt;¨N/A¨))</xm:f>
            <x14:dxf>
              <fill>
                <patternFill>
                  <bgColor theme="1" tint="0.499984740745262"/>
                </patternFill>
              </fill>
            </x14:dxf>
          </x14:cfRule>
          <x14:cfRule type="expression" priority="7305" stopIfTrue="1" id="{A671419C-E632-44E6-AC5C-122E4B5691E8}">
            <xm:f>AND(IF(AE273='F:\Users\norela.briceno\Documents\Plan de acción\Plan Accion 2018\[Plan Accion Integrado ADRES Vigencia 2018 con Cuadro de Mando V6..xlsx]Plan de Accion 2018'!#REF!,AE273&lt;&gt;"N/A"))</xm:f>
            <x14:dxf>
              <fill>
                <patternFill>
                  <bgColor rgb="FF00B050"/>
                </patternFill>
              </fill>
            </x14:dxf>
          </x14:cfRule>
          <x14:cfRule type="expression" priority="7306" stopIfTrue="1" id="{304072BF-121F-4F97-92C7-6322C3152EC2}">
            <xm:f>AND(IF(AE273&lt;'F:\Users\norela.briceno\Documents\Plan de acción\Plan Accion 2018\[Plan Accion Integrado ADRES Vigencia 2018 con Cuadro de Mando V6..xlsx]Plan de Accion 2018'!#REF!,AE273&lt;&gt;"N/A"))</xm:f>
            <x14:dxf>
              <fill>
                <patternFill>
                  <bgColor indexed="10"/>
                </patternFill>
              </fill>
            </x14:dxf>
          </x14:cfRule>
          <xm:sqref>AE273</xm:sqref>
        </x14:conditionalFormatting>
        <x14:conditionalFormatting xmlns:xm="http://schemas.microsoft.com/office/excel/2006/main">
          <x14:cfRule type="expression" priority="7301" id="{FBB68EBE-E64C-44E5-B561-D41678B95015}">
            <xm:f>AND(IF(AE272&gt;'F:\Users\norela.briceno\Documents\Plan de acción\Plan Accion 2018\[Plan Accion Integrado ADRES Vigencia 2018 con Cuadro de Mando V6..xlsx]Plan de Accion 2018'!#REF!,AE272&lt;&gt;¨N/A¨))</xm:f>
            <x14:dxf>
              <fill>
                <patternFill>
                  <bgColor theme="1" tint="0.499984740745262"/>
                </patternFill>
              </fill>
            </x14:dxf>
          </x14:cfRule>
          <x14:cfRule type="expression" priority="7302" stopIfTrue="1" id="{238700FA-4FD7-4F84-BD7D-C364FDE73DD8}">
            <xm:f>AND(IF(AE272='F:\Users\norela.briceno\Documents\Plan de acción\Plan Accion 2018\[Plan Accion Integrado ADRES Vigencia 2018 con Cuadro de Mando V6..xlsx]Plan de Accion 2018'!#REF!,AE272&lt;&gt;"N/A"))</xm:f>
            <x14:dxf>
              <fill>
                <patternFill>
                  <bgColor rgb="FF00B050"/>
                </patternFill>
              </fill>
            </x14:dxf>
          </x14:cfRule>
          <x14:cfRule type="expression" priority="7303" stopIfTrue="1" id="{5FEA3D9A-308B-4205-A299-C9A296B49E05}">
            <xm:f>AND(IF(AE272&lt;'F:\Users\norela.briceno\Documents\Plan de acción\Plan Accion 2018\[Plan Accion Integrado ADRES Vigencia 2018 con Cuadro de Mando V6..xlsx]Plan de Accion 2018'!#REF!,AE272&lt;&gt;"N/A"))</xm:f>
            <x14:dxf>
              <fill>
                <patternFill>
                  <bgColor indexed="10"/>
                </patternFill>
              </fill>
            </x14:dxf>
          </x14:cfRule>
          <xm:sqref>AE272</xm:sqref>
        </x14:conditionalFormatting>
        <x14:conditionalFormatting xmlns:xm="http://schemas.microsoft.com/office/excel/2006/main">
          <x14:cfRule type="expression" priority="7298" id="{6EF972A0-5F0A-452B-B1C2-ACAF5CBD36BA}">
            <xm:f>AND(IF(AE271&gt;'F:\Users\norela.briceno\Documents\Plan de acción\Plan Accion 2018\[Plan Accion Integrado ADRES Vigencia 2018 con Cuadro de Mando V6..xlsx]Plan de Accion 2018'!#REF!,AE271&lt;&gt;¨N/A¨))</xm:f>
            <x14:dxf>
              <fill>
                <patternFill>
                  <bgColor theme="1" tint="0.499984740745262"/>
                </patternFill>
              </fill>
            </x14:dxf>
          </x14:cfRule>
          <x14:cfRule type="expression" priority="7299" stopIfTrue="1" id="{944534D5-4040-4284-BECA-0473C1CF0300}">
            <xm:f>AND(IF(AE271='F:\Users\norela.briceno\Documents\Plan de acción\Plan Accion 2018\[Plan Accion Integrado ADRES Vigencia 2018 con Cuadro de Mando V6..xlsx]Plan de Accion 2018'!#REF!,AE271&lt;&gt;"N/A"))</xm:f>
            <x14:dxf>
              <fill>
                <patternFill>
                  <bgColor rgb="FF00B050"/>
                </patternFill>
              </fill>
            </x14:dxf>
          </x14:cfRule>
          <x14:cfRule type="expression" priority="7300" stopIfTrue="1" id="{2285FA45-5B37-466A-92B9-E6964432F059}">
            <xm:f>AND(IF(AE271&lt;'F:\Users\norela.briceno\Documents\Plan de acción\Plan Accion 2018\[Plan Accion Integrado ADRES Vigencia 2018 con Cuadro de Mando V6..xlsx]Plan de Accion 2018'!#REF!,AE271&lt;&gt;"N/A"))</xm:f>
            <x14:dxf>
              <fill>
                <patternFill>
                  <bgColor indexed="10"/>
                </patternFill>
              </fill>
            </x14:dxf>
          </x14:cfRule>
          <xm:sqref>AE271</xm:sqref>
        </x14:conditionalFormatting>
        <x14:conditionalFormatting xmlns:xm="http://schemas.microsoft.com/office/excel/2006/main">
          <x14:cfRule type="expression" priority="7256" id="{7755B08B-E5EE-43A0-AD16-6A8D345271BC}">
            <xm:f>AND(IF(AE255&gt;'F:\Users\norela.briceno\Documents\Plan de acción\Plan Accion 2018\[Plan Accion Integrado ADRES Vigencia 2018 con Cuadro de Mando V6..xlsx]Plan de Accion 2018'!#REF!,AE255&lt;&gt;¨N/A¨))</xm:f>
            <x14:dxf>
              <fill>
                <patternFill>
                  <bgColor theme="1" tint="0.499984740745262"/>
                </patternFill>
              </fill>
            </x14:dxf>
          </x14:cfRule>
          <x14:cfRule type="expression" priority="7257" stopIfTrue="1" id="{F4962D14-BB39-454F-83C9-8A2F45EB7131}">
            <xm:f>AND(IF(AE255='F:\Users\norela.briceno\Documents\Plan de acción\Plan Accion 2018\[Plan Accion Integrado ADRES Vigencia 2018 con Cuadro de Mando V6..xlsx]Plan de Accion 2018'!#REF!,AE255&lt;&gt;"N/A"))</xm:f>
            <x14:dxf>
              <fill>
                <patternFill>
                  <bgColor rgb="FF00B050"/>
                </patternFill>
              </fill>
            </x14:dxf>
          </x14:cfRule>
          <x14:cfRule type="expression" priority="7258" stopIfTrue="1" id="{5847BCF9-4538-4549-BCCC-5379914565B3}">
            <xm:f>AND(IF(AE255&lt;'F:\Users\norela.briceno\Documents\Plan de acción\Plan Accion 2018\[Plan Accion Integrado ADRES Vigencia 2018 con Cuadro de Mando V6..xlsx]Plan de Accion 2018'!#REF!,AE255&lt;&gt;"N/A"))</xm:f>
            <x14:dxf>
              <fill>
                <patternFill>
                  <bgColor indexed="10"/>
                </patternFill>
              </fill>
            </x14:dxf>
          </x14:cfRule>
          <xm:sqref>AE255</xm:sqref>
        </x14:conditionalFormatting>
        <x14:conditionalFormatting xmlns:xm="http://schemas.microsoft.com/office/excel/2006/main">
          <x14:cfRule type="expression" priority="7292" id="{89E45651-21EF-45E0-AE81-39CB6B30C886}">
            <xm:f>AND(IF(AE268&gt;'F:\Users\norela.briceno\Documents\Plan de acción\Plan Accion 2018\[Plan Accion Integrado ADRES Vigencia 2018 con Cuadro de Mando V6..xlsx]Plan de Accion 2018'!#REF!,AE268&lt;&gt;¨N/A¨))</xm:f>
            <x14:dxf>
              <fill>
                <patternFill>
                  <bgColor theme="1" tint="0.499984740745262"/>
                </patternFill>
              </fill>
            </x14:dxf>
          </x14:cfRule>
          <x14:cfRule type="expression" priority="7293" stopIfTrue="1" id="{FF3CB142-1CAB-4F94-BA77-07FCD87CB445}">
            <xm:f>AND(IF(AE268='F:\Users\norela.briceno\Documents\Plan de acción\Plan Accion 2018\[Plan Accion Integrado ADRES Vigencia 2018 con Cuadro de Mando V6..xlsx]Plan de Accion 2018'!#REF!,AE268&lt;&gt;"N/A"))</xm:f>
            <x14:dxf>
              <fill>
                <patternFill>
                  <bgColor rgb="FF00B050"/>
                </patternFill>
              </fill>
            </x14:dxf>
          </x14:cfRule>
          <x14:cfRule type="expression" priority="7294" stopIfTrue="1" id="{10E0EB51-F132-4893-BBCC-83D2A482ACDB}">
            <xm:f>AND(IF(AE268&lt;'F:\Users\norela.briceno\Documents\Plan de acción\Plan Accion 2018\[Plan Accion Integrado ADRES Vigencia 2018 con Cuadro de Mando V6..xlsx]Plan de Accion 2018'!#REF!,AE268&lt;&gt;"N/A"))</xm:f>
            <x14:dxf>
              <fill>
                <patternFill>
                  <bgColor indexed="10"/>
                </patternFill>
              </fill>
            </x14:dxf>
          </x14:cfRule>
          <xm:sqref>AE268</xm:sqref>
        </x14:conditionalFormatting>
        <x14:conditionalFormatting xmlns:xm="http://schemas.microsoft.com/office/excel/2006/main">
          <x14:cfRule type="expression" priority="7289" id="{B6DF4A78-D332-4AC0-9BC5-87F948D25F34}">
            <xm:f>AND(IF(AE267&gt;'F:\Users\norela.briceno\Documents\Plan de acción\Plan Accion 2018\[Plan Accion Integrado ADRES Vigencia 2018 con Cuadro de Mando V6..xlsx]Plan de Accion 2018'!#REF!,AE267&lt;&gt;¨N/A¨))</xm:f>
            <x14:dxf>
              <fill>
                <patternFill>
                  <bgColor theme="1" tint="0.499984740745262"/>
                </patternFill>
              </fill>
            </x14:dxf>
          </x14:cfRule>
          <x14:cfRule type="expression" priority="7290" stopIfTrue="1" id="{66494202-FE49-479A-88BE-8BF471848B7B}">
            <xm:f>AND(IF(AE267='F:\Users\norela.briceno\Documents\Plan de acción\Plan Accion 2018\[Plan Accion Integrado ADRES Vigencia 2018 con Cuadro de Mando V6..xlsx]Plan de Accion 2018'!#REF!,AE267&lt;&gt;"N/A"))</xm:f>
            <x14:dxf>
              <fill>
                <patternFill>
                  <bgColor rgb="FF00B050"/>
                </patternFill>
              </fill>
            </x14:dxf>
          </x14:cfRule>
          <x14:cfRule type="expression" priority="7291" stopIfTrue="1" id="{7F0AAA63-1BA0-476B-B3E7-962E8488B5B1}">
            <xm:f>AND(IF(AE267&lt;'F:\Users\norela.briceno\Documents\Plan de acción\Plan Accion 2018\[Plan Accion Integrado ADRES Vigencia 2018 con Cuadro de Mando V6..xlsx]Plan de Accion 2018'!#REF!,AE267&lt;&gt;"N/A"))</xm:f>
            <x14:dxf>
              <fill>
                <patternFill>
                  <bgColor indexed="10"/>
                </patternFill>
              </fill>
            </x14:dxf>
          </x14:cfRule>
          <xm:sqref>AE267</xm:sqref>
        </x14:conditionalFormatting>
        <x14:conditionalFormatting xmlns:xm="http://schemas.microsoft.com/office/excel/2006/main">
          <x14:cfRule type="expression" priority="7286" id="{CDF46899-A5CB-4DAA-8756-34645A716040}">
            <xm:f>AND(IF(AE266&gt;'F:\Users\norela.briceno\Documents\Plan de acción\Plan Accion 2018\[Plan Accion Integrado ADRES Vigencia 2018 con Cuadro de Mando V6..xlsx]Plan de Accion 2018'!#REF!,AE266&lt;&gt;¨N/A¨))</xm:f>
            <x14:dxf>
              <fill>
                <patternFill>
                  <bgColor theme="1" tint="0.499984740745262"/>
                </patternFill>
              </fill>
            </x14:dxf>
          </x14:cfRule>
          <x14:cfRule type="expression" priority="7287" stopIfTrue="1" id="{4DB3C4D3-6E8B-432F-8220-AF76295C70EF}">
            <xm:f>AND(IF(AE266='F:\Users\norela.briceno\Documents\Plan de acción\Plan Accion 2018\[Plan Accion Integrado ADRES Vigencia 2018 con Cuadro de Mando V6..xlsx]Plan de Accion 2018'!#REF!,AE266&lt;&gt;"N/A"))</xm:f>
            <x14:dxf>
              <fill>
                <patternFill>
                  <bgColor rgb="FF00B050"/>
                </patternFill>
              </fill>
            </x14:dxf>
          </x14:cfRule>
          <x14:cfRule type="expression" priority="7288" stopIfTrue="1" id="{56E2CCF9-6A34-4654-BCEB-4D52FFCF8F5F}">
            <xm:f>AND(IF(AE266&lt;'F:\Users\norela.briceno\Documents\Plan de acción\Plan Accion 2018\[Plan Accion Integrado ADRES Vigencia 2018 con Cuadro de Mando V6..xlsx]Plan de Accion 2018'!#REF!,AE266&lt;&gt;"N/A"))</xm:f>
            <x14:dxf>
              <fill>
                <patternFill>
                  <bgColor indexed="10"/>
                </patternFill>
              </fill>
            </x14:dxf>
          </x14:cfRule>
          <xm:sqref>AE266</xm:sqref>
        </x14:conditionalFormatting>
        <x14:conditionalFormatting xmlns:xm="http://schemas.microsoft.com/office/excel/2006/main">
          <x14:cfRule type="expression" priority="7283" id="{F9AECB66-C646-4138-8242-878A1D7BC661}">
            <xm:f>AND(IF(AE265&gt;'F:\Users\norela.briceno\Documents\Plan de acción\Plan Accion 2018\[Plan Accion Integrado ADRES Vigencia 2018 con Cuadro de Mando V6..xlsx]Plan de Accion 2018'!#REF!,AE265&lt;&gt;¨N/A¨))</xm:f>
            <x14:dxf>
              <fill>
                <patternFill>
                  <bgColor theme="1" tint="0.499984740745262"/>
                </patternFill>
              </fill>
            </x14:dxf>
          </x14:cfRule>
          <x14:cfRule type="expression" priority="7284" stopIfTrue="1" id="{C2A6A467-B74A-4468-8654-370CEF1495D3}">
            <xm:f>AND(IF(AE265='F:\Users\norela.briceno\Documents\Plan de acción\Plan Accion 2018\[Plan Accion Integrado ADRES Vigencia 2018 con Cuadro de Mando V6..xlsx]Plan de Accion 2018'!#REF!,AE265&lt;&gt;"N/A"))</xm:f>
            <x14:dxf>
              <fill>
                <patternFill>
                  <bgColor rgb="FF00B050"/>
                </patternFill>
              </fill>
            </x14:dxf>
          </x14:cfRule>
          <x14:cfRule type="expression" priority="7285" stopIfTrue="1" id="{FDAC4401-28AD-4E3E-8D4C-77E4073EF4A9}">
            <xm:f>AND(IF(AE265&lt;'F:\Users\norela.briceno\Documents\Plan de acción\Plan Accion 2018\[Plan Accion Integrado ADRES Vigencia 2018 con Cuadro de Mando V6..xlsx]Plan de Accion 2018'!#REF!,AE265&lt;&gt;"N/A"))</xm:f>
            <x14:dxf>
              <fill>
                <patternFill>
                  <bgColor indexed="10"/>
                </patternFill>
              </fill>
            </x14:dxf>
          </x14:cfRule>
          <xm:sqref>AE265</xm:sqref>
        </x14:conditionalFormatting>
        <x14:conditionalFormatting xmlns:xm="http://schemas.microsoft.com/office/excel/2006/main">
          <x14:cfRule type="expression" priority="7280" id="{CEA38792-973E-4C19-A9DE-17D7F7C6F6B5}">
            <xm:f>AND(IF(AE264&gt;'F:\Users\norela.briceno\Documents\Plan de acción\Plan Accion 2018\[Plan Accion Integrado ADRES Vigencia 2018 con Cuadro de Mando V6..xlsx]Plan de Accion 2018'!#REF!,AE264&lt;&gt;¨N/A¨))</xm:f>
            <x14:dxf>
              <fill>
                <patternFill>
                  <bgColor theme="1" tint="0.499984740745262"/>
                </patternFill>
              </fill>
            </x14:dxf>
          </x14:cfRule>
          <x14:cfRule type="expression" priority="7281" stopIfTrue="1" id="{05192EC0-EF58-4EA5-8484-E02C2D22FD48}">
            <xm:f>AND(IF(AE264='F:\Users\norela.briceno\Documents\Plan de acción\Plan Accion 2018\[Plan Accion Integrado ADRES Vigencia 2018 con Cuadro de Mando V6..xlsx]Plan de Accion 2018'!#REF!,AE264&lt;&gt;"N/A"))</xm:f>
            <x14:dxf>
              <fill>
                <patternFill>
                  <bgColor rgb="FF00B050"/>
                </patternFill>
              </fill>
            </x14:dxf>
          </x14:cfRule>
          <x14:cfRule type="expression" priority="7282" stopIfTrue="1" id="{93B45478-FE21-4C1C-A438-67CD4DBA6013}">
            <xm:f>AND(IF(AE264&lt;'F:\Users\norela.briceno\Documents\Plan de acción\Plan Accion 2018\[Plan Accion Integrado ADRES Vigencia 2018 con Cuadro de Mando V6..xlsx]Plan de Accion 2018'!#REF!,AE264&lt;&gt;"N/A"))</xm:f>
            <x14:dxf>
              <fill>
                <patternFill>
                  <bgColor indexed="10"/>
                </patternFill>
              </fill>
            </x14:dxf>
          </x14:cfRule>
          <xm:sqref>AE264</xm:sqref>
        </x14:conditionalFormatting>
        <x14:conditionalFormatting xmlns:xm="http://schemas.microsoft.com/office/excel/2006/main">
          <x14:cfRule type="expression" priority="7277" id="{D5FA3996-9EA7-47B8-B496-45C0D97CBB0A}">
            <xm:f>AND(IF(AE263&gt;'F:\Users\norela.briceno\Documents\Plan de acción\Plan Accion 2018\[Plan Accion Integrado ADRES Vigencia 2018 con Cuadro de Mando V6..xlsx]Plan de Accion 2018'!#REF!,AE263&lt;&gt;¨N/A¨))</xm:f>
            <x14:dxf>
              <fill>
                <patternFill>
                  <bgColor theme="1" tint="0.499984740745262"/>
                </patternFill>
              </fill>
            </x14:dxf>
          </x14:cfRule>
          <x14:cfRule type="expression" priority="7278" stopIfTrue="1" id="{273EE5C0-6653-48B6-B333-A31339C8544E}">
            <xm:f>AND(IF(AE263='F:\Users\norela.briceno\Documents\Plan de acción\Plan Accion 2018\[Plan Accion Integrado ADRES Vigencia 2018 con Cuadro de Mando V6..xlsx]Plan de Accion 2018'!#REF!,AE263&lt;&gt;"N/A"))</xm:f>
            <x14:dxf>
              <fill>
                <patternFill>
                  <bgColor rgb="FF00B050"/>
                </patternFill>
              </fill>
            </x14:dxf>
          </x14:cfRule>
          <x14:cfRule type="expression" priority="7279" stopIfTrue="1" id="{88BA4C8C-DC28-4FAB-9422-1DFFA5C101F5}">
            <xm:f>AND(IF(AE263&lt;'F:\Users\norela.briceno\Documents\Plan de acción\Plan Accion 2018\[Plan Accion Integrado ADRES Vigencia 2018 con Cuadro de Mando V6..xlsx]Plan de Accion 2018'!#REF!,AE263&lt;&gt;"N/A"))</xm:f>
            <x14:dxf>
              <fill>
                <patternFill>
                  <bgColor indexed="10"/>
                </patternFill>
              </fill>
            </x14:dxf>
          </x14:cfRule>
          <xm:sqref>AE263</xm:sqref>
        </x14:conditionalFormatting>
        <x14:conditionalFormatting xmlns:xm="http://schemas.microsoft.com/office/excel/2006/main">
          <x14:cfRule type="expression" priority="7274" id="{E83CF4FB-7795-4664-94A0-FBD7E8783C04}">
            <xm:f>AND(IF(AE262&gt;'F:\Users\norela.briceno\Documents\Plan de acción\Plan Accion 2018\[Plan Accion Integrado ADRES Vigencia 2018 con Cuadro de Mando V6..xlsx]Plan de Accion 2018'!#REF!,AE262&lt;&gt;¨N/A¨))</xm:f>
            <x14:dxf>
              <fill>
                <patternFill>
                  <bgColor theme="1" tint="0.499984740745262"/>
                </patternFill>
              </fill>
            </x14:dxf>
          </x14:cfRule>
          <x14:cfRule type="expression" priority="7275" stopIfTrue="1" id="{B79319A3-FC71-4174-85DF-73571E5BDB6C}">
            <xm:f>AND(IF(AE262='F:\Users\norela.briceno\Documents\Plan de acción\Plan Accion 2018\[Plan Accion Integrado ADRES Vigencia 2018 con Cuadro de Mando V6..xlsx]Plan de Accion 2018'!#REF!,AE262&lt;&gt;"N/A"))</xm:f>
            <x14:dxf>
              <fill>
                <patternFill>
                  <bgColor rgb="FF00B050"/>
                </patternFill>
              </fill>
            </x14:dxf>
          </x14:cfRule>
          <x14:cfRule type="expression" priority="7276" stopIfTrue="1" id="{42E89E8B-7FA2-4DBE-8D82-26B2FD8F5D4A}">
            <xm:f>AND(IF(AE262&lt;'F:\Users\norela.briceno\Documents\Plan de acción\Plan Accion 2018\[Plan Accion Integrado ADRES Vigencia 2018 con Cuadro de Mando V6..xlsx]Plan de Accion 2018'!#REF!,AE262&lt;&gt;"N/A"))</xm:f>
            <x14:dxf>
              <fill>
                <patternFill>
                  <bgColor indexed="10"/>
                </patternFill>
              </fill>
            </x14:dxf>
          </x14:cfRule>
          <xm:sqref>AE262</xm:sqref>
        </x14:conditionalFormatting>
        <x14:conditionalFormatting xmlns:xm="http://schemas.microsoft.com/office/excel/2006/main">
          <x14:cfRule type="expression" priority="7271" id="{4560FE77-623F-484C-9D87-B791618579B0}">
            <xm:f>AND(IF(AE261&gt;'F:\Users\norela.briceno\Documents\Plan de acción\Plan Accion 2018\[Plan Accion Integrado ADRES Vigencia 2018 con Cuadro de Mando V6..xlsx]Plan de Accion 2018'!#REF!,AE261&lt;&gt;¨N/A¨))</xm:f>
            <x14:dxf>
              <fill>
                <patternFill>
                  <bgColor theme="1" tint="0.499984740745262"/>
                </patternFill>
              </fill>
            </x14:dxf>
          </x14:cfRule>
          <x14:cfRule type="expression" priority="7272" stopIfTrue="1" id="{9A5CDBD2-8807-49EE-9316-5DD3F69AB74C}">
            <xm:f>AND(IF(AE261='F:\Users\norela.briceno\Documents\Plan de acción\Plan Accion 2018\[Plan Accion Integrado ADRES Vigencia 2018 con Cuadro de Mando V6..xlsx]Plan de Accion 2018'!#REF!,AE261&lt;&gt;"N/A"))</xm:f>
            <x14:dxf>
              <fill>
                <patternFill>
                  <bgColor rgb="FF00B050"/>
                </patternFill>
              </fill>
            </x14:dxf>
          </x14:cfRule>
          <x14:cfRule type="expression" priority="7273" stopIfTrue="1" id="{27A9D06A-D187-4C48-BDB2-6A3F2CADBD75}">
            <xm:f>AND(IF(AE261&lt;'F:\Users\norela.briceno\Documents\Plan de acción\Plan Accion 2018\[Plan Accion Integrado ADRES Vigencia 2018 con Cuadro de Mando V6..xlsx]Plan de Accion 2018'!#REF!,AE261&lt;&gt;"N/A"))</xm:f>
            <x14:dxf>
              <fill>
                <patternFill>
                  <bgColor indexed="10"/>
                </patternFill>
              </fill>
            </x14:dxf>
          </x14:cfRule>
          <xm:sqref>AE261</xm:sqref>
        </x14:conditionalFormatting>
        <x14:conditionalFormatting xmlns:xm="http://schemas.microsoft.com/office/excel/2006/main">
          <x14:cfRule type="expression" priority="7268" id="{207D2BA8-853D-471F-97A8-42005B1916D8}">
            <xm:f>AND(IF(AE260&gt;'F:\Users\norela.briceno\Documents\Plan de acción\Plan Accion 2018\[Plan Accion Integrado ADRES Vigencia 2018 con Cuadro de Mando V6..xlsx]Plan de Accion 2018'!#REF!,AE260&lt;&gt;¨N/A¨))</xm:f>
            <x14:dxf>
              <fill>
                <patternFill>
                  <bgColor theme="1" tint="0.499984740745262"/>
                </patternFill>
              </fill>
            </x14:dxf>
          </x14:cfRule>
          <x14:cfRule type="expression" priority="7269" stopIfTrue="1" id="{B95EF6C6-AB34-4E71-B866-A5F76D88AFA8}">
            <xm:f>AND(IF(AE260='F:\Users\norela.briceno\Documents\Plan de acción\Plan Accion 2018\[Plan Accion Integrado ADRES Vigencia 2018 con Cuadro de Mando V6..xlsx]Plan de Accion 2018'!#REF!,AE260&lt;&gt;"N/A"))</xm:f>
            <x14:dxf>
              <fill>
                <patternFill>
                  <bgColor rgb="FF00B050"/>
                </patternFill>
              </fill>
            </x14:dxf>
          </x14:cfRule>
          <x14:cfRule type="expression" priority="7270" stopIfTrue="1" id="{56892E97-DAED-421D-ADDA-D0843B504E8C}">
            <xm:f>AND(IF(AE260&lt;'F:\Users\norela.briceno\Documents\Plan de acción\Plan Accion 2018\[Plan Accion Integrado ADRES Vigencia 2018 con Cuadro de Mando V6..xlsx]Plan de Accion 2018'!#REF!,AE260&lt;&gt;"N/A"))</xm:f>
            <x14:dxf>
              <fill>
                <patternFill>
                  <bgColor indexed="10"/>
                </patternFill>
              </fill>
            </x14:dxf>
          </x14:cfRule>
          <xm:sqref>AE260</xm:sqref>
        </x14:conditionalFormatting>
        <x14:conditionalFormatting xmlns:xm="http://schemas.microsoft.com/office/excel/2006/main">
          <x14:cfRule type="expression" priority="7265" id="{6E297D7D-AF77-420E-99D0-ACB9CF2363B6}">
            <xm:f>AND(IF(AE259&gt;'F:\Users\norela.briceno\Documents\Plan de acción\Plan Accion 2018\[Plan Accion Integrado ADRES Vigencia 2018 con Cuadro de Mando V6..xlsx]Plan de Accion 2018'!#REF!,AE259&lt;&gt;¨N/A¨))</xm:f>
            <x14:dxf>
              <fill>
                <patternFill>
                  <bgColor theme="1" tint="0.499984740745262"/>
                </patternFill>
              </fill>
            </x14:dxf>
          </x14:cfRule>
          <x14:cfRule type="expression" priority="7266" stopIfTrue="1" id="{8271F085-3B8B-4CAC-8270-69B56C6BB7B7}">
            <xm:f>AND(IF(AE259='F:\Users\norela.briceno\Documents\Plan de acción\Plan Accion 2018\[Plan Accion Integrado ADRES Vigencia 2018 con Cuadro de Mando V6..xlsx]Plan de Accion 2018'!#REF!,AE259&lt;&gt;"N/A"))</xm:f>
            <x14:dxf>
              <fill>
                <patternFill>
                  <bgColor rgb="FF00B050"/>
                </patternFill>
              </fill>
            </x14:dxf>
          </x14:cfRule>
          <x14:cfRule type="expression" priority="7267" stopIfTrue="1" id="{F0BDD80B-ADCD-4B6F-A82F-811D0F2037A7}">
            <xm:f>AND(IF(AE259&lt;'F:\Users\norela.briceno\Documents\Plan de acción\Plan Accion 2018\[Plan Accion Integrado ADRES Vigencia 2018 con Cuadro de Mando V6..xlsx]Plan de Accion 2018'!#REF!,AE259&lt;&gt;"N/A"))</xm:f>
            <x14:dxf>
              <fill>
                <patternFill>
                  <bgColor indexed="10"/>
                </patternFill>
              </fill>
            </x14:dxf>
          </x14:cfRule>
          <xm:sqref>AE259</xm:sqref>
        </x14:conditionalFormatting>
        <x14:conditionalFormatting xmlns:xm="http://schemas.microsoft.com/office/excel/2006/main">
          <x14:cfRule type="expression" priority="7262" id="{CF5FE116-DDA8-456C-A0D9-38FBD056D933}">
            <xm:f>AND(IF(AE258&gt;'F:\Users\norela.briceno\Documents\Plan de acción\Plan Accion 2018\[Plan Accion Integrado ADRES Vigencia 2018 con Cuadro de Mando V6..xlsx]Plan de Accion 2018'!#REF!,AE258&lt;&gt;¨N/A¨))</xm:f>
            <x14:dxf>
              <fill>
                <patternFill>
                  <bgColor theme="1" tint="0.499984740745262"/>
                </patternFill>
              </fill>
            </x14:dxf>
          </x14:cfRule>
          <x14:cfRule type="expression" priority="7263" stopIfTrue="1" id="{37F8B177-95C7-41F7-94B7-AB3F2A8B8FEA}">
            <xm:f>AND(IF(AE258='F:\Users\norela.briceno\Documents\Plan de acción\Plan Accion 2018\[Plan Accion Integrado ADRES Vigencia 2018 con Cuadro de Mando V6..xlsx]Plan de Accion 2018'!#REF!,AE258&lt;&gt;"N/A"))</xm:f>
            <x14:dxf>
              <fill>
                <patternFill>
                  <bgColor rgb="FF00B050"/>
                </patternFill>
              </fill>
            </x14:dxf>
          </x14:cfRule>
          <x14:cfRule type="expression" priority="7264" stopIfTrue="1" id="{8DB44372-2C6B-446C-920E-109E41A23F3E}">
            <xm:f>AND(IF(AE258&lt;'F:\Users\norela.briceno\Documents\Plan de acción\Plan Accion 2018\[Plan Accion Integrado ADRES Vigencia 2018 con Cuadro de Mando V6..xlsx]Plan de Accion 2018'!#REF!,AE258&lt;&gt;"N/A"))</xm:f>
            <x14:dxf>
              <fill>
                <patternFill>
                  <bgColor indexed="10"/>
                </patternFill>
              </fill>
            </x14:dxf>
          </x14:cfRule>
          <xm:sqref>AE258</xm:sqref>
        </x14:conditionalFormatting>
        <x14:conditionalFormatting xmlns:xm="http://schemas.microsoft.com/office/excel/2006/main">
          <x14:cfRule type="expression" priority="7259" id="{6726961C-EF11-46D4-A55E-E9146480BC11}">
            <xm:f>AND(IF(AE256&gt;'F:\Users\norela.briceno\Documents\Plan de acción\Plan Accion 2018\[Plan Accion Integrado ADRES Vigencia 2018 con Cuadro de Mando V6..xlsx]Plan de Accion 2018'!#REF!,AE256&lt;&gt;¨N/A¨))</xm:f>
            <x14:dxf>
              <fill>
                <patternFill>
                  <bgColor theme="1" tint="0.499984740745262"/>
                </patternFill>
              </fill>
            </x14:dxf>
          </x14:cfRule>
          <x14:cfRule type="expression" priority="7260" stopIfTrue="1" id="{10BE95E2-2EA9-4141-A538-C272910DDDC3}">
            <xm:f>AND(IF(AE256='F:\Users\norela.briceno\Documents\Plan de acción\Plan Accion 2018\[Plan Accion Integrado ADRES Vigencia 2018 con Cuadro de Mando V6..xlsx]Plan de Accion 2018'!#REF!,AE256&lt;&gt;"N/A"))</xm:f>
            <x14:dxf>
              <fill>
                <patternFill>
                  <bgColor rgb="FF00B050"/>
                </patternFill>
              </fill>
            </x14:dxf>
          </x14:cfRule>
          <x14:cfRule type="expression" priority="7261" stopIfTrue="1" id="{B165C795-CEAE-4017-9F47-4DF4781B7284}">
            <xm:f>AND(IF(AE256&lt;'F:\Users\norela.briceno\Documents\Plan de acción\Plan Accion 2018\[Plan Accion Integrado ADRES Vigencia 2018 con Cuadro de Mando V6..xlsx]Plan de Accion 2018'!#REF!,AE256&lt;&gt;"N/A"))</xm:f>
            <x14:dxf>
              <fill>
                <patternFill>
                  <bgColor indexed="10"/>
                </patternFill>
              </fill>
            </x14:dxf>
          </x14:cfRule>
          <xm:sqref>AE256</xm:sqref>
        </x14:conditionalFormatting>
        <x14:conditionalFormatting xmlns:xm="http://schemas.microsoft.com/office/excel/2006/main">
          <x14:cfRule type="expression" priority="7253" id="{217E64F8-B037-4D15-AE4C-1B03887FD515}">
            <xm:f>AND(IF(AE254&gt;'F:\Users\norela.briceno\Documents\Plan de acción\Plan Accion 2018\[Plan Accion Integrado ADRES Vigencia 2018 con Cuadro de Mando V6..xlsx]Plan de Accion 2018'!#REF!,AE254&lt;&gt;¨N/A¨))</xm:f>
            <x14:dxf>
              <fill>
                <patternFill>
                  <bgColor theme="1" tint="0.499984740745262"/>
                </patternFill>
              </fill>
            </x14:dxf>
          </x14:cfRule>
          <x14:cfRule type="expression" priority="7254" stopIfTrue="1" id="{64A72658-D323-4E96-998E-0E9FD7A0FCF8}">
            <xm:f>AND(IF(AE254='F:\Users\norela.briceno\Documents\Plan de acción\Plan Accion 2018\[Plan Accion Integrado ADRES Vigencia 2018 con Cuadro de Mando V6..xlsx]Plan de Accion 2018'!#REF!,AE254&lt;&gt;"N/A"))</xm:f>
            <x14:dxf>
              <fill>
                <patternFill>
                  <bgColor rgb="FF00B050"/>
                </patternFill>
              </fill>
            </x14:dxf>
          </x14:cfRule>
          <x14:cfRule type="expression" priority="7255" stopIfTrue="1" id="{181BD79A-872A-490A-B2B3-CABF79B44264}">
            <xm:f>AND(IF(AE254&lt;'F:\Users\norela.briceno\Documents\Plan de acción\Plan Accion 2018\[Plan Accion Integrado ADRES Vigencia 2018 con Cuadro de Mando V6..xlsx]Plan de Accion 2018'!#REF!,AE254&lt;&gt;"N/A"))</xm:f>
            <x14:dxf>
              <fill>
                <patternFill>
                  <bgColor indexed="10"/>
                </patternFill>
              </fill>
            </x14:dxf>
          </x14:cfRule>
          <xm:sqref>AE254</xm:sqref>
        </x14:conditionalFormatting>
        <x14:conditionalFormatting xmlns:xm="http://schemas.microsoft.com/office/excel/2006/main">
          <x14:cfRule type="expression" priority="7250" id="{7FF33C8E-D19F-4585-96EB-4550FD8AB3E3}">
            <xm:f>AND(IF(AE362&gt;'F:\Users\norela.briceno\Documents\Plan de acción\Plan Accion 2018\[Plan Accion Integrado ADRES Vigencia 2018 con Cuadro de Mando V6..xlsx]Plan de Accion 2018'!#REF!,AE362&lt;&gt;¨N/A¨))</xm:f>
            <x14:dxf>
              <fill>
                <patternFill>
                  <bgColor theme="1" tint="0.499984740745262"/>
                </patternFill>
              </fill>
            </x14:dxf>
          </x14:cfRule>
          <x14:cfRule type="expression" priority="7251" stopIfTrue="1" id="{A82C20F8-4218-418A-8B6C-4F613D21C380}">
            <xm:f>AND(IF(AE362='F:\Users\norela.briceno\Documents\Plan de acción\Plan Accion 2018\[Plan Accion Integrado ADRES Vigencia 2018 con Cuadro de Mando V6..xlsx]Plan de Accion 2018'!#REF!,AE362&lt;&gt;"N/A"))</xm:f>
            <x14:dxf>
              <fill>
                <patternFill>
                  <bgColor rgb="FF00B050"/>
                </patternFill>
              </fill>
            </x14:dxf>
          </x14:cfRule>
          <x14:cfRule type="expression" priority="7252" stopIfTrue="1" id="{D1FF7C73-FFC9-4F42-AD3D-A90777D1DF7B}">
            <xm:f>AND(IF(AE362&lt;'F:\Users\norela.briceno\Documents\Plan de acción\Plan Accion 2018\[Plan Accion Integrado ADRES Vigencia 2018 con Cuadro de Mando V6..xlsx]Plan de Accion 2018'!#REF!,AE362&lt;&gt;"N/A"))</xm:f>
            <x14:dxf>
              <fill>
                <patternFill>
                  <bgColor indexed="10"/>
                </patternFill>
              </fill>
            </x14:dxf>
          </x14:cfRule>
          <xm:sqref>AE362</xm:sqref>
        </x14:conditionalFormatting>
        <x14:conditionalFormatting xmlns:xm="http://schemas.microsoft.com/office/excel/2006/main">
          <x14:cfRule type="expression" priority="7247" id="{4323F5CA-DEF8-4D4C-9F13-3D9B505138F8}">
            <xm:f>AND(IF(AE253&gt;'F:\Users\norela.briceno\Documents\Plan de acción\Plan Accion 2018\[Plan Accion Integrado ADRES Vigencia 2018 con Cuadro de Mando V6..xlsx]Plan de Accion 2018'!#REF!,AE253&lt;&gt;¨N/A¨))</xm:f>
            <x14:dxf>
              <fill>
                <patternFill>
                  <bgColor theme="1" tint="0.499984740745262"/>
                </patternFill>
              </fill>
            </x14:dxf>
          </x14:cfRule>
          <x14:cfRule type="expression" priority="7248" stopIfTrue="1" id="{D7659B76-4554-4007-A82E-B26540C77A8B}">
            <xm:f>AND(IF(AE253='F:\Users\norela.briceno\Documents\Plan de acción\Plan Accion 2018\[Plan Accion Integrado ADRES Vigencia 2018 con Cuadro de Mando V6..xlsx]Plan de Accion 2018'!#REF!,AE253&lt;&gt;"N/A"))</xm:f>
            <x14:dxf>
              <fill>
                <patternFill>
                  <bgColor rgb="FF00B050"/>
                </patternFill>
              </fill>
            </x14:dxf>
          </x14:cfRule>
          <x14:cfRule type="expression" priority="7249" stopIfTrue="1" id="{BA4BF1D3-7F94-4AD4-8544-76825FE1FC7E}">
            <xm:f>AND(IF(AE253&lt;'F:\Users\norela.briceno\Documents\Plan de acción\Plan Accion 2018\[Plan Accion Integrado ADRES Vigencia 2018 con Cuadro de Mando V6..xlsx]Plan de Accion 2018'!#REF!,AE253&lt;&gt;"N/A"))</xm:f>
            <x14:dxf>
              <fill>
                <patternFill>
                  <bgColor indexed="10"/>
                </patternFill>
              </fill>
            </x14:dxf>
          </x14:cfRule>
          <xm:sqref>AE253</xm:sqref>
        </x14:conditionalFormatting>
        <x14:conditionalFormatting xmlns:xm="http://schemas.microsoft.com/office/excel/2006/main">
          <x14:cfRule type="expression" priority="7244" id="{20E4CAD4-C053-4496-BF86-B12317E42BF2}">
            <xm:f>AND(IF(AE252&gt;'F:\Users\norela.briceno\Documents\Plan de acción\Plan Accion 2018\[Plan Accion Integrado ADRES Vigencia 2018 con Cuadro de Mando V6..xlsx]Plan de Accion 2018'!#REF!,AE252&lt;&gt;¨N/A¨))</xm:f>
            <x14:dxf>
              <fill>
                <patternFill>
                  <bgColor theme="1" tint="0.499984740745262"/>
                </patternFill>
              </fill>
            </x14:dxf>
          </x14:cfRule>
          <x14:cfRule type="expression" priority="7245" stopIfTrue="1" id="{926492E0-4416-4DAD-AB39-4F5361BB5D37}">
            <xm:f>AND(IF(AE252='F:\Users\norela.briceno\Documents\Plan de acción\Plan Accion 2018\[Plan Accion Integrado ADRES Vigencia 2018 con Cuadro de Mando V6..xlsx]Plan de Accion 2018'!#REF!,AE252&lt;&gt;"N/A"))</xm:f>
            <x14:dxf>
              <fill>
                <patternFill>
                  <bgColor rgb="FF00B050"/>
                </patternFill>
              </fill>
            </x14:dxf>
          </x14:cfRule>
          <x14:cfRule type="expression" priority="7246" stopIfTrue="1" id="{33C58DE4-AC86-47E6-8343-55C72EA70CFF}">
            <xm:f>AND(IF(AE252&lt;'F:\Users\norela.briceno\Documents\Plan de acción\Plan Accion 2018\[Plan Accion Integrado ADRES Vigencia 2018 con Cuadro de Mando V6..xlsx]Plan de Accion 2018'!#REF!,AE252&lt;&gt;"N/A"))</xm:f>
            <x14:dxf>
              <fill>
                <patternFill>
                  <bgColor indexed="10"/>
                </patternFill>
              </fill>
            </x14:dxf>
          </x14:cfRule>
          <xm:sqref>AE252</xm:sqref>
        </x14:conditionalFormatting>
        <x14:conditionalFormatting xmlns:xm="http://schemas.microsoft.com/office/excel/2006/main">
          <x14:cfRule type="expression" priority="7241" id="{1F1CB742-4140-4232-8E2B-6B0DFB7228E3}">
            <xm:f>AND(IF(AE251&gt;'F:\Users\norela.briceno\Documents\Plan de acción\Plan Accion 2018\[Plan Accion Integrado ADRES Vigencia 2018 con Cuadro de Mando V6..xlsx]Plan de Accion 2018'!#REF!,AE251&lt;&gt;¨N/A¨))</xm:f>
            <x14:dxf>
              <fill>
                <patternFill>
                  <bgColor theme="1" tint="0.499984740745262"/>
                </patternFill>
              </fill>
            </x14:dxf>
          </x14:cfRule>
          <x14:cfRule type="expression" priority="7242" stopIfTrue="1" id="{05A79FE2-3AB3-4D1D-B422-3CB91E5BCC5A}">
            <xm:f>AND(IF(AE251='F:\Users\norela.briceno\Documents\Plan de acción\Plan Accion 2018\[Plan Accion Integrado ADRES Vigencia 2018 con Cuadro de Mando V6..xlsx]Plan de Accion 2018'!#REF!,AE251&lt;&gt;"N/A"))</xm:f>
            <x14:dxf>
              <fill>
                <patternFill>
                  <bgColor rgb="FF00B050"/>
                </patternFill>
              </fill>
            </x14:dxf>
          </x14:cfRule>
          <x14:cfRule type="expression" priority="7243" stopIfTrue="1" id="{C72C1A87-4EE4-4EB2-A654-329055FAC2CB}">
            <xm:f>AND(IF(AE251&lt;'F:\Users\norela.briceno\Documents\Plan de acción\Plan Accion 2018\[Plan Accion Integrado ADRES Vigencia 2018 con Cuadro de Mando V6..xlsx]Plan de Accion 2018'!#REF!,AE251&lt;&gt;"N/A"))</xm:f>
            <x14:dxf>
              <fill>
                <patternFill>
                  <bgColor indexed="10"/>
                </patternFill>
              </fill>
            </x14:dxf>
          </x14:cfRule>
          <xm:sqref>AE251</xm:sqref>
        </x14:conditionalFormatting>
        <x14:conditionalFormatting xmlns:xm="http://schemas.microsoft.com/office/excel/2006/main">
          <x14:cfRule type="expression" priority="7238" id="{82A73363-96EA-4CA1-8066-0244DBACC05D}">
            <xm:f>AND(IF(AE250&gt;'F:\Users\norela.briceno\Documents\Plan de acción\Plan Accion 2018\[Plan Accion Integrado ADRES Vigencia 2018 con Cuadro de Mando V6..xlsx]Plan de Accion 2018'!#REF!,AE250&lt;&gt;¨N/A¨))</xm:f>
            <x14:dxf>
              <fill>
                <patternFill>
                  <bgColor theme="1" tint="0.499984740745262"/>
                </patternFill>
              </fill>
            </x14:dxf>
          </x14:cfRule>
          <x14:cfRule type="expression" priority="7239" stopIfTrue="1" id="{48DB90EF-EF97-4E5B-AAB4-1D407EE05FF8}">
            <xm:f>AND(IF(AE250='F:\Users\norela.briceno\Documents\Plan de acción\Plan Accion 2018\[Plan Accion Integrado ADRES Vigencia 2018 con Cuadro de Mando V6..xlsx]Plan de Accion 2018'!#REF!,AE250&lt;&gt;"N/A"))</xm:f>
            <x14:dxf>
              <fill>
                <patternFill>
                  <bgColor rgb="FF00B050"/>
                </patternFill>
              </fill>
            </x14:dxf>
          </x14:cfRule>
          <x14:cfRule type="expression" priority="7240" stopIfTrue="1" id="{C091C791-E6ED-4A5D-A191-2ACCA4BBE6FA}">
            <xm:f>AND(IF(AE250&lt;'F:\Users\norela.briceno\Documents\Plan de acción\Plan Accion 2018\[Plan Accion Integrado ADRES Vigencia 2018 con Cuadro de Mando V6..xlsx]Plan de Accion 2018'!#REF!,AE250&lt;&gt;"N/A"))</xm:f>
            <x14:dxf>
              <fill>
                <patternFill>
                  <bgColor indexed="10"/>
                </patternFill>
              </fill>
            </x14:dxf>
          </x14:cfRule>
          <xm:sqref>AE250</xm:sqref>
        </x14:conditionalFormatting>
        <x14:conditionalFormatting xmlns:xm="http://schemas.microsoft.com/office/excel/2006/main">
          <x14:cfRule type="expression" priority="7235" id="{B638FDF5-0744-497F-A374-1B52E4538CF3}">
            <xm:f>AND(IF(AE249&gt;'F:\Users\norela.briceno\Documents\Plan de acción\Plan Accion 2018\[Plan Accion Integrado ADRES Vigencia 2018 con Cuadro de Mando V6..xlsx]Plan de Accion 2018'!#REF!,AE249&lt;&gt;¨N/A¨))</xm:f>
            <x14:dxf>
              <fill>
                <patternFill>
                  <bgColor theme="1" tint="0.499984740745262"/>
                </patternFill>
              </fill>
            </x14:dxf>
          </x14:cfRule>
          <x14:cfRule type="expression" priority="7236" stopIfTrue="1" id="{E7441A8F-142B-4E46-8D88-45576A984517}">
            <xm:f>AND(IF(AE249='F:\Users\norela.briceno\Documents\Plan de acción\Plan Accion 2018\[Plan Accion Integrado ADRES Vigencia 2018 con Cuadro de Mando V6..xlsx]Plan de Accion 2018'!#REF!,AE249&lt;&gt;"N/A"))</xm:f>
            <x14:dxf>
              <fill>
                <patternFill>
                  <bgColor rgb="FF00B050"/>
                </patternFill>
              </fill>
            </x14:dxf>
          </x14:cfRule>
          <x14:cfRule type="expression" priority="7237" stopIfTrue="1" id="{2DF0BF7C-9CC6-457E-90C4-09F13796A330}">
            <xm:f>AND(IF(AE249&lt;'F:\Users\norela.briceno\Documents\Plan de acción\Plan Accion 2018\[Plan Accion Integrado ADRES Vigencia 2018 con Cuadro de Mando V6..xlsx]Plan de Accion 2018'!#REF!,AE249&lt;&gt;"N/A"))</xm:f>
            <x14:dxf>
              <fill>
                <patternFill>
                  <bgColor indexed="10"/>
                </patternFill>
              </fill>
            </x14:dxf>
          </x14:cfRule>
          <xm:sqref>AE249</xm:sqref>
        </x14:conditionalFormatting>
        <x14:conditionalFormatting xmlns:xm="http://schemas.microsoft.com/office/excel/2006/main">
          <x14:cfRule type="expression" priority="7232" id="{1F15BEA9-7C62-496F-9133-0755713FCC21}">
            <xm:f>AND(IF(AE248&gt;'F:\Users\norela.briceno\Documents\Plan de acción\Plan Accion 2018\[Plan Accion Integrado ADRES Vigencia 2018 con Cuadro de Mando V6..xlsx]Plan de Accion 2018'!#REF!,AE248&lt;&gt;¨N/A¨))</xm:f>
            <x14:dxf>
              <fill>
                <patternFill>
                  <bgColor theme="1" tint="0.499984740745262"/>
                </patternFill>
              </fill>
            </x14:dxf>
          </x14:cfRule>
          <x14:cfRule type="expression" priority="7233" stopIfTrue="1" id="{B6C3D5A0-AD1E-4BAA-9E39-161EFADA369F}">
            <xm:f>AND(IF(AE248='F:\Users\norela.briceno\Documents\Plan de acción\Plan Accion 2018\[Plan Accion Integrado ADRES Vigencia 2018 con Cuadro de Mando V6..xlsx]Plan de Accion 2018'!#REF!,AE248&lt;&gt;"N/A"))</xm:f>
            <x14:dxf>
              <fill>
                <patternFill>
                  <bgColor rgb="FF00B050"/>
                </patternFill>
              </fill>
            </x14:dxf>
          </x14:cfRule>
          <x14:cfRule type="expression" priority="7234" stopIfTrue="1" id="{CEE7C26B-0A74-4223-9D7B-D6E05989DDB2}">
            <xm:f>AND(IF(AE248&lt;'F:\Users\norela.briceno\Documents\Plan de acción\Plan Accion 2018\[Plan Accion Integrado ADRES Vigencia 2018 con Cuadro de Mando V6..xlsx]Plan de Accion 2018'!#REF!,AE248&lt;&gt;"N/A"))</xm:f>
            <x14:dxf>
              <fill>
                <patternFill>
                  <bgColor indexed="10"/>
                </patternFill>
              </fill>
            </x14:dxf>
          </x14:cfRule>
          <xm:sqref>AE248</xm:sqref>
        </x14:conditionalFormatting>
        <x14:conditionalFormatting xmlns:xm="http://schemas.microsoft.com/office/excel/2006/main">
          <x14:cfRule type="expression" priority="7229" id="{6FA0EB37-DF2E-423B-BB58-9A2F2E0BA366}">
            <xm:f>AND(IF(AE244&gt;'F:\Users\norela.briceno\Documents\Plan de acción\Plan Accion 2018\[Plan Accion Integrado ADRES Vigencia 2018 con Cuadro de Mando V6..xlsx]Plan de Accion 2018'!#REF!,AE244&lt;&gt;¨N/A¨))</xm:f>
            <x14:dxf>
              <fill>
                <patternFill>
                  <bgColor theme="1" tint="0.499984740745262"/>
                </patternFill>
              </fill>
            </x14:dxf>
          </x14:cfRule>
          <x14:cfRule type="expression" priority="7230" stopIfTrue="1" id="{A448216A-2B7D-4A98-BEA4-CA99B9C1B8BB}">
            <xm:f>AND(IF(AE244='F:\Users\norela.briceno\Documents\Plan de acción\Plan Accion 2018\[Plan Accion Integrado ADRES Vigencia 2018 con Cuadro de Mando V6..xlsx]Plan de Accion 2018'!#REF!,AE244&lt;&gt;"N/A"))</xm:f>
            <x14:dxf>
              <fill>
                <patternFill>
                  <bgColor rgb="FF00B050"/>
                </patternFill>
              </fill>
            </x14:dxf>
          </x14:cfRule>
          <x14:cfRule type="expression" priority="7231" stopIfTrue="1" id="{2A810AC1-1620-4074-87C9-EA5339A47004}">
            <xm:f>AND(IF(AE244&lt;'F:\Users\norela.briceno\Documents\Plan de acción\Plan Accion 2018\[Plan Accion Integrado ADRES Vigencia 2018 con Cuadro de Mando V6..xlsx]Plan de Accion 2018'!#REF!,AE244&lt;&gt;"N/A"))</xm:f>
            <x14:dxf>
              <fill>
                <patternFill>
                  <bgColor indexed="10"/>
                </patternFill>
              </fill>
            </x14:dxf>
          </x14:cfRule>
          <xm:sqref>AE244</xm:sqref>
        </x14:conditionalFormatting>
        <x14:conditionalFormatting xmlns:xm="http://schemas.microsoft.com/office/excel/2006/main">
          <x14:cfRule type="expression" priority="7226" id="{70A7D77D-2DD5-417A-9A95-8703B589779B}">
            <xm:f>AND(IF(AE241&gt;'F:\Users\norela.briceno\Documents\Plan de acción\Plan Accion 2018\[Plan Accion Integrado ADRES Vigencia 2018 con Cuadro de Mando V6..xlsx]Plan de Accion 2018'!#REF!,AE241&lt;&gt;¨N/A¨))</xm:f>
            <x14:dxf>
              <fill>
                <patternFill>
                  <bgColor theme="1" tint="0.499984740745262"/>
                </patternFill>
              </fill>
            </x14:dxf>
          </x14:cfRule>
          <x14:cfRule type="expression" priority="7227" stopIfTrue="1" id="{EEF49855-D1AE-42C4-A0AF-0184693D12BF}">
            <xm:f>AND(IF(AE241='F:\Users\norela.briceno\Documents\Plan de acción\Plan Accion 2018\[Plan Accion Integrado ADRES Vigencia 2018 con Cuadro de Mando V6..xlsx]Plan de Accion 2018'!#REF!,AE241&lt;&gt;"N/A"))</xm:f>
            <x14:dxf>
              <fill>
                <patternFill>
                  <bgColor rgb="FF00B050"/>
                </patternFill>
              </fill>
            </x14:dxf>
          </x14:cfRule>
          <x14:cfRule type="expression" priority="7228" stopIfTrue="1" id="{924F2235-897E-4CB1-AFBF-EC4CC86E6F7E}">
            <xm:f>AND(IF(AE241&lt;'F:\Users\norela.briceno\Documents\Plan de acción\Plan Accion 2018\[Plan Accion Integrado ADRES Vigencia 2018 con Cuadro de Mando V6..xlsx]Plan de Accion 2018'!#REF!,AE241&lt;&gt;"N/A"))</xm:f>
            <x14:dxf>
              <fill>
                <patternFill>
                  <bgColor indexed="10"/>
                </patternFill>
              </fill>
            </x14:dxf>
          </x14:cfRule>
          <xm:sqref>AE241</xm:sqref>
        </x14:conditionalFormatting>
        <x14:conditionalFormatting xmlns:xm="http://schemas.microsoft.com/office/excel/2006/main">
          <x14:cfRule type="expression" priority="7223" id="{A01D895A-D7CC-4551-A6E3-5025F8E39FA6}">
            <xm:f>AND(IF(AE238&gt;'F:\Users\norela.briceno\Documents\Plan de acción\Plan Accion 2018\[Plan Accion Integrado ADRES Vigencia 2018 con Cuadro de Mando V6..xlsx]Plan de Accion 2018'!#REF!,AE238&lt;&gt;¨N/A¨))</xm:f>
            <x14:dxf>
              <fill>
                <patternFill>
                  <bgColor theme="1" tint="0.499984740745262"/>
                </patternFill>
              </fill>
            </x14:dxf>
          </x14:cfRule>
          <x14:cfRule type="expression" priority="7224" stopIfTrue="1" id="{A8E87ABA-245D-407C-9C25-140CA9CC7F25}">
            <xm:f>AND(IF(AE238='F:\Users\norela.briceno\Documents\Plan de acción\Plan Accion 2018\[Plan Accion Integrado ADRES Vigencia 2018 con Cuadro de Mando V6..xlsx]Plan de Accion 2018'!#REF!,AE238&lt;&gt;"N/A"))</xm:f>
            <x14:dxf>
              <fill>
                <patternFill>
                  <bgColor rgb="FF00B050"/>
                </patternFill>
              </fill>
            </x14:dxf>
          </x14:cfRule>
          <x14:cfRule type="expression" priority="7225" stopIfTrue="1" id="{A83FA5A6-49C4-4B64-B15F-B27B08CE5ED2}">
            <xm:f>AND(IF(AE238&lt;'F:\Users\norela.briceno\Documents\Plan de acción\Plan Accion 2018\[Plan Accion Integrado ADRES Vigencia 2018 con Cuadro de Mando V6..xlsx]Plan de Accion 2018'!#REF!,AE238&lt;&gt;"N/A"))</xm:f>
            <x14:dxf>
              <fill>
                <patternFill>
                  <bgColor indexed="10"/>
                </patternFill>
              </fill>
            </x14:dxf>
          </x14:cfRule>
          <xm:sqref>AE238</xm:sqref>
        </x14:conditionalFormatting>
        <x14:conditionalFormatting xmlns:xm="http://schemas.microsoft.com/office/excel/2006/main">
          <x14:cfRule type="expression" priority="7220" id="{F9A06B9C-E4E1-44F4-9F01-41E0F7970D01}">
            <xm:f>AND(IF(AE220&gt;'F:\Users\norela.briceno\Documents\Plan de acción\Plan Accion 2018\[Plan Accion Integrado ADRES Vigencia 2018 con Cuadro de Mando V6..xlsx]Plan de Accion 2018'!#REF!,AE220&lt;&gt;¨N/A¨))</xm:f>
            <x14:dxf>
              <fill>
                <patternFill>
                  <bgColor theme="1" tint="0.499984740745262"/>
                </patternFill>
              </fill>
            </x14:dxf>
          </x14:cfRule>
          <x14:cfRule type="expression" priority="7221" stopIfTrue="1" id="{0C132A0C-1F7A-4C86-A2D0-9BF600D4FF49}">
            <xm:f>AND(IF(AE220='F:\Users\norela.briceno\Documents\Plan de acción\Plan Accion 2018\[Plan Accion Integrado ADRES Vigencia 2018 con Cuadro de Mando V6..xlsx]Plan de Accion 2018'!#REF!,AE220&lt;&gt;"N/A"))</xm:f>
            <x14:dxf>
              <fill>
                <patternFill>
                  <bgColor rgb="FF00B050"/>
                </patternFill>
              </fill>
            </x14:dxf>
          </x14:cfRule>
          <x14:cfRule type="expression" priority="7222" stopIfTrue="1" id="{7E214820-7F5E-469C-910F-EF480B020705}">
            <xm:f>AND(IF(AE220&lt;'F:\Users\norela.briceno\Documents\Plan de acción\Plan Accion 2018\[Plan Accion Integrado ADRES Vigencia 2018 con Cuadro de Mando V6..xlsx]Plan de Accion 2018'!#REF!,AE220&lt;&gt;"N/A"))</xm:f>
            <x14:dxf>
              <fill>
                <patternFill>
                  <bgColor indexed="10"/>
                </patternFill>
              </fill>
            </x14:dxf>
          </x14:cfRule>
          <xm:sqref>AE220</xm:sqref>
        </x14:conditionalFormatting>
        <x14:conditionalFormatting xmlns:xm="http://schemas.microsoft.com/office/excel/2006/main">
          <x14:cfRule type="expression" priority="7217" id="{4DBB7594-B223-485E-8070-76102B48A6AF}">
            <xm:f>AND(IF(AE217&gt;'F:\Users\norela.briceno\Documents\Plan de acción\Plan Accion 2018\[Plan Accion Integrado ADRES Vigencia 2018 con Cuadro de Mando V6..xlsx]Plan de Accion 2018'!#REF!,AE217&lt;&gt;¨N/A¨))</xm:f>
            <x14:dxf>
              <fill>
                <patternFill>
                  <bgColor theme="1" tint="0.499984740745262"/>
                </patternFill>
              </fill>
            </x14:dxf>
          </x14:cfRule>
          <x14:cfRule type="expression" priority="7218" stopIfTrue="1" id="{8F6D598B-CA15-48D3-B8FA-B3D9CB0CB9FB}">
            <xm:f>AND(IF(AE217='F:\Users\norela.briceno\Documents\Plan de acción\Plan Accion 2018\[Plan Accion Integrado ADRES Vigencia 2018 con Cuadro de Mando V6..xlsx]Plan de Accion 2018'!#REF!,AE217&lt;&gt;"N/A"))</xm:f>
            <x14:dxf>
              <fill>
                <patternFill>
                  <bgColor rgb="FF00B050"/>
                </patternFill>
              </fill>
            </x14:dxf>
          </x14:cfRule>
          <x14:cfRule type="expression" priority="7219" stopIfTrue="1" id="{38361D06-769C-42F4-B320-97F80606370D}">
            <xm:f>AND(IF(AE217&lt;'F:\Users\norela.briceno\Documents\Plan de acción\Plan Accion 2018\[Plan Accion Integrado ADRES Vigencia 2018 con Cuadro de Mando V6..xlsx]Plan de Accion 2018'!#REF!,AE217&lt;&gt;"N/A"))</xm:f>
            <x14:dxf>
              <fill>
                <patternFill>
                  <bgColor indexed="10"/>
                </patternFill>
              </fill>
            </x14:dxf>
          </x14:cfRule>
          <xm:sqref>AE217</xm:sqref>
        </x14:conditionalFormatting>
        <x14:conditionalFormatting xmlns:xm="http://schemas.microsoft.com/office/excel/2006/main">
          <x14:cfRule type="expression" priority="7214" id="{700A556B-2BBC-410C-B914-B5D7BFF18F1C}">
            <xm:f>AND(IF(AE216&gt;'F:\Users\norela.briceno\Documents\Plan de acción\Plan Accion 2018\[Plan Accion Integrado ADRES Vigencia 2018 con Cuadro de Mando V6..xlsx]Plan de Accion 2018'!#REF!,AE216&lt;&gt;¨N/A¨))</xm:f>
            <x14:dxf>
              <fill>
                <patternFill>
                  <bgColor theme="1" tint="0.499984740745262"/>
                </patternFill>
              </fill>
            </x14:dxf>
          </x14:cfRule>
          <x14:cfRule type="expression" priority="7215" stopIfTrue="1" id="{8216BCBD-51DA-4B49-B228-7866BEE0E994}">
            <xm:f>AND(IF(AE216='F:\Users\norela.briceno\Documents\Plan de acción\Plan Accion 2018\[Plan Accion Integrado ADRES Vigencia 2018 con Cuadro de Mando V6..xlsx]Plan de Accion 2018'!#REF!,AE216&lt;&gt;"N/A"))</xm:f>
            <x14:dxf>
              <fill>
                <patternFill>
                  <bgColor rgb="FF00B050"/>
                </patternFill>
              </fill>
            </x14:dxf>
          </x14:cfRule>
          <x14:cfRule type="expression" priority="7216" stopIfTrue="1" id="{D72216E0-27CB-4FE3-8437-EBCCD28CCABD}">
            <xm:f>AND(IF(AE216&lt;'F:\Users\norela.briceno\Documents\Plan de acción\Plan Accion 2018\[Plan Accion Integrado ADRES Vigencia 2018 con Cuadro de Mando V6..xlsx]Plan de Accion 2018'!#REF!,AE216&lt;&gt;"N/A"))</xm:f>
            <x14:dxf>
              <fill>
                <patternFill>
                  <bgColor indexed="10"/>
                </patternFill>
              </fill>
            </x14:dxf>
          </x14:cfRule>
          <xm:sqref>AE216</xm:sqref>
        </x14:conditionalFormatting>
        <x14:conditionalFormatting xmlns:xm="http://schemas.microsoft.com/office/excel/2006/main">
          <x14:cfRule type="expression" priority="7211" id="{D6E909DA-5D99-41B1-89BC-BA5C3EF422E4}">
            <xm:f>AND(IF(AE215&gt;'F:\Users\norela.briceno\Documents\Plan de acción\Plan Accion 2018\[Plan Accion Integrado ADRES Vigencia 2018 con Cuadro de Mando V6..xlsx]Plan de Accion 2018'!#REF!,AE215&lt;&gt;¨N/A¨))</xm:f>
            <x14:dxf>
              <fill>
                <patternFill>
                  <bgColor theme="1" tint="0.499984740745262"/>
                </patternFill>
              </fill>
            </x14:dxf>
          </x14:cfRule>
          <x14:cfRule type="expression" priority="7212" stopIfTrue="1" id="{BDB6E3D2-87BE-4E5B-BB16-F5E6DFFC74BA}">
            <xm:f>AND(IF(AE215='F:\Users\norela.briceno\Documents\Plan de acción\Plan Accion 2018\[Plan Accion Integrado ADRES Vigencia 2018 con Cuadro de Mando V6..xlsx]Plan de Accion 2018'!#REF!,AE215&lt;&gt;"N/A"))</xm:f>
            <x14:dxf>
              <fill>
                <patternFill>
                  <bgColor rgb="FF00B050"/>
                </patternFill>
              </fill>
            </x14:dxf>
          </x14:cfRule>
          <x14:cfRule type="expression" priority="7213" stopIfTrue="1" id="{DACA5B81-DEE1-41F6-8861-A549CB85D7BA}">
            <xm:f>AND(IF(AE215&lt;'F:\Users\norela.briceno\Documents\Plan de acción\Plan Accion 2018\[Plan Accion Integrado ADRES Vigencia 2018 con Cuadro de Mando V6..xlsx]Plan de Accion 2018'!#REF!,AE215&lt;&gt;"N/A"))</xm:f>
            <x14:dxf>
              <fill>
                <patternFill>
                  <bgColor indexed="10"/>
                </patternFill>
              </fill>
            </x14:dxf>
          </x14:cfRule>
          <xm:sqref>AE215</xm:sqref>
        </x14:conditionalFormatting>
        <x14:conditionalFormatting xmlns:xm="http://schemas.microsoft.com/office/excel/2006/main">
          <x14:cfRule type="expression" priority="7208" id="{461C2FCF-5233-4B5B-8FC1-4095BBD0C00E}">
            <xm:f>AND(IF(AE214&gt;'F:\Users\norela.briceno\Documents\Plan de acción\Plan Accion 2018\[Plan Accion Integrado ADRES Vigencia 2018 con Cuadro de Mando V6..xlsx]Plan de Accion 2018'!#REF!,AE214&lt;&gt;¨N/A¨))</xm:f>
            <x14:dxf>
              <fill>
                <patternFill>
                  <bgColor theme="1" tint="0.499984740745262"/>
                </patternFill>
              </fill>
            </x14:dxf>
          </x14:cfRule>
          <x14:cfRule type="expression" priority="7209" stopIfTrue="1" id="{971A2A8C-6345-4557-A01D-6049FBC916CE}">
            <xm:f>AND(IF(AE214='F:\Users\norela.briceno\Documents\Plan de acción\Plan Accion 2018\[Plan Accion Integrado ADRES Vigencia 2018 con Cuadro de Mando V6..xlsx]Plan de Accion 2018'!#REF!,AE214&lt;&gt;"N/A"))</xm:f>
            <x14:dxf>
              <fill>
                <patternFill>
                  <bgColor rgb="FF00B050"/>
                </patternFill>
              </fill>
            </x14:dxf>
          </x14:cfRule>
          <x14:cfRule type="expression" priority="7210" stopIfTrue="1" id="{A1752C03-D1A3-439E-A947-32AE538AE6CD}">
            <xm:f>AND(IF(AE214&lt;'F:\Users\norela.briceno\Documents\Plan de acción\Plan Accion 2018\[Plan Accion Integrado ADRES Vigencia 2018 con Cuadro de Mando V6..xlsx]Plan de Accion 2018'!#REF!,AE214&lt;&gt;"N/A"))</xm:f>
            <x14:dxf>
              <fill>
                <patternFill>
                  <bgColor indexed="10"/>
                </patternFill>
              </fill>
            </x14:dxf>
          </x14:cfRule>
          <xm:sqref>AE214</xm:sqref>
        </x14:conditionalFormatting>
        <x14:conditionalFormatting xmlns:xm="http://schemas.microsoft.com/office/excel/2006/main">
          <x14:cfRule type="expression" priority="7205" id="{CBB2C402-63BA-4F28-8819-0A9B179D9D16}">
            <xm:f>AND(IF(AE212&gt;'F:\Users\norela.briceno\Documents\Plan de acción\Plan Accion 2018\[Plan Accion Integrado ADRES Vigencia 2018 con Cuadro de Mando V6..xlsx]Plan de Accion 2018'!#REF!,AE212&lt;&gt;¨N/A¨))</xm:f>
            <x14:dxf>
              <fill>
                <patternFill>
                  <bgColor theme="1" tint="0.499984740745262"/>
                </patternFill>
              </fill>
            </x14:dxf>
          </x14:cfRule>
          <x14:cfRule type="expression" priority="7206" stopIfTrue="1" id="{FF314EBE-D04A-4C89-A69E-470045580144}">
            <xm:f>AND(IF(AE212='F:\Users\norela.briceno\Documents\Plan de acción\Plan Accion 2018\[Plan Accion Integrado ADRES Vigencia 2018 con Cuadro de Mando V6..xlsx]Plan de Accion 2018'!#REF!,AE212&lt;&gt;"N/A"))</xm:f>
            <x14:dxf>
              <fill>
                <patternFill>
                  <bgColor rgb="FF00B050"/>
                </patternFill>
              </fill>
            </x14:dxf>
          </x14:cfRule>
          <x14:cfRule type="expression" priority="7207" stopIfTrue="1" id="{5F56B1F1-B176-4ACF-AB4F-EBAE5CE318FB}">
            <xm:f>AND(IF(AE212&lt;'F:\Users\norela.briceno\Documents\Plan de acción\Plan Accion 2018\[Plan Accion Integrado ADRES Vigencia 2018 con Cuadro de Mando V6..xlsx]Plan de Accion 2018'!#REF!,AE212&lt;&gt;"N/A"))</xm:f>
            <x14:dxf>
              <fill>
                <patternFill>
                  <bgColor indexed="10"/>
                </patternFill>
              </fill>
            </x14:dxf>
          </x14:cfRule>
          <xm:sqref>AE212</xm:sqref>
        </x14:conditionalFormatting>
        <x14:conditionalFormatting xmlns:xm="http://schemas.microsoft.com/office/excel/2006/main">
          <x14:cfRule type="expression" priority="7202" id="{A8E899CD-32CC-4C67-92DC-967102416F32}">
            <xm:f>AND(IF(AE210&gt;'F:\Users\norela.briceno\Documents\Plan de acción\Plan Accion 2018\[Plan Accion Integrado ADRES Vigencia 2018 con Cuadro de Mando V6..xlsx]Plan de Accion 2018'!#REF!,AE210&lt;&gt;¨N/A¨))</xm:f>
            <x14:dxf>
              <fill>
                <patternFill>
                  <bgColor theme="1" tint="0.499984740745262"/>
                </patternFill>
              </fill>
            </x14:dxf>
          </x14:cfRule>
          <x14:cfRule type="expression" priority="7203" stopIfTrue="1" id="{83E03AC0-6114-4CD8-AF83-FD65302BDAA8}">
            <xm:f>AND(IF(AE210='F:\Users\norela.briceno\Documents\Plan de acción\Plan Accion 2018\[Plan Accion Integrado ADRES Vigencia 2018 con Cuadro de Mando V6..xlsx]Plan de Accion 2018'!#REF!,AE210&lt;&gt;"N/A"))</xm:f>
            <x14:dxf>
              <fill>
                <patternFill>
                  <bgColor rgb="FF00B050"/>
                </patternFill>
              </fill>
            </x14:dxf>
          </x14:cfRule>
          <x14:cfRule type="expression" priority="7204" stopIfTrue="1" id="{1A5EAC61-EFD4-4F22-AC54-BA9DCF1C131D}">
            <xm:f>AND(IF(AE210&lt;'F:\Users\norela.briceno\Documents\Plan de acción\Plan Accion 2018\[Plan Accion Integrado ADRES Vigencia 2018 con Cuadro de Mando V6..xlsx]Plan de Accion 2018'!#REF!,AE210&lt;&gt;"N/A"))</xm:f>
            <x14:dxf>
              <fill>
                <patternFill>
                  <bgColor indexed="10"/>
                </patternFill>
              </fill>
            </x14:dxf>
          </x14:cfRule>
          <xm:sqref>AE210</xm:sqref>
        </x14:conditionalFormatting>
        <x14:conditionalFormatting xmlns:xm="http://schemas.microsoft.com/office/excel/2006/main">
          <x14:cfRule type="expression" priority="7199" id="{733A2C0B-CC14-451E-88AD-4342D730856C}">
            <xm:f>AND(IF(AE206&gt;'F:\Users\norela.briceno\Documents\Plan de acción\Plan Accion 2018\[Plan Accion Integrado ADRES Vigencia 2018 con Cuadro de Mando V6..xlsx]Plan de Accion 2018'!#REF!,AE206&lt;&gt;¨N/A¨))</xm:f>
            <x14:dxf>
              <fill>
                <patternFill>
                  <bgColor theme="1" tint="0.499984740745262"/>
                </patternFill>
              </fill>
            </x14:dxf>
          </x14:cfRule>
          <x14:cfRule type="expression" priority="7200" stopIfTrue="1" id="{4D17816F-9444-4EF5-BBAD-E34FF1A71FD7}">
            <xm:f>AND(IF(AE206='F:\Users\norela.briceno\Documents\Plan de acción\Plan Accion 2018\[Plan Accion Integrado ADRES Vigencia 2018 con Cuadro de Mando V6..xlsx]Plan de Accion 2018'!#REF!,AE206&lt;&gt;"N/A"))</xm:f>
            <x14:dxf>
              <fill>
                <patternFill>
                  <bgColor rgb="FF00B050"/>
                </patternFill>
              </fill>
            </x14:dxf>
          </x14:cfRule>
          <x14:cfRule type="expression" priority="7201" stopIfTrue="1" id="{990CD048-B823-483E-A7B7-65432E163C06}">
            <xm:f>AND(IF(AE206&lt;'F:\Users\norela.briceno\Documents\Plan de acción\Plan Accion 2018\[Plan Accion Integrado ADRES Vigencia 2018 con Cuadro de Mando V6..xlsx]Plan de Accion 2018'!#REF!,AE206&lt;&gt;"N/A"))</xm:f>
            <x14:dxf>
              <fill>
                <patternFill>
                  <bgColor indexed="10"/>
                </patternFill>
              </fill>
            </x14:dxf>
          </x14:cfRule>
          <xm:sqref>AE206</xm:sqref>
        </x14:conditionalFormatting>
        <x14:conditionalFormatting xmlns:xm="http://schemas.microsoft.com/office/excel/2006/main">
          <x14:cfRule type="expression" priority="7196" id="{5F10C782-8067-486D-8987-93529AFB757B}">
            <xm:f>AND(IF(AE205&gt;'F:\Users\norela.briceno\Documents\Plan de acción\Plan Accion 2018\[Plan Accion Integrado ADRES Vigencia 2018 con Cuadro de Mando V6..xlsx]Plan de Accion 2018'!#REF!,AE205&lt;&gt;¨N/A¨))</xm:f>
            <x14:dxf>
              <fill>
                <patternFill>
                  <bgColor theme="1" tint="0.499984740745262"/>
                </patternFill>
              </fill>
            </x14:dxf>
          </x14:cfRule>
          <x14:cfRule type="expression" priority="7197" stopIfTrue="1" id="{6619FFAF-8C50-4B91-8C0F-68C783D72039}">
            <xm:f>AND(IF(AE205='F:\Users\norela.briceno\Documents\Plan de acción\Plan Accion 2018\[Plan Accion Integrado ADRES Vigencia 2018 con Cuadro de Mando V6..xlsx]Plan de Accion 2018'!#REF!,AE205&lt;&gt;"N/A"))</xm:f>
            <x14:dxf>
              <fill>
                <patternFill>
                  <bgColor rgb="FF00B050"/>
                </patternFill>
              </fill>
            </x14:dxf>
          </x14:cfRule>
          <x14:cfRule type="expression" priority="7198" stopIfTrue="1" id="{429BCFFD-E161-465C-9672-EB3EBE78C914}">
            <xm:f>AND(IF(AE205&lt;'F:\Users\norela.briceno\Documents\Plan de acción\Plan Accion 2018\[Plan Accion Integrado ADRES Vigencia 2018 con Cuadro de Mando V6..xlsx]Plan de Accion 2018'!#REF!,AE205&lt;&gt;"N/A"))</xm:f>
            <x14:dxf>
              <fill>
                <patternFill>
                  <bgColor indexed="10"/>
                </patternFill>
              </fill>
            </x14:dxf>
          </x14:cfRule>
          <xm:sqref>AE205</xm:sqref>
        </x14:conditionalFormatting>
        <x14:conditionalFormatting xmlns:xm="http://schemas.microsoft.com/office/excel/2006/main">
          <x14:cfRule type="expression" priority="7193" id="{ADA25DAC-DCB9-46AF-B25E-3F5746C644B4}">
            <xm:f>AND(IF(AE203&gt;'F:\Users\norela.briceno\Documents\Plan de acción\Plan Accion 2018\[Plan Accion Integrado ADRES Vigencia 2018 con Cuadro de Mando V6..xlsx]Plan de Accion 2018'!#REF!,AE203&lt;&gt;¨N/A¨))</xm:f>
            <x14:dxf>
              <fill>
                <patternFill>
                  <bgColor theme="1" tint="0.499984740745262"/>
                </patternFill>
              </fill>
            </x14:dxf>
          </x14:cfRule>
          <x14:cfRule type="expression" priority="7194" stopIfTrue="1" id="{326B173E-73E5-4E41-8ED8-254479543F03}">
            <xm:f>AND(IF(AE203='F:\Users\norela.briceno\Documents\Plan de acción\Plan Accion 2018\[Plan Accion Integrado ADRES Vigencia 2018 con Cuadro de Mando V6..xlsx]Plan de Accion 2018'!#REF!,AE203&lt;&gt;"N/A"))</xm:f>
            <x14:dxf>
              <fill>
                <patternFill>
                  <bgColor rgb="FF00B050"/>
                </patternFill>
              </fill>
            </x14:dxf>
          </x14:cfRule>
          <x14:cfRule type="expression" priority="7195" stopIfTrue="1" id="{33B6650B-9EF2-4556-A818-A2EC7F699288}">
            <xm:f>AND(IF(AE203&lt;'F:\Users\norela.briceno\Documents\Plan de acción\Plan Accion 2018\[Plan Accion Integrado ADRES Vigencia 2018 con Cuadro de Mando V6..xlsx]Plan de Accion 2018'!#REF!,AE203&lt;&gt;"N/A"))</xm:f>
            <x14:dxf>
              <fill>
                <patternFill>
                  <bgColor indexed="10"/>
                </patternFill>
              </fill>
            </x14:dxf>
          </x14:cfRule>
          <xm:sqref>AE203</xm:sqref>
        </x14:conditionalFormatting>
        <x14:conditionalFormatting xmlns:xm="http://schemas.microsoft.com/office/excel/2006/main">
          <x14:cfRule type="expression" priority="7190" id="{9B8FEE61-7C9C-470C-AAE4-7387E4341BCD}">
            <xm:f>AND(IF(AE202&gt;'F:\Users\norela.briceno\Documents\Plan de acción\Plan Accion 2018\[Plan Accion Integrado ADRES Vigencia 2018 con Cuadro de Mando V6..xlsx]Plan de Accion 2018'!#REF!,AE202&lt;&gt;¨N/A¨))</xm:f>
            <x14:dxf>
              <fill>
                <patternFill>
                  <bgColor theme="1" tint="0.499984740745262"/>
                </patternFill>
              </fill>
            </x14:dxf>
          </x14:cfRule>
          <x14:cfRule type="expression" priority="7191" stopIfTrue="1" id="{83C8D59E-6297-44EC-BDBA-5D3DF3025660}">
            <xm:f>AND(IF(AE202='F:\Users\norela.briceno\Documents\Plan de acción\Plan Accion 2018\[Plan Accion Integrado ADRES Vigencia 2018 con Cuadro de Mando V6..xlsx]Plan de Accion 2018'!#REF!,AE202&lt;&gt;"N/A"))</xm:f>
            <x14:dxf>
              <fill>
                <patternFill>
                  <bgColor rgb="FF00B050"/>
                </patternFill>
              </fill>
            </x14:dxf>
          </x14:cfRule>
          <x14:cfRule type="expression" priority="7192" stopIfTrue="1" id="{66996DB2-5188-4690-ABEC-CC9F4FA1C52C}">
            <xm:f>AND(IF(AE202&lt;'F:\Users\norela.briceno\Documents\Plan de acción\Plan Accion 2018\[Plan Accion Integrado ADRES Vigencia 2018 con Cuadro de Mando V6..xlsx]Plan de Accion 2018'!#REF!,AE202&lt;&gt;"N/A"))</xm:f>
            <x14:dxf>
              <fill>
                <patternFill>
                  <bgColor indexed="10"/>
                </patternFill>
              </fill>
            </x14:dxf>
          </x14:cfRule>
          <xm:sqref>AE202</xm:sqref>
        </x14:conditionalFormatting>
        <x14:conditionalFormatting xmlns:xm="http://schemas.microsoft.com/office/excel/2006/main">
          <x14:cfRule type="expression" priority="7187" id="{28D13DBD-E4CB-470A-86BF-9F7C7F892DA0}">
            <xm:f>AND(IF(AE201&gt;'F:\Users\norela.briceno\Documents\Plan de acción\Plan Accion 2018\[Plan Accion Integrado ADRES Vigencia 2018 con Cuadro de Mando V6..xlsx]Plan de Accion 2018'!#REF!,AE201&lt;&gt;¨N/A¨))</xm:f>
            <x14:dxf>
              <fill>
                <patternFill>
                  <bgColor theme="1" tint="0.499984740745262"/>
                </patternFill>
              </fill>
            </x14:dxf>
          </x14:cfRule>
          <x14:cfRule type="expression" priority="7188" stopIfTrue="1" id="{F36FD939-6680-46A9-9067-DADD53B6DF93}">
            <xm:f>AND(IF(AE201='F:\Users\norela.briceno\Documents\Plan de acción\Plan Accion 2018\[Plan Accion Integrado ADRES Vigencia 2018 con Cuadro de Mando V6..xlsx]Plan de Accion 2018'!#REF!,AE201&lt;&gt;"N/A"))</xm:f>
            <x14:dxf>
              <fill>
                <patternFill>
                  <bgColor rgb="FF00B050"/>
                </patternFill>
              </fill>
            </x14:dxf>
          </x14:cfRule>
          <x14:cfRule type="expression" priority="7189" stopIfTrue="1" id="{5B245B57-552A-4942-9592-0F3AACAC1A28}">
            <xm:f>AND(IF(AE201&lt;'F:\Users\norela.briceno\Documents\Plan de acción\Plan Accion 2018\[Plan Accion Integrado ADRES Vigencia 2018 con Cuadro de Mando V6..xlsx]Plan de Accion 2018'!#REF!,AE201&lt;&gt;"N/A"))</xm:f>
            <x14:dxf>
              <fill>
                <patternFill>
                  <bgColor indexed="10"/>
                </patternFill>
              </fill>
            </x14:dxf>
          </x14:cfRule>
          <xm:sqref>AE201</xm:sqref>
        </x14:conditionalFormatting>
        <x14:conditionalFormatting xmlns:xm="http://schemas.microsoft.com/office/excel/2006/main">
          <x14:cfRule type="expression" priority="7184" id="{063D1373-65A3-41E2-B06D-F427BA8F9E4A}">
            <xm:f>AND(IF(AE200&gt;'F:\Users\norela.briceno\Documents\Plan de acción\Plan Accion 2018\[Plan Accion Integrado ADRES Vigencia 2018 con Cuadro de Mando V6..xlsx]Plan de Accion 2018'!#REF!,AE200&lt;&gt;¨N/A¨))</xm:f>
            <x14:dxf>
              <fill>
                <patternFill>
                  <bgColor theme="1" tint="0.499984740745262"/>
                </patternFill>
              </fill>
            </x14:dxf>
          </x14:cfRule>
          <x14:cfRule type="expression" priority="7185" stopIfTrue="1" id="{C43D929D-C08E-4150-9D02-4ACA0FE65F13}">
            <xm:f>AND(IF(AE200='F:\Users\norela.briceno\Documents\Plan de acción\Plan Accion 2018\[Plan Accion Integrado ADRES Vigencia 2018 con Cuadro de Mando V6..xlsx]Plan de Accion 2018'!#REF!,AE200&lt;&gt;"N/A"))</xm:f>
            <x14:dxf>
              <fill>
                <patternFill>
                  <bgColor rgb="FF00B050"/>
                </patternFill>
              </fill>
            </x14:dxf>
          </x14:cfRule>
          <x14:cfRule type="expression" priority="7186" stopIfTrue="1" id="{CD8579B6-4598-4A6E-9C62-8548CF3A53B5}">
            <xm:f>AND(IF(AE200&lt;'F:\Users\norela.briceno\Documents\Plan de acción\Plan Accion 2018\[Plan Accion Integrado ADRES Vigencia 2018 con Cuadro de Mando V6..xlsx]Plan de Accion 2018'!#REF!,AE200&lt;&gt;"N/A"))</xm:f>
            <x14:dxf>
              <fill>
                <patternFill>
                  <bgColor indexed="10"/>
                </patternFill>
              </fill>
            </x14:dxf>
          </x14:cfRule>
          <xm:sqref>AE200</xm:sqref>
        </x14:conditionalFormatting>
        <x14:conditionalFormatting xmlns:xm="http://schemas.microsoft.com/office/excel/2006/main">
          <x14:cfRule type="expression" priority="7181" id="{5A6E2BD2-8404-4371-8288-F7F37D6CD2AB}">
            <xm:f>AND(IF(AE199&gt;'F:\Users\norela.briceno\Documents\Plan de acción\Plan Accion 2018\[Plan Accion Integrado ADRES Vigencia 2018 con Cuadro de Mando V6..xlsx]Plan de Accion 2018'!#REF!,AE199&lt;&gt;¨N/A¨))</xm:f>
            <x14:dxf>
              <fill>
                <patternFill>
                  <bgColor theme="1" tint="0.499984740745262"/>
                </patternFill>
              </fill>
            </x14:dxf>
          </x14:cfRule>
          <x14:cfRule type="expression" priority="7182" stopIfTrue="1" id="{D49CE7CB-8400-4EBF-A90B-3106ED3E1DD0}">
            <xm:f>AND(IF(AE199='F:\Users\norela.briceno\Documents\Plan de acción\Plan Accion 2018\[Plan Accion Integrado ADRES Vigencia 2018 con Cuadro de Mando V6..xlsx]Plan de Accion 2018'!#REF!,AE199&lt;&gt;"N/A"))</xm:f>
            <x14:dxf>
              <fill>
                <patternFill>
                  <bgColor rgb="FF00B050"/>
                </patternFill>
              </fill>
            </x14:dxf>
          </x14:cfRule>
          <x14:cfRule type="expression" priority="7183" stopIfTrue="1" id="{85C28010-0957-4004-A5D4-C456DBD691F1}">
            <xm:f>AND(IF(AE199&lt;'F:\Users\norela.briceno\Documents\Plan de acción\Plan Accion 2018\[Plan Accion Integrado ADRES Vigencia 2018 con Cuadro de Mando V6..xlsx]Plan de Accion 2018'!#REF!,AE199&lt;&gt;"N/A"))</xm:f>
            <x14:dxf>
              <fill>
                <patternFill>
                  <bgColor indexed="10"/>
                </patternFill>
              </fill>
            </x14:dxf>
          </x14:cfRule>
          <xm:sqref>AE199</xm:sqref>
        </x14:conditionalFormatting>
        <x14:conditionalFormatting xmlns:xm="http://schemas.microsoft.com/office/excel/2006/main">
          <x14:cfRule type="expression" priority="7178" id="{A58D8DEA-AC85-48EB-83DB-BF83C0C5ED7C}">
            <xm:f>AND(IF(AE198&gt;'F:\Users\norela.briceno\Documents\Plan de acción\Plan Accion 2018\[Plan Accion Integrado ADRES Vigencia 2018 con Cuadro de Mando V6..xlsx]Plan de Accion 2018'!#REF!,AE198&lt;&gt;¨N/A¨))</xm:f>
            <x14:dxf>
              <fill>
                <patternFill>
                  <bgColor theme="1" tint="0.499984740745262"/>
                </patternFill>
              </fill>
            </x14:dxf>
          </x14:cfRule>
          <x14:cfRule type="expression" priority="7179" stopIfTrue="1" id="{86796F7C-56DC-4C43-B5E4-31028FE599FA}">
            <xm:f>AND(IF(AE198='F:\Users\norela.briceno\Documents\Plan de acción\Plan Accion 2018\[Plan Accion Integrado ADRES Vigencia 2018 con Cuadro de Mando V6..xlsx]Plan de Accion 2018'!#REF!,AE198&lt;&gt;"N/A"))</xm:f>
            <x14:dxf>
              <fill>
                <patternFill>
                  <bgColor rgb="FF00B050"/>
                </patternFill>
              </fill>
            </x14:dxf>
          </x14:cfRule>
          <x14:cfRule type="expression" priority="7180" stopIfTrue="1" id="{F7E1C00D-8EA5-4E64-A3A3-E9DDCAACFDDC}">
            <xm:f>AND(IF(AE198&lt;'F:\Users\norela.briceno\Documents\Plan de acción\Plan Accion 2018\[Plan Accion Integrado ADRES Vigencia 2018 con Cuadro de Mando V6..xlsx]Plan de Accion 2018'!#REF!,AE198&lt;&gt;"N/A"))</xm:f>
            <x14:dxf>
              <fill>
                <patternFill>
                  <bgColor indexed="10"/>
                </patternFill>
              </fill>
            </x14:dxf>
          </x14:cfRule>
          <xm:sqref>AE198</xm:sqref>
        </x14:conditionalFormatting>
        <x14:conditionalFormatting xmlns:xm="http://schemas.microsoft.com/office/excel/2006/main">
          <x14:cfRule type="expression" priority="7175" id="{3117ACD1-10D9-461D-96D7-2BAF78992F2D}">
            <xm:f>AND(IF(AE193&gt;'F:\Users\norela.briceno\Documents\Plan de acción\Plan Accion 2018\[Plan Accion Integrado ADRES Vigencia 2018 con Cuadro de Mando V6..xlsx]Plan de Accion 2018'!#REF!,AE193&lt;&gt;¨N/A¨))</xm:f>
            <x14:dxf>
              <fill>
                <patternFill>
                  <bgColor theme="1" tint="0.499984740745262"/>
                </patternFill>
              </fill>
            </x14:dxf>
          </x14:cfRule>
          <x14:cfRule type="expression" priority="7176" stopIfTrue="1" id="{1339D56E-6BE5-45CC-B0F3-61527752E775}">
            <xm:f>AND(IF(AE193='F:\Users\norela.briceno\Documents\Plan de acción\Plan Accion 2018\[Plan Accion Integrado ADRES Vigencia 2018 con Cuadro de Mando V6..xlsx]Plan de Accion 2018'!#REF!,AE193&lt;&gt;"N/A"))</xm:f>
            <x14:dxf>
              <fill>
                <patternFill>
                  <bgColor rgb="FF00B050"/>
                </patternFill>
              </fill>
            </x14:dxf>
          </x14:cfRule>
          <x14:cfRule type="expression" priority="7177" stopIfTrue="1" id="{BBE0C286-D864-4E00-BA3D-50CB6D869D52}">
            <xm:f>AND(IF(AE193&lt;'F:\Users\norela.briceno\Documents\Plan de acción\Plan Accion 2018\[Plan Accion Integrado ADRES Vigencia 2018 con Cuadro de Mando V6..xlsx]Plan de Accion 2018'!#REF!,AE193&lt;&gt;"N/A"))</xm:f>
            <x14:dxf>
              <fill>
                <patternFill>
                  <bgColor indexed="10"/>
                </patternFill>
              </fill>
            </x14:dxf>
          </x14:cfRule>
          <xm:sqref>AE193</xm:sqref>
        </x14:conditionalFormatting>
        <x14:conditionalFormatting xmlns:xm="http://schemas.microsoft.com/office/excel/2006/main">
          <x14:cfRule type="expression" priority="7172" id="{741B5401-3443-4099-B4A1-93FBF7B0F41D}">
            <xm:f>AND(IF(AE192&gt;'F:\Users\norela.briceno\Documents\Plan de acción\Plan Accion 2018\[Plan Accion Integrado ADRES Vigencia 2018 con Cuadro de Mando V6..xlsx]Plan de Accion 2018'!#REF!,AE192&lt;&gt;¨N/A¨))</xm:f>
            <x14:dxf>
              <fill>
                <patternFill>
                  <bgColor theme="1" tint="0.499984740745262"/>
                </patternFill>
              </fill>
            </x14:dxf>
          </x14:cfRule>
          <x14:cfRule type="expression" priority="7173" stopIfTrue="1" id="{D92D6867-EF2F-4016-A08E-1B903E270DA7}">
            <xm:f>AND(IF(AE192='F:\Users\norela.briceno\Documents\Plan de acción\Plan Accion 2018\[Plan Accion Integrado ADRES Vigencia 2018 con Cuadro de Mando V6..xlsx]Plan de Accion 2018'!#REF!,AE192&lt;&gt;"N/A"))</xm:f>
            <x14:dxf>
              <fill>
                <patternFill>
                  <bgColor rgb="FF00B050"/>
                </patternFill>
              </fill>
            </x14:dxf>
          </x14:cfRule>
          <x14:cfRule type="expression" priority="7174" stopIfTrue="1" id="{4E4BC654-F34E-4882-B9C8-D8C72A450A16}">
            <xm:f>AND(IF(AE192&lt;'F:\Users\norela.briceno\Documents\Plan de acción\Plan Accion 2018\[Plan Accion Integrado ADRES Vigencia 2018 con Cuadro de Mando V6..xlsx]Plan de Accion 2018'!#REF!,AE192&lt;&gt;"N/A"))</xm:f>
            <x14:dxf>
              <fill>
                <patternFill>
                  <bgColor indexed="10"/>
                </patternFill>
              </fill>
            </x14:dxf>
          </x14:cfRule>
          <xm:sqref>AE192</xm:sqref>
        </x14:conditionalFormatting>
        <x14:conditionalFormatting xmlns:xm="http://schemas.microsoft.com/office/excel/2006/main">
          <x14:cfRule type="expression" priority="7169" id="{56C311D9-114C-4468-B68A-A587D2ED777F}">
            <xm:f>AND(IF(AE184&gt;'F:\Users\norela.briceno\Documents\Plan de acción\Plan Accion 2018\[Plan Accion Integrado ADRES Vigencia 2018 con Cuadro de Mando V6..xlsx]Plan de Accion 2018'!#REF!,AE184&lt;&gt;¨N/A¨))</xm:f>
            <x14:dxf>
              <fill>
                <patternFill>
                  <bgColor theme="1" tint="0.499984740745262"/>
                </patternFill>
              </fill>
            </x14:dxf>
          </x14:cfRule>
          <x14:cfRule type="expression" priority="7170" stopIfTrue="1" id="{62851354-132E-49F4-A153-E91F5DF2537D}">
            <xm:f>AND(IF(AE184='F:\Users\norela.briceno\Documents\Plan de acción\Plan Accion 2018\[Plan Accion Integrado ADRES Vigencia 2018 con Cuadro de Mando V6..xlsx]Plan de Accion 2018'!#REF!,AE184&lt;&gt;"N/A"))</xm:f>
            <x14:dxf>
              <fill>
                <patternFill>
                  <bgColor rgb="FF00B050"/>
                </patternFill>
              </fill>
            </x14:dxf>
          </x14:cfRule>
          <x14:cfRule type="expression" priority="7171" stopIfTrue="1" id="{56C8E85F-A6BD-4BCA-9723-ADCE56B782F7}">
            <xm:f>AND(IF(AE184&lt;'F:\Users\norela.briceno\Documents\Plan de acción\Plan Accion 2018\[Plan Accion Integrado ADRES Vigencia 2018 con Cuadro de Mando V6..xlsx]Plan de Accion 2018'!#REF!,AE184&lt;&gt;"N/A"))</xm:f>
            <x14:dxf>
              <fill>
                <patternFill>
                  <bgColor indexed="10"/>
                </patternFill>
              </fill>
            </x14:dxf>
          </x14:cfRule>
          <xm:sqref>AE184</xm:sqref>
        </x14:conditionalFormatting>
        <x14:conditionalFormatting xmlns:xm="http://schemas.microsoft.com/office/excel/2006/main">
          <x14:cfRule type="expression" priority="7166" id="{7CE3B091-16A4-4C5C-B3F7-A18CD7D5E224}">
            <xm:f>AND(IF(AE183&gt;'F:\Users\norela.briceno\Documents\Plan de acción\Plan Accion 2018\[Plan Accion Integrado ADRES Vigencia 2018 con Cuadro de Mando V6..xlsx]Plan de Accion 2018'!#REF!,AE183&lt;&gt;¨N/A¨))</xm:f>
            <x14:dxf>
              <fill>
                <patternFill>
                  <bgColor theme="1" tint="0.499984740745262"/>
                </patternFill>
              </fill>
            </x14:dxf>
          </x14:cfRule>
          <x14:cfRule type="expression" priority="7167" stopIfTrue="1" id="{9B7E0DB4-3EB6-4FE3-A886-26066EE4A9AE}">
            <xm:f>AND(IF(AE183='F:\Users\norela.briceno\Documents\Plan de acción\Plan Accion 2018\[Plan Accion Integrado ADRES Vigencia 2018 con Cuadro de Mando V6..xlsx]Plan de Accion 2018'!#REF!,AE183&lt;&gt;"N/A"))</xm:f>
            <x14:dxf>
              <fill>
                <patternFill>
                  <bgColor rgb="FF00B050"/>
                </patternFill>
              </fill>
            </x14:dxf>
          </x14:cfRule>
          <x14:cfRule type="expression" priority="7168" stopIfTrue="1" id="{E480D4DE-80EF-463F-9D6E-009DA42A8BE6}">
            <xm:f>AND(IF(AE183&lt;'F:\Users\norela.briceno\Documents\Plan de acción\Plan Accion 2018\[Plan Accion Integrado ADRES Vigencia 2018 con Cuadro de Mando V6..xlsx]Plan de Accion 2018'!#REF!,AE183&lt;&gt;"N/A"))</xm:f>
            <x14:dxf>
              <fill>
                <patternFill>
                  <bgColor indexed="10"/>
                </patternFill>
              </fill>
            </x14:dxf>
          </x14:cfRule>
          <xm:sqref>AE183</xm:sqref>
        </x14:conditionalFormatting>
        <x14:conditionalFormatting xmlns:xm="http://schemas.microsoft.com/office/excel/2006/main">
          <x14:cfRule type="expression" priority="7163" id="{9F705BD6-D3D1-437B-A350-6224EBE9EEFD}">
            <xm:f>AND(IF(AE182&gt;'F:\Users\norela.briceno\Documents\Plan de acción\Plan Accion 2018\[Plan Accion Integrado ADRES Vigencia 2018 con Cuadro de Mando V6..xlsx]Plan de Accion 2018'!#REF!,AE182&lt;&gt;¨N/A¨))</xm:f>
            <x14:dxf>
              <fill>
                <patternFill>
                  <bgColor theme="1" tint="0.499984740745262"/>
                </patternFill>
              </fill>
            </x14:dxf>
          </x14:cfRule>
          <x14:cfRule type="expression" priority="7164" stopIfTrue="1" id="{17DFEA55-3CEA-47FC-BBC5-24A9A958AECE}">
            <xm:f>AND(IF(AE182='F:\Users\norela.briceno\Documents\Plan de acción\Plan Accion 2018\[Plan Accion Integrado ADRES Vigencia 2018 con Cuadro de Mando V6..xlsx]Plan de Accion 2018'!#REF!,AE182&lt;&gt;"N/A"))</xm:f>
            <x14:dxf>
              <fill>
                <patternFill>
                  <bgColor rgb="FF00B050"/>
                </patternFill>
              </fill>
            </x14:dxf>
          </x14:cfRule>
          <x14:cfRule type="expression" priority="7165" stopIfTrue="1" id="{6826C526-7777-4FB5-9E6E-4C5A047A4360}">
            <xm:f>AND(IF(AE182&lt;'F:\Users\norela.briceno\Documents\Plan de acción\Plan Accion 2018\[Plan Accion Integrado ADRES Vigencia 2018 con Cuadro de Mando V6..xlsx]Plan de Accion 2018'!#REF!,AE182&lt;&gt;"N/A"))</xm:f>
            <x14:dxf>
              <fill>
                <patternFill>
                  <bgColor indexed="10"/>
                </patternFill>
              </fill>
            </x14:dxf>
          </x14:cfRule>
          <xm:sqref>AE182</xm:sqref>
        </x14:conditionalFormatting>
        <x14:conditionalFormatting xmlns:xm="http://schemas.microsoft.com/office/excel/2006/main">
          <x14:cfRule type="expression" priority="7160" id="{C3912647-B9C1-4B25-BA9C-4220E8C08073}">
            <xm:f>AND(IF(AE181&gt;'F:\Users\norela.briceno\Documents\Plan de acción\Plan Accion 2018\[Plan Accion Integrado ADRES Vigencia 2018 con Cuadro de Mando V6..xlsx]Plan de Accion 2018'!#REF!,AE181&lt;&gt;¨N/A¨))</xm:f>
            <x14:dxf>
              <fill>
                <patternFill>
                  <bgColor theme="1" tint="0.499984740745262"/>
                </patternFill>
              </fill>
            </x14:dxf>
          </x14:cfRule>
          <x14:cfRule type="expression" priority="7161" stopIfTrue="1" id="{F2ACF522-50EA-455C-912C-0D87A58E5E6D}">
            <xm:f>AND(IF(AE181='F:\Users\norela.briceno\Documents\Plan de acción\Plan Accion 2018\[Plan Accion Integrado ADRES Vigencia 2018 con Cuadro de Mando V6..xlsx]Plan de Accion 2018'!#REF!,AE181&lt;&gt;"N/A"))</xm:f>
            <x14:dxf>
              <fill>
                <patternFill>
                  <bgColor rgb="FF00B050"/>
                </patternFill>
              </fill>
            </x14:dxf>
          </x14:cfRule>
          <x14:cfRule type="expression" priority="7162" stopIfTrue="1" id="{D49C2A8F-A31E-4047-8A9B-27C1385BC3E2}">
            <xm:f>AND(IF(AE181&lt;'F:\Users\norela.briceno\Documents\Plan de acción\Plan Accion 2018\[Plan Accion Integrado ADRES Vigencia 2018 con Cuadro de Mando V6..xlsx]Plan de Accion 2018'!#REF!,AE181&lt;&gt;"N/A"))</xm:f>
            <x14:dxf>
              <fill>
                <patternFill>
                  <bgColor indexed="10"/>
                </patternFill>
              </fill>
            </x14:dxf>
          </x14:cfRule>
          <xm:sqref>AE181</xm:sqref>
        </x14:conditionalFormatting>
        <x14:conditionalFormatting xmlns:xm="http://schemas.microsoft.com/office/excel/2006/main">
          <x14:cfRule type="expression" priority="7157" id="{E32EDDB5-350F-4AD8-B5EC-A20CDB5685FA}">
            <xm:f>AND(IF(AE179&gt;'F:\Users\norela.briceno\Documents\Plan de acción\Plan Accion 2018\[Plan Accion Integrado ADRES Vigencia 2018 con Cuadro de Mando V6..xlsx]Plan de Accion 2018'!#REF!,AE179&lt;&gt;¨N/A¨))</xm:f>
            <x14:dxf>
              <fill>
                <patternFill>
                  <bgColor theme="1" tint="0.499984740745262"/>
                </patternFill>
              </fill>
            </x14:dxf>
          </x14:cfRule>
          <x14:cfRule type="expression" priority="7158" stopIfTrue="1" id="{ED1D1671-88E1-4203-B814-A25298F85FF1}">
            <xm:f>AND(IF(AE179='F:\Users\norela.briceno\Documents\Plan de acción\Plan Accion 2018\[Plan Accion Integrado ADRES Vigencia 2018 con Cuadro de Mando V6..xlsx]Plan de Accion 2018'!#REF!,AE179&lt;&gt;"N/A"))</xm:f>
            <x14:dxf>
              <fill>
                <patternFill>
                  <bgColor rgb="FF00B050"/>
                </patternFill>
              </fill>
            </x14:dxf>
          </x14:cfRule>
          <x14:cfRule type="expression" priority="7159" stopIfTrue="1" id="{147A696F-EEA6-430E-B7C2-0185758C60C0}">
            <xm:f>AND(IF(AE179&lt;'F:\Users\norela.briceno\Documents\Plan de acción\Plan Accion 2018\[Plan Accion Integrado ADRES Vigencia 2018 con Cuadro de Mando V6..xlsx]Plan de Accion 2018'!#REF!,AE179&lt;&gt;"N/A"))</xm:f>
            <x14:dxf>
              <fill>
                <patternFill>
                  <bgColor indexed="10"/>
                </patternFill>
              </fill>
            </x14:dxf>
          </x14:cfRule>
          <xm:sqref>AE179</xm:sqref>
        </x14:conditionalFormatting>
        <x14:conditionalFormatting xmlns:xm="http://schemas.microsoft.com/office/excel/2006/main">
          <x14:cfRule type="expression" priority="7154" id="{F4333865-95DA-4EF7-B4BA-27E1EC710E23}">
            <xm:f>AND(IF(AE177&gt;'F:\Users\norela.briceno\Documents\Plan de acción\Plan Accion 2018\[Plan Accion Integrado ADRES Vigencia 2018 con Cuadro de Mando V6..xlsx]Plan de Accion 2018'!#REF!,AE177&lt;&gt;¨N/A¨))</xm:f>
            <x14:dxf>
              <fill>
                <patternFill>
                  <bgColor theme="1" tint="0.499984740745262"/>
                </patternFill>
              </fill>
            </x14:dxf>
          </x14:cfRule>
          <x14:cfRule type="expression" priority="7155" stopIfTrue="1" id="{32602091-C862-441B-9C6E-C6867BF2BFAE}">
            <xm:f>AND(IF(AE177='F:\Users\norela.briceno\Documents\Plan de acción\Plan Accion 2018\[Plan Accion Integrado ADRES Vigencia 2018 con Cuadro de Mando V6..xlsx]Plan de Accion 2018'!#REF!,AE177&lt;&gt;"N/A"))</xm:f>
            <x14:dxf>
              <fill>
                <patternFill>
                  <bgColor rgb="FF00B050"/>
                </patternFill>
              </fill>
            </x14:dxf>
          </x14:cfRule>
          <x14:cfRule type="expression" priority="7156" stopIfTrue="1" id="{674761A8-35DE-42A5-8201-79A0C8492B7F}">
            <xm:f>AND(IF(AE177&lt;'F:\Users\norela.briceno\Documents\Plan de acción\Plan Accion 2018\[Plan Accion Integrado ADRES Vigencia 2018 con Cuadro de Mando V6..xlsx]Plan de Accion 2018'!#REF!,AE177&lt;&gt;"N/A"))</xm:f>
            <x14:dxf>
              <fill>
                <patternFill>
                  <bgColor indexed="10"/>
                </patternFill>
              </fill>
            </x14:dxf>
          </x14:cfRule>
          <xm:sqref>AE177</xm:sqref>
        </x14:conditionalFormatting>
        <x14:conditionalFormatting xmlns:xm="http://schemas.microsoft.com/office/excel/2006/main">
          <x14:cfRule type="expression" priority="7151" id="{1D6AD485-9090-4FCA-AEBC-0836FF67886F}">
            <xm:f>AND(IF(AE176&gt;'F:\Users\norela.briceno\Documents\Plan de acción\Plan Accion 2018\[Plan Accion Integrado ADRES Vigencia 2018 con Cuadro de Mando V6..xlsx]Plan de Accion 2018'!#REF!,AE176&lt;&gt;¨N/A¨))</xm:f>
            <x14:dxf>
              <fill>
                <patternFill>
                  <bgColor theme="1" tint="0.499984740745262"/>
                </patternFill>
              </fill>
            </x14:dxf>
          </x14:cfRule>
          <x14:cfRule type="expression" priority="7152" stopIfTrue="1" id="{E60BFA2A-89F5-4ED9-96A8-94935C0B69E5}">
            <xm:f>AND(IF(AE176='F:\Users\norela.briceno\Documents\Plan de acción\Plan Accion 2018\[Plan Accion Integrado ADRES Vigencia 2018 con Cuadro de Mando V6..xlsx]Plan de Accion 2018'!#REF!,AE176&lt;&gt;"N/A"))</xm:f>
            <x14:dxf>
              <fill>
                <patternFill>
                  <bgColor rgb="FF00B050"/>
                </patternFill>
              </fill>
            </x14:dxf>
          </x14:cfRule>
          <x14:cfRule type="expression" priority="7153" stopIfTrue="1" id="{A7CEB905-2E2D-4AA7-9CF5-D57A90F569B5}">
            <xm:f>AND(IF(AE176&lt;'F:\Users\norela.briceno\Documents\Plan de acción\Plan Accion 2018\[Plan Accion Integrado ADRES Vigencia 2018 con Cuadro de Mando V6..xlsx]Plan de Accion 2018'!#REF!,AE176&lt;&gt;"N/A"))</xm:f>
            <x14:dxf>
              <fill>
                <patternFill>
                  <bgColor indexed="10"/>
                </patternFill>
              </fill>
            </x14:dxf>
          </x14:cfRule>
          <xm:sqref>AE176</xm:sqref>
        </x14:conditionalFormatting>
        <x14:conditionalFormatting xmlns:xm="http://schemas.microsoft.com/office/excel/2006/main">
          <x14:cfRule type="expression" priority="7148" id="{D21A8BA8-556F-4845-8AB3-8CA317FD6DA1}">
            <xm:f>AND(IF(AE175&gt;'F:\Users\norela.briceno\Documents\Plan de acción\Plan Accion 2018\[Plan Accion Integrado ADRES Vigencia 2018 con Cuadro de Mando V6..xlsx]Plan de Accion 2018'!#REF!,AE175&lt;&gt;¨N/A¨))</xm:f>
            <x14:dxf>
              <fill>
                <patternFill>
                  <bgColor theme="1" tint="0.499984740745262"/>
                </patternFill>
              </fill>
            </x14:dxf>
          </x14:cfRule>
          <x14:cfRule type="expression" priority="7149" stopIfTrue="1" id="{FD5D219C-06D0-4ACF-87A6-C428FC91A3BE}">
            <xm:f>AND(IF(AE175='F:\Users\norela.briceno\Documents\Plan de acción\Plan Accion 2018\[Plan Accion Integrado ADRES Vigencia 2018 con Cuadro de Mando V6..xlsx]Plan de Accion 2018'!#REF!,AE175&lt;&gt;"N/A"))</xm:f>
            <x14:dxf>
              <fill>
                <patternFill>
                  <bgColor rgb="FF00B050"/>
                </patternFill>
              </fill>
            </x14:dxf>
          </x14:cfRule>
          <x14:cfRule type="expression" priority="7150" stopIfTrue="1" id="{CEBA417A-060A-497C-BE5A-F2E26A0D4847}">
            <xm:f>AND(IF(AE175&lt;'F:\Users\norela.briceno\Documents\Plan de acción\Plan Accion 2018\[Plan Accion Integrado ADRES Vigencia 2018 con Cuadro de Mando V6..xlsx]Plan de Accion 2018'!#REF!,AE175&lt;&gt;"N/A"))</xm:f>
            <x14:dxf>
              <fill>
                <patternFill>
                  <bgColor indexed="10"/>
                </patternFill>
              </fill>
            </x14:dxf>
          </x14:cfRule>
          <xm:sqref>AE175</xm:sqref>
        </x14:conditionalFormatting>
        <x14:conditionalFormatting xmlns:xm="http://schemas.microsoft.com/office/excel/2006/main">
          <x14:cfRule type="expression" priority="7145" id="{9AAF518D-3C6E-4904-B08A-495237D8B667}">
            <xm:f>AND(IF(AE174&gt;'F:\Users\norela.briceno\Documents\Plan de acción\Plan Accion 2018\[Plan Accion Integrado ADRES Vigencia 2018 con Cuadro de Mando V6..xlsx]Plan de Accion 2018'!#REF!,AE174&lt;&gt;¨N/A¨))</xm:f>
            <x14:dxf>
              <fill>
                <patternFill>
                  <bgColor theme="1" tint="0.499984740745262"/>
                </patternFill>
              </fill>
            </x14:dxf>
          </x14:cfRule>
          <x14:cfRule type="expression" priority="7146" stopIfTrue="1" id="{1CF16D6A-8285-4035-BFC9-C03F0CAA3599}">
            <xm:f>AND(IF(AE174='F:\Users\norela.briceno\Documents\Plan de acción\Plan Accion 2018\[Plan Accion Integrado ADRES Vigencia 2018 con Cuadro de Mando V6..xlsx]Plan de Accion 2018'!#REF!,AE174&lt;&gt;"N/A"))</xm:f>
            <x14:dxf>
              <fill>
                <patternFill>
                  <bgColor rgb="FF00B050"/>
                </patternFill>
              </fill>
            </x14:dxf>
          </x14:cfRule>
          <x14:cfRule type="expression" priority="7147" stopIfTrue="1" id="{8DDC8C16-E87A-4D23-B8D6-B8A2FF885FBA}">
            <xm:f>AND(IF(AE174&lt;'F:\Users\norela.briceno\Documents\Plan de acción\Plan Accion 2018\[Plan Accion Integrado ADRES Vigencia 2018 con Cuadro de Mando V6..xlsx]Plan de Accion 2018'!#REF!,AE174&lt;&gt;"N/A"))</xm:f>
            <x14:dxf>
              <fill>
                <patternFill>
                  <bgColor indexed="10"/>
                </patternFill>
              </fill>
            </x14:dxf>
          </x14:cfRule>
          <xm:sqref>AE174</xm:sqref>
        </x14:conditionalFormatting>
        <x14:conditionalFormatting xmlns:xm="http://schemas.microsoft.com/office/excel/2006/main">
          <x14:cfRule type="expression" priority="7142" id="{CBA30839-1BB9-4400-9E8C-39F2BB17965C}">
            <xm:f>AND(IF(AE171&gt;'F:\Users\norela.briceno\Documents\Plan de acción\Plan Accion 2018\[Plan Accion Integrado ADRES Vigencia 2018 con Cuadro de Mando V6..xlsx]Plan de Accion 2018'!#REF!,AE171&lt;&gt;¨N/A¨))</xm:f>
            <x14:dxf>
              <fill>
                <patternFill>
                  <bgColor theme="1" tint="0.499984740745262"/>
                </patternFill>
              </fill>
            </x14:dxf>
          </x14:cfRule>
          <x14:cfRule type="expression" priority="7143" stopIfTrue="1" id="{7158109E-6DCF-42A9-8EF9-CAA425835B79}">
            <xm:f>AND(IF(AE171='F:\Users\norela.briceno\Documents\Plan de acción\Plan Accion 2018\[Plan Accion Integrado ADRES Vigencia 2018 con Cuadro de Mando V6..xlsx]Plan de Accion 2018'!#REF!,AE171&lt;&gt;"N/A"))</xm:f>
            <x14:dxf>
              <fill>
                <patternFill>
                  <bgColor rgb="FF00B050"/>
                </patternFill>
              </fill>
            </x14:dxf>
          </x14:cfRule>
          <x14:cfRule type="expression" priority="7144" stopIfTrue="1" id="{93B424A5-2028-4C41-AE5B-F68AE9961688}">
            <xm:f>AND(IF(AE171&lt;'F:\Users\norela.briceno\Documents\Plan de acción\Plan Accion 2018\[Plan Accion Integrado ADRES Vigencia 2018 con Cuadro de Mando V6..xlsx]Plan de Accion 2018'!#REF!,AE171&lt;&gt;"N/A"))</xm:f>
            <x14:dxf>
              <fill>
                <patternFill>
                  <bgColor indexed="10"/>
                </patternFill>
              </fill>
            </x14:dxf>
          </x14:cfRule>
          <xm:sqref>AE171</xm:sqref>
        </x14:conditionalFormatting>
        <x14:conditionalFormatting xmlns:xm="http://schemas.microsoft.com/office/excel/2006/main">
          <x14:cfRule type="expression" priority="7136" id="{74A8A1AE-D629-49E0-885A-601B4DA33AD6}">
            <xm:f>AND(IF(AE160&gt;'F:\Users\norela.briceno\Documents\Plan de acción\Plan Accion 2018\[Plan Accion Integrado ADRES Vigencia 2018 con Cuadro de Mando V6..xlsx]Plan de Accion 2018'!#REF!,AE160&lt;&gt;¨N/A¨))</xm:f>
            <x14:dxf>
              <fill>
                <patternFill>
                  <bgColor theme="1" tint="0.499984740745262"/>
                </patternFill>
              </fill>
            </x14:dxf>
          </x14:cfRule>
          <x14:cfRule type="expression" priority="7137" stopIfTrue="1" id="{DAE33AE1-BB36-4801-8225-BFB331C94770}">
            <xm:f>AND(IF(AE160='F:\Users\norela.briceno\Documents\Plan de acción\Plan Accion 2018\[Plan Accion Integrado ADRES Vigencia 2018 con Cuadro de Mando V6..xlsx]Plan de Accion 2018'!#REF!,AE160&lt;&gt;"N/A"))</xm:f>
            <x14:dxf>
              <fill>
                <patternFill>
                  <bgColor rgb="FF00B050"/>
                </patternFill>
              </fill>
            </x14:dxf>
          </x14:cfRule>
          <x14:cfRule type="expression" priority="7138" stopIfTrue="1" id="{6C71D013-FF87-4B1A-8F6A-63DB5671DF83}">
            <xm:f>AND(IF(AE160&lt;'F:\Users\norela.briceno\Documents\Plan de acción\Plan Accion 2018\[Plan Accion Integrado ADRES Vigencia 2018 con Cuadro de Mando V6..xlsx]Plan de Accion 2018'!#REF!,AE160&lt;&gt;"N/A"))</xm:f>
            <x14:dxf>
              <fill>
                <patternFill>
                  <bgColor indexed="10"/>
                </patternFill>
              </fill>
            </x14:dxf>
          </x14:cfRule>
          <xm:sqref>AE160</xm:sqref>
        </x14:conditionalFormatting>
        <x14:conditionalFormatting xmlns:xm="http://schemas.microsoft.com/office/excel/2006/main">
          <x14:cfRule type="expression" priority="7133" id="{B126CB50-B345-47DC-9B2E-1FC1B50B1E67}">
            <xm:f>AND(IF(AE158&gt;'F:\Users\norela.briceno\Documents\Plan de acción\Plan Accion 2018\[Plan Accion Integrado ADRES Vigencia 2018 con Cuadro de Mando V6..xlsx]Plan de Accion 2018'!#REF!,AE158&lt;&gt;¨N/A¨))</xm:f>
            <x14:dxf>
              <fill>
                <patternFill>
                  <bgColor theme="1" tint="0.499984740745262"/>
                </patternFill>
              </fill>
            </x14:dxf>
          </x14:cfRule>
          <x14:cfRule type="expression" priority="7134" stopIfTrue="1" id="{B4EDFC42-D400-4500-AF10-72E3C47C60A7}">
            <xm:f>AND(IF(AE158='F:\Users\norela.briceno\Documents\Plan de acción\Plan Accion 2018\[Plan Accion Integrado ADRES Vigencia 2018 con Cuadro de Mando V6..xlsx]Plan de Accion 2018'!#REF!,AE158&lt;&gt;"N/A"))</xm:f>
            <x14:dxf>
              <fill>
                <patternFill>
                  <bgColor rgb="FF00B050"/>
                </patternFill>
              </fill>
            </x14:dxf>
          </x14:cfRule>
          <x14:cfRule type="expression" priority="7135" stopIfTrue="1" id="{25611B9D-64B0-44BD-BA6E-083FCB78B8A4}">
            <xm:f>AND(IF(AE158&lt;'F:\Users\norela.briceno\Documents\Plan de acción\Plan Accion 2018\[Plan Accion Integrado ADRES Vigencia 2018 con Cuadro de Mando V6..xlsx]Plan de Accion 2018'!#REF!,AE158&lt;&gt;"N/A"))</xm:f>
            <x14:dxf>
              <fill>
                <patternFill>
                  <bgColor indexed="10"/>
                </patternFill>
              </fill>
            </x14:dxf>
          </x14:cfRule>
          <xm:sqref>AE158</xm:sqref>
        </x14:conditionalFormatting>
        <x14:conditionalFormatting xmlns:xm="http://schemas.microsoft.com/office/excel/2006/main">
          <x14:cfRule type="expression" priority="7130" id="{E153D042-D4E6-4BE4-BE56-D2D671CE35F3}">
            <xm:f>AND(IF(AE157&gt;'F:\Users\norela.briceno\Documents\Plan de acción\Plan Accion 2018\[Plan Accion Integrado ADRES Vigencia 2018 con Cuadro de Mando V6..xlsx]Plan de Accion 2018'!#REF!,AE157&lt;&gt;¨N/A¨))</xm:f>
            <x14:dxf>
              <fill>
                <patternFill>
                  <bgColor theme="1" tint="0.499984740745262"/>
                </patternFill>
              </fill>
            </x14:dxf>
          </x14:cfRule>
          <x14:cfRule type="expression" priority="7131" stopIfTrue="1" id="{3046E581-8C65-4A41-B52E-D5309D919B8D}">
            <xm:f>AND(IF(AE157='F:\Users\norela.briceno\Documents\Plan de acción\Plan Accion 2018\[Plan Accion Integrado ADRES Vigencia 2018 con Cuadro de Mando V6..xlsx]Plan de Accion 2018'!#REF!,AE157&lt;&gt;"N/A"))</xm:f>
            <x14:dxf>
              <fill>
                <patternFill>
                  <bgColor rgb="FF00B050"/>
                </patternFill>
              </fill>
            </x14:dxf>
          </x14:cfRule>
          <x14:cfRule type="expression" priority="7132" stopIfTrue="1" id="{AFB9723D-EEB9-4342-A88F-825DF95415B0}">
            <xm:f>AND(IF(AE157&lt;'F:\Users\norela.briceno\Documents\Plan de acción\Plan Accion 2018\[Plan Accion Integrado ADRES Vigencia 2018 con Cuadro de Mando V6..xlsx]Plan de Accion 2018'!#REF!,AE157&lt;&gt;"N/A"))</xm:f>
            <x14:dxf>
              <fill>
                <patternFill>
                  <bgColor indexed="10"/>
                </patternFill>
              </fill>
            </x14:dxf>
          </x14:cfRule>
          <xm:sqref>AE157</xm:sqref>
        </x14:conditionalFormatting>
        <x14:conditionalFormatting xmlns:xm="http://schemas.microsoft.com/office/excel/2006/main">
          <x14:cfRule type="expression" priority="7127" id="{EF9960B1-2D09-4B87-89B8-7F3997793A49}">
            <xm:f>AND(IF(AE152&gt;'F:\Users\norela.briceno\Documents\Plan de acción\Plan Accion 2018\[Plan Accion Integrado ADRES Vigencia 2018 con Cuadro de Mando V6..xlsx]Plan de Accion 2018'!#REF!,AE152&lt;&gt;¨N/A¨))</xm:f>
            <x14:dxf>
              <fill>
                <patternFill>
                  <bgColor theme="1" tint="0.499984740745262"/>
                </patternFill>
              </fill>
            </x14:dxf>
          </x14:cfRule>
          <x14:cfRule type="expression" priority="7128" stopIfTrue="1" id="{A4F3FC48-CE7B-41A9-9983-920FE16AB633}">
            <xm:f>AND(IF(AE152='F:\Users\norela.briceno\Documents\Plan de acción\Plan Accion 2018\[Plan Accion Integrado ADRES Vigencia 2018 con Cuadro de Mando V6..xlsx]Plan de Accion 2018'!#REF!,AE152&lt;&gt;"N/A"))</xm:f>
            <x14:dxf>
              <fill>
                <patternFill>
                  <bgColor rgb="FF00B050"/>
                </patternFill>
              </fill>
            </x14:dxf>
          </x14:cfRule>
          <x14:cfRule type="expression" priority="7129" stopIfTrue="1" id="{DC9BD7CC-0782-4E91-9F70-FBEB7E8F4B62}">
            <xm:f>AND(IF(AE152&lt;'F:\Users\norela.briceno\Documents\Plan de acción\Plan Accion 2018\[Plan Accion Integrado ADRES Vigencia 2018 con Cuadro de Mando V6..xlsx]Plan de Accion 2018'!#REF!,AE152&lt;&gt;"N/A"))</xm:f>
            <x14:dxf>
              <fill>
                <patternFill>
                  <bgColor indexed="10"/>
                </patternFill>
              </fill>
            </x14:dxf>
          </x14:cfRule>
          <xm:sqref>AE152</xm:sqref>
        </x14:conditionalFormatting>
        <x14:conditionalFormatting xmlns:xm="http://schemas.microsoft.com/office/excel/2006/main">
          <x14:cfRule type="expression" priority="7124" id="{940DD5DE-18B7-4453-85FF-45093FA44DF5}">
            <xm:f>AND(IF(AE151&gt;'F:\Users\norela.briceno\Documents\Plan de acción\Plan Accion 2018\[Plan Accion Integrado ADRES Vigencia 2018 con Cuadro de Mando V6..xlsx]Plan de Accion 2018'!#REF!,AE151&lt;&gt;¨N/A¨))</xm:f>
            <x14:dxf>
              <fill>
                <patternFill>
                  <bgColor theme="1" tint="0.499984740745262"/>
                </patternFill>
              </fill>
            </x14:dxf>
          </x14:cfRule>
          <x14:cfRule type="expression" priority="7125" stopIfTrue="1" id="{D536C1E5-7208-4B2D-89C8-9D50BC4F2B4E}">
            <xm:f>AND(IF(AE151='F:\Users\norela.briceno\Documents\Plan de acción\Plan Accion 2018\[Plan Accion Integrado ADRES Vigencia 2018 con Cuadro de Mando V6..xlsx]Plan de Accion 2018'!#REF!,AE151&lt;&gt;"N/A"))</xm:f>
            <x14:dxf>
              <fill>
                <patternFill>
                  <bgColor rgb="FF00B050"/>
                </patternFill>
              </fill>
            </x14:dxf>
          </x14:cfRule>
          <x14:cfRule type="expression" priority="7126" stopIfTrue="1" id="{477D9079-5B89-4C4F-B0C5-936F424C09B7}">
            <xm:f>AND(IF(AE151&lt;'F:\Users\norela.briceno\Documents\Plan de acción\Plan Accion 2018\[Plan Accion Integrado ADRES Vigencia 2018 con Cuadro de Mando V6..xlsx]Plan de Accion 2018'!#REF!,AE151&lt;&gt;"N/A"))</xm:f>
            <x14:dxf>
              <fill>
                <patternFill>
                  <bgColor indexed="10"/>
                </patternFill>
              </fill>
            </x14:dxf>
          </x14:cfRule>
          <xm:sqref>AE151</xm:sqref>
        </x14:conditionalFormatting>
        <x14:conditionalFormatting xmlns:xm="http://schemas.microsoft.com/office/excel/2006/main">
          <x14:cfRule type="expression" priority="7121" id="{0232982A-7003-4F9F-8473-C468EE8510A5}">
            <xm:f>AND(IF(CP146&gt;'F:\Users\norela.briceno\Documents\Plan de acción\Plan Accion 2018\[Plan Accion Integrado ADRES Vigencia 2018 con Cuadro de Mando V6..xlsx]Plan de Accion 2018'!#REF!,CP146&lt;&gt;¨N/A¨))</xm:f>
            <x14:dxf>
              <fill>
                <patternFill>
                  <bgColor theme="1" tint="0.499984740745262"/>
                </patternFill>
              </fill>
            </x14:dxf>
          </x14:cfRule>
          <x14:cfRule type="expression" priority="7122" stopIfTrue="1" id="{F36932E4-39ED-4AB5-BBFC-043983733745}">
            <xm:f>AND(IF(CP146='F:\Users\norela.briceno\Documents\Plan de acción\Plan Accion 2018\[Plan Accion Integrado ADRES Vigencia 2018 con Cuadro de Mando V6..xlsx]Plan de Accion 2018'!#REF!,CP146&lt;&gt;"N/A"))</xm:f>
            <x14:dxf>
              <fill>
                <patternFill>
                  <bgColor rgb="FF00B050"/>
                </patternFill>
              </fill>
            </x14:dxf>
          </x14:cfRule>
          <x14:cfRule type="expression" priority="7123" stopIfTrue="1" id="{1A829FAD-F382-48FF-B116-49C5AEBABEBA}">
            <xm:f>AND(IF(CP146&lt;'F:\Users\norela.briceno\Documents\Plan de acción\Plan Accion 2018\[Plan Accion Integrado ADRES Vigencia 2018 con Cuadro de Mando V6..xlsx]Plan de Accion 2018'!#REF!,CP146&lt;&gt;"N/A"))</xm:f>
            <x14:dxf>
              <fill>
                <patternFill>
                  <bgColor indexed="10"/>
                </patternFill>
              </fill>
            </x14:dxf>
          </x14:cfRule>
          <xm:sqref>CP146</xm:sqref>
        </x14:conditionalFormatting>
        <x14:conditionalFormatting xmlns:xm="http://schemas.microsoft.com/office/excel/2006/main">
          <x14:cfRule type="expression" priority="7118" id="{18D145BF-7234-4CA2-868A-9E938F14CDF5}">
            <xm:f>AND(IF(AE138&gt;'F:\Users\norela.briceno\Documents\Plan de acción\Plan Accion 2018\[Plan Accion Integrado ADRES Vigencia 2018 con Cuadro de Mando V6..xlsx]Plan de Accion 2018'!#REF!,AE138&lt;&gt;¨N/A¨))</xm:f>
            <x14:dxf>
              <fill>
                <patternFill>
                  <bgColor theme="1" tint="0.499984740745262"/>
                </patternFill>
              </fill>
            </x14:dxf>
          </x14:cfRule>
          <x14:cfRule type="expression" priority="7119" stopIfTrue="1" id="{C3C1EE0D-AF7A-44EE-8DB9-085488791868}">
            <xm:f>AND(IF(AE138='F:\Users\norela.briceno\Documents\Plan de acción\Plan Accion 2018\[Plan Accion Integrado ADRES Vigencia 2018 con Cuadro de Mando V6..xlsx]Plan de Accion 2018'!#REF!,AE138&lt;&gt;"N/A"))</xm:f>
            <x14:dxf>
              <fill>
                <patternFill>
                  <bgColor rgb="FF00B050"/>
                </patternFill>
              </fill>
            </x14:dxf>
          </x14:cfRule>
          <x14:cfRule type="expression" priority="7120" stopIfTrue="1" id="{31BA392C-970E-4B87-88DC-63817C2B4EC1}">
            <xm:f>AND(IF(AE138&lt;'F:\Users\norela.briceno\Documents\Plan de acción\Plan Accion 2018\[Plan Accion Integrado ADRES Vigencia 2018 con Cuadro de Mando V6..xlsx]Plan de Accion 2018'!#REF!,AE138&lt;&gt;"N/A"))</xm:f>
            <x14:dxf>
              <fill>
                <patternFill>
                  <bgColor indexed="10"/>
                </patternFill>
              </fill>
            </x14:dxf>
          </x14:cfRule>
          <xm:sqref>AE138</xm:sqref>
        </x14:conditionalFormatting>
        <x14:conditionalFormatting xmlns:xm="http://schemas.microsoft.com/office/excel/2006/main">
          <x14:cfRule type="expression" priority="6505" id="{D40DC778-E2C2-43EE-AB89-995C303D2AC6}">
            <xm:f>AND(IF(J36&gt;'F:\Users\norela.briceno\Documents\Plan de acción\Plan Accion 2018\[Plan Accion Integrado ADRES Vigencia 2018 con Cuadro de Mando V6..xlsx]Plan de Accion 2018'!#REF!,J36&lt;&gt;¨N/A¨))</xm:f>
            <x14:dxf>
              <fill>
                <patternFill>
                  <bgColor theme="1" tint="0.499984740745262"/>
                </patternFill>
              </fill>
            </x14:dxf>
          </x14:cfRule>
          <x14:cfRule type="expression" priority="6506" stopIfTrue="1" id="{3F21ED16-B94F-4F9C-9775-53F0C50F7290}">
            <xm:f>AND(IF(J36='F:\Users\norela.briceno\Documents\Plan de acción\Plan Accion 2018\[Plan Accion Integrado ADRES Vigencia 2018 con Cuadro de Mando V6..xlsx]Plan de Accion 2018'!#REF!,J36&lt;&gt;"N/A"))</xm:f>
            <x14:dxf>
              <fill>
                <patternFill>
                  <bgColor rgb="FF00B050"/>
                </patternFill>
              </fill>
            </x14:dxf>
          </x14:cfRule>
          <x14:cfRule type="expression" priority="6507" stopIfTrue="1" id="{E4C73641-3ED5-426D-9AEB-B8C0DD8DD0B1}">
            <xm:f>AND(IF(J36&lt;'F:\Users\norela.briceno\Documents\Plan de acción\Plan Accion 2018\[Plan Accion Integrado ADRES Vigencia 2018 con Cuadro de Mando V6..xlsx]Plan de Accion 2018'!#REF!,J36&lt;&gt;"N/A"))</xm:f>
            <x14:dxf>
              <fill>
                <patternFill>
                  <bgColor indexed="10"/>
                </patternFill>
              </fill>
            </x14:dxf>
          </x14:cfRule>
          <xm:sqref>J36 Q36 X36 AE36</xm:sqref>
        </x14:conditionalFormatting>
        <x14:conditionalFormatting xmlns:xm="http://schemas.microsoft.com/office/excel/2006/main">
          <x14:cfRule type="expression" priority="6427" id="{066979FA-E1A8-4BEF-92F0-D14CA5214AB0}">
            <xm:f>AND(IF(Q37&gt;'F:\Users\norela.briceno\Documents\Plan de acción\Plan Accion 2018\[Plan Accion Integrado ADRES Vigencia 2018 con Cuadro de Mando V6..xlsx]Plan de Accion 2018'!#REF!,Q37&lt;&gt;¨N/A¨))</xm:f>
            <x14:dxf>
              <fill>
                <patternFill>
                  <bgColor theme="1" tint="0.499984740745262"/>
                </patternFill>
              </fill>
            </x14:dxf>
          </x14:cfRule>
          <x14:cfRule type="expression" priority="6428" stopIfTrue="1" id="{F5D0CF07-CD97-43C1-9A0B-B1E090C9BA6B}">
            <xm:f>AND(IF(Q37='F:\Users\norela.briceno\Documents\Plan de acción\Plan Accion 2018\[Plan Accion Integrado ADRES Vigencia 2018 con Cuadro de Mando V6..xlsx]Plan de Accion 2018'!#REF!,Q37&lt;&gt;"N/A"))</xm:f>
            <x14:dxf>
              <fill>
                <patternFill>
                  <bgColor rgb="FF00B050"/>
                </patternFill>
              </fill>
            </x14:dxf>
          </x14:cfRule>
          <x14:cfRule type="expression" priority="6429" stopIfTrue="1" id="{D8FA30BF-5D65-454A-B2EE-44C24C534FBC}">
            <xm:f>AND(IF(Q37&lt;'F:\Users\norela.briceno\Documents\Plan de acción\Plan Accion 2018\[Plan Accion Integrado ADRES Vigencia 2018 con Cuadro de Mando V6..xlsx]Plan de Accion 2018'!#REF!,Q37&lt;&gt;"N/A"))</xm:f>
            <x14:dxf>
              <fill>
                <patternFill>
                  <bgColor indexed="10"/>
                </patternFill>
              </fill>
            </x14:dxf>
          </x14:cfRule>
          <xm:sqref>Q37:Q39 X37:X39 AE37:AE39</xm:sqref>
        </x14:conditionalFormatting>
        <x14:conditionalFormatting xmlns:xm="http://schemas.microsoft.com/office/excel/2006/main">
          <x14:cfRule type="expression" priority="6198" id="{5D42CFE1-7723-4C1C-97F6-36A6D48621A9}">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6199" stopIfTrue="1" id="{D95D4B49-027A-4F25-85B4-97D15C3A057F}">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6200" stopIfTrue="1" id="{3D566C9B-02A1-44B5-AF65-AAAA4E86A9DF}">
            <xm:f>AND(IF(J162&lt;'F:\Users\norela.briceno\Documents\Plan de acción\Plan Accion 2018\[Plan Accion Integrado ADRES Vigencia 2018 con Cuadro de Mando V6..xlsx]Plan de Accion 2018'!#REF!,J162&lt;&gt;"N/A"))</xm:f>
            <x14:dxf>
              <fill>
                <patternFill>
                  <bgColor indexed="10"/>
                </patternFill>
              </fill>
            </x14:dxf>
          </x14:cfRule>
          <xm:sqref>J162 Q162 AE162 X162</xm:sqref>
        </x14:conditionalFormatting>
        <x14:conditionalFormatting xmlns:xm="http://schemas.microsoft.com/office/excel/2006/main">
          <x14:cfRule type="expression" priority="6189" id="{B428D8F3-182D-46AD-B3FC-06BEC4FE24A2}">
            <xm:f>AND(IF(X162&gt;'F:\Users\norela.briceno\Documents\Plan de acción\Plan Accion 2018\[Plan Accion Integrado ADRES Vigencia 2018 con Cuadro de Mando V6..xlsx]Plan de Accion 2018'!#REF!,X162&lt;&gt;¨N/A¨))</xm:f>
            <x14:dxf>
              <fill>
                <patternFill>
                  <bgColor theme="1" tint="0.499984740745262"/>
                </patternFill>
              </fill>
            </x14:dxf>
          </x14:cfRule>
          <x14:cfRule type="expression" priority="6190" stopIfTrue="1" id="{C054B00B-392C-4C2A-B81A-3B0E9E51714B}">
            <xm:f>AND(IF(X162='F:\Users\norela.briceno\Documents\Plan de acción\Plan Accion 2018\[Plan Accion Integrado ADRES Vigencia 2018 con Cuadro de Mando V6..xlsx]Plan de Accion 2018'!#REF!,X162&lt;&gt;"N/A"))</xm:f>
            <x14:dxf>
              <fill>
                <patternFill>
                  <bgColor rgb="FF00B050"/>
                </patternFill>
              </fill>
            </x14:dxf>
          </x14:cfRule>
          <x14:cfRule type="expression" priority="6191" stopIfTrue="1" id="{F48025F7-3FEE-4C4C-9D1D-34313DEC7C72}">
            <xm:f>AND(IF(X162&lt;'F:\Users\norela.briceno\Documents\Plan de acción\Plan Accion 2018\[Plan Accion Integrado ADRES Vigencia 2018 con Cuadro de Mando V6..xlsx]Plan de Accion 2018'!#REF!,X162&lt;&gt;"N/A"))</xm:f>
            <x14:dxf>
              <fill>
                <patternFill>
                  <bgColor indexed="10"/>
                </patternFill>
              </fill>
            </x14:dxf>
          </x14:cfRule>
          <xm:sqref>X162</xm:sqref>
        </x14:conditionalFormatting>
        <x14:conditionalFormatting xmlns:xm="http://schemas.microsoft.com/office/excel/2006/main">
          <x14:cfRule type="expression" priority="6186" id="{B00A1618-9497-4AAD-BAE7-324C3A6BCAFF}">
            <xm:f>AND(IF(AE162&gt;'F:\Users\norela.briceno\Documents\Plan de acción\Plan Accion 2018\[Plan Accion Integrado ADRES Vigencia 2018 con Cuadro de Mando V6..xlsx]Plan de Accion 2018'!#REF!,AE162&lt;&gt;¨N/A¨))</xm:f>
            <x14:dxf>
              <fill>
                <patternFill>
                  <bgColor theme="1" tint="0.499984740745262"/>
                </patternFill>
              </fill>
            </x14:dxf>
          </x14:cfRule>
          <x14:cfRule type="expression" priority="6187" stopIfTrue="1" id="{A81BBDE2-4C50-464D-B8B2-1F5AF32F90F3}">
            <xm:f>AND(IF(AE162='F:\Users\norela.briceno\Documents\Plan de acción\Plan Accion 2018\[Plan Accion Integrado ADRES Vigencia 2018 con Cuadro de Mando V6..xlsx]Plan de Accion 2018'!#REF!,AE162&lt;&gt;"N/A"))</xm:f>
            <x14:dxf>
              <fill>
                <patternFill>
                  <bgColor rgb="FF00B050"/>
                </patternFill>
              </fill>
            </x14:dxf>
          </x14:cfRule>
          <x14:cfRule type="expression" priority="6188" stopIfTrue="1" id="{AD6EF8B3-55F3-4E0C-A208-12D973EA58D7}">
            <xm:f>AND(IF(AE162&lt;'F:\Users\norela.briceno\Documents\Plan de acción\Plan Accion 2018\[Plan Accion Integrado ADRES Vigencia 2018 con Cuadro de Mando V6..xlsx]Plan de Accion 2018'!#REF!,AE162&lt;&gt;"N/A"))</xm:f>
            <x14:dxf>
              <fill>
                <patternFill>
                  <bgColor indexed="10"/>
                </patternFill>
              </fill>
            </x14:dxf>
          </x14:cfRule>
          <xm:sqref>AE162</xm:sqref>
        </x14:conditionalFormatting>
        <x14:conditionalFormatting xmlns:xm="http://schemas.microsoft.com/office/excel/2006/main">
          <x14:cfRule type="expression" priority="6195" id="{B5735C13-7B22-451F-B8CF-BB70D676B316}">
            <xm:f>AND(IF(J162&gt;'F:\Users\norela.briceno\Documents\Plan de acción\Plan Accion 2018\[Plan Accion Integrado ADRES Vigencia 2018 con Cuadro de Mando V6..xlsx]Plan de Accion 2018'!#REF!,J162&lt;&gt;¨N/A¨))</xm:f>
            <x14:dxf>
              <fill>
                <patternFill>
                  <bgColor theme="1" tint="0.499984740745262"/>
                </patternFill>
              </fill>
            </x14:dxf>
          </x14:cfRule>
          <x14:cfRule type="expression" priority="6196" stopIfTrue="1" id="{BB72D678-43A8-49B5-AF9F-6457E15DC2DC}">
            <xm:f>AND(IF(J162='F:\Users\norela.briceno\Documents\Plan de acción\Plan Accion 2018\[Plan Accion Integrado ADRES Vigencia 2018 con Cuadro de Mando V6..xlsx]Plan de Accion 2018'!#REF!,J162&lt;&gt;"N/A"))</xm:f>
            <x14:dxf>
              <fill>
                <patternFill>
                  <bgColor rgb="FF00B050"/>
                </patternFill>
              </fill>
            </x14:dxf>
          </x14:cfRule>
          <x14:cfRule type="expression" priority="6197" stopIfTrue="1" id="{1AC2CAAB-F346-47FD-8456-BCBECE257834}">
            <xm:f>AND(IF(J162&lt;'F:\Users\norela.briceno\Documents\Plan de acción\Plan Accion 2018\[Plan Accion Integrado ADRES Vigencia 2018 con Cuadro de Mando V6..xlsx]Plan de Accion 2018'!#REF!,J162&lt;&gt;"N/A"))</xm:f>
            <x14:dxf>
              <fill>
                <patternFill>
                  <bgColor indexed="10"/>
                </patternFill>
              </fill>
            </x14:dxf>
          </x14:cfRule>
          <xm:sqref>J162</xm:sqref>
        </x14:conditionalFormatting>
        <x14:conditionalFormatting xmlns:xm="http://schemas.microsoft.com/office/excel/2006/main">
          <x14:cfRule type="expression" priority="6192" id="{514D4A8E-9851-4FA0-8953-4B2DA09BCE88}">
            <xm:f>AND(IF(Q162&gt;'F:\Users\norela.briceno\Documents\Plan de acción\Plan Accion 2018\[Plan Accion Integrado ADRES Vigencia 2018 con Cuadro de Mando V6..xlsx]Plan de Accion 2018'!#REF!,Q162&lt;&gt;¨N/A¨))</xm:f>
            <x14:dxf>
              <fill>
                <patternFill>
                  <bgColor theme="1" tint="0.499984740745262"/>
                </patternFill>
              </fill>
            </x14:dxf>
          </x14:cfRule>
          <x14:cfRule type="expression" priority="6193" stopIfTrue="1" id="{57A7F179-8409-4DB7-8558-268B2AC62625}">
            <xm:f>AND(IF(Q162='F:\Users\norela.briceno\Documents\Plan de acción\Plan Accion 2018\[Plan Accion Integrado ADRES Vigencia 2018 con Cuadro de Mando V6..xlsx]Plan de Accion 2018'!#REF!,Q162&lt;&gt;"N/A"))</xm:f>
            <x14:dxf>
              <fill>
                <patternFill>
                  <bgColor rgb="FF00B050"/>
                </patternFill>
              </fill>
            </x14:dxf>
          </x14:cfRule>
          <x14:cfRule type="expression" priority="6194" stopIfTrue="1" id="{C48F5FBD-5042-4ABC-955E-9765950ED94B}">
            <xm:f>AND(IF(Q162&lt;'F:\Users\norela.briceno\Documents\Plan de acción\Plan Accion 2018\[Plan Accion Integrado ADRES Vigencia 2018 con Cuadro de Mando V6..xlsx]Plan de Accion 2018'!#REF!,Q162&lt;&gt;"N/A"))</xm:f>
            <x14:dxf>
              <fill>
                <patternFill>
                  <bgColor indexed="10"/>
                </patternFill>
              </fill>
            </x14:dxf>
          </x14:cfRule>
          <xm:sqref>Q162</xm:sqref>
        </x14:conditionalFormatting>
        <x14:conditionalFormatting xmlns:xm="http://schemas.microsoft.com/office/excel/2006/main">
          <x14:cfRule type="expression" priority="6123" id="{FE3B6B1F-2AD3-4201-9B2C-28BBC91AB85B}">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124" stopIfTrue="1" id="{49461828-FE0A-4B93-B038-26E850DA0DA9}">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125" stopIfTrue="1" id="{80CF2528-498B-4F14-868F-5018378C6D3D}">
            <xm:f>AND(IF(J163&lt;'F:\Users\norela.briceno\Documents\Plan de acción\Plan Accion 2018\[Plan Accion Integrado ADRES Vigencia 2018 con Cuadro de Mando V6..xlsx]Plan de Accion 2018'!#REF!,J163&lt;&gt;"N/A"))</xm:f>
            <x14:dxf>
              <fill>
                <patternFill>
                  <bgColor indexed="10"/>
                </patternFill>
              </fill>
            </x14:dxf>
          </x14:cfRule>
          <xm:sqref>J163 Q163 AE163 X163</xm:sqref>
        </x14:conditionalFormatting>
        <x14:conditionalFormatting xmlns:xm="http://schemas.microsoft.com/office/excel/2006/main">
          <x14:cfRule type="expression" priority="6114" id="{39E16D68-990D-4441-A88A-C1ADD1C6EEE0}">
            <xm:f>AND(IF(X163&gt;'F:\Users\norela.briceno\Documents\Plan de acción\Plan Accion 2018\[Plan Accion Integrado ADRES Vigencia 2018 con Cuadro de Mando V6..xlsx]Plan de Accion 2018'!#REF!,X163&lt;&gt;¨N/A¨))</xm:f>
            <x14:dxf>
              <fill>
                <patternFill>
                  <bgColor theme="1" tint="0.499984740745262"/>
                </patternFill>
              </fill>
            </x14:dxf>
          </x14:cfRule>
          <x14:cfRule type="expression" priority="6115" stopIfTrue="1" id="{3CF7E1E4-88A4-482C-805B-5416593ABF0C}">
            <xm:f>AND(IF(X163='F:\Users\norela.briceno\Documents\Plan de acción\Plan Accion 2018\[Plan Accion Integrado ADRES Vigencia 2018 con Cuadro de Mando V6..xlsx]Plan de Accion 2018'!#REF!,X163&lt;&gt;"N/A"))</xm:f>
            <x14:dxf>
              <fill>
                <patternFill>
                  <bgColor rgb="FF00B050"/>
                </patternFill>
              </fill>
            </x14:dxf>
          </x14:cfRule>
          <x14:cfRule type="expression" priority="6116" stopIfTrue="1" id="{BC2A18AE-8222-42EA-B81A-9D7C671896A8}">
            <xm:f>AND(IF(X163&lt;'F:\Users\norela.briceno\Documents\Plan de acción\Plan Accion 2018\[Plan Accion Integrado ADRES Vigencia 2018 con Cuadro de Mando V6..xlsx]Plan de Accion 2018'!#REF!,X163&lt;&gt;"N/A"))</xm:f>
            <x14:dxf>
              <fill>
                <patternFill>
                  <bgColor indexed="10"/>
                </patternFill>
              </fill>
            </x14:dxf>
          </x14:cfRule>
          <xm:sqref>X163</xm:sqref>
        </x14:conditionalFormatting>
        <x14:conditionalFormatting xmlns:xm="http://schemas.microsoft.com/office/excel/2006/main">
          <x14:cfRule type="expression" priority="6111" id="{6E9F9AC6-8724-4196-A490-3AA641A7D704}">
            <xm:f>AND(IF(AE163&gt;'F:\Users\norela.briceno\Documents\Plan de acción\Plan Accion 2018\[Plan Accion Integrado ADRES Vigencia 2018 con Cuadro de Mando V6..xlsx]Plan de Accion 2018'!#REF!,AE163&lt;&gt;¨N/A¨))</xm:f>
            <x14:dxf>
              <fill>
                <patternFill>
                  <bgColor theme="1" tint="0.499984740745262"/>
                </patternFill>
              </fill>
            </x14:dxf>
          </x14:cfRule>
          <x14:cfRule type="expression" priority="6112" stopIfTrue="1" id="{CC2BB1F6-59CC-417B-8006-70C55FA7F481}">
            <xm:f>AND(IF(AE163='F:\Users\norela.briceno\Documents\Plan de acción\Plan Accion 2018\[Plan Accion Integrado ADRES Vigencia 2018 con Cuadro de Mando V6..xlsx]Plan de Accion 2018'!#REF!,AE163&lt;&gt;"N/A"))</xm:f>
            <x14:dxf>
              <fill>
                <patternFill>
                  <bgColor rgb="FF00B050"/>
                </patternFill>
              </fill>
            </x14:dxf>
          </x14:cfRule>
          <x14:cfRule type="expression" priority="6113" stopIfTrue="1" id="{F4D528A3-FFD7-42BA-922E-5D1C5CEFC108}">
            <xm:f>AND(IF(AE163&lt;'F:\Users\norela.briceno\Documents\Plan de acción\Plan Accion 2018\[Plan Accion Integrado ADRES Vigencia 2018 con Cuadro de Mando V6..xlsx]Plan de Accion 2018'!#REF!,AE163&lt;&gt;"N/A"))</xm:f>
            <x14:dxf>
              <fill>
                <patternFill>
                  <bgColor indexed="10"/>
                </patternFill>
              </fill>
            </x14:dxf>
          </x14:cfRule>
          <xm:sqref>AE163</xm:sqref>
        </x14:conditionalFormatting>
        <x14:conditionalFormatting xmlns:xm="http://schemas.microsoft.com/office/excel/2006/main">
          <x14:cfRule type="expression" priority="6120" id="{04018A8C-C270-4F90-8327-7764967DA3D1}">
            <xm:f>AND(IF(J163&gt;'F:\Users\norela.briceno\Documents\Plan de acción\Plan Accion 2018\[Plan Accion Integrado ADRES Vigencia 2018 con Cuadro de Mando V6..xlsx]Plan de Accion 2018'!#REF!,J163&lt;&gt;¨N/A¨))</xm:f>
            <x14:dxf>
              <fill>
                <patternFill>
                  <bgColor theme="1" tint="0.499984740745262"/>
                </patternFill>
              </fill>
            </x14:dxf>
          </x14:cfRule>
          <x14:cfRule type="expression" priority="6121" stopIfTrue="1" id="{0FA6235F-73A1-4AE8-8C4F-981B18177465}">
            <xm:f>AND(IF(J163='F:\Users\norela.briceno\Documents\Plan de acción\Plan Accion 2018\[Plan Accion Integrado ADRES Vigencia 2018 con Cuadro de Mando V6..xlsx]Plan de Accion 2018'!#REF!,J163&lt;&gt;"N/A"))</xm:f>
            <x14:dxf>
              <fill>
                <patternFill>
                  <bgColor rgb="FF00B050"/>
                </patternFill>
              </fill>
            </x14:dxf>
          </x14:cfRule>
          <x14:cfRule type="expression" priority="6122" stopIfTrue="1" id="{5F677F1A-B2CF-4D51-9AFA-ADF9B17A0555}">
            <xm:f>AND(IF(J163&lt;'F:\Users\norela.briceno\Documents\Plan de acción\Plan Accion 2018\[Plan Accion Integrado ADRES Vigencia 2018 con Cuadro de Mando V6..xlsx]Plan de Accion 2018'!#REF!,J163&lt;&gt;"N/A"))</xm:f>
            <x14:dxf>
              <fill>
                <patternFill>
                  <bgColor indexed="10"/>
                </patternFill>
              </fill>
            </x14:dxf>
          </x14:cfRule>
          <xm:sqref>J163</xm:sqref>
        </x14:conditionalFormatting>
        <x14:conditionalFormatting xmlns:xm="http://schemas.microsoft.com/office/excel/2006/main">
          <x14:cfRule type="expression" priority="6117" id="{A13D4646-8C4C-4A18-B7C2-54C461F65B29}">
            <xm:f>AND(IF(Q163&gt;'F:\Users\norela.briceno\Documents\Plan de acción\Plan Accion 2018\[Plan Accion Integrado ADRES Vigencia 2018 con Cuadro de Mando V6..xlsx]Plan de Accion 2018'!#REF!,Q163&lt;&gt;¨N/A¨))</xm:f>
            <x14:dxf>
              <fill>
                <patternFill>
                  <bgColor theme="1" tint="0.499984740745262"/>
                </patternFill>
              </fill>
            </x14:dxf>
          </x14:cfRule>
          <x14:cfRule type="expression" priority="6118" stopIfTrue="1" id="{F7F8792F-1021-45BA-B826-05FD607B2E2B}">
            <xm:f>AND(IF(Q163='F:\Users\norela.briceno\Documents\Plan de acción\Plan Accion 2018\[Plan Accion Integrado ADRES Vigencia 2018 con Cuadro de Mando V6..xlsx]Plan de Accion 2018'!#REF!,Q163&lt;&gt;"N/A"))</xm:f>
            <x14:dxf>
              <fill>
                <patternFill>
                  <bgColor rgb="FF00B050"/>
                </patternFill>
              </fill>
            </x14:dxf>
          </x14:cfRule>
          <x14:cfRule type="expression" priority="6119" stopIfTrue="1" id="{CF81AAC8-4CF9-4B67-A2E3-D8A30C7161FA}">
            <xm:f>AND(IF(Q163&lt;'F:\Users\norela.briceno\Documents\Plan de acción\Plan Accion 2018\[Plan Accion Integrado ADRES Vigencia 2018 con Cuadro de Mando V6..xlsx]Plan de Accion 2018'!#REF!,Q163&lt;&gt;"N/A"))</xm:f>
            <x14:dxf>
              <fill>
                <patternFill>
                  <bgColor indexed="10"/>
                </patternFill>
              </fill>
            </x14:dxf>
          </x14:cfRule>
          <xm:sqref>Q163</xm:sqref>
        </x14:conditionalFormatting>
        <x14:conditionalFormatting xmlns:xm="http://schemas.microsoft.com/office/excel/2006/main">
          <x14:cfRule type="expression" priority="6048" id="{F9B30121-17B9-4854-90AF-CDF6F73312DB}">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049" stopIfTrue="1" id="{CC59EA34-A3A3-4701-85E3-285F819B4E0D}">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050" stopIfTrue="1" id="{8631FE4F-D56B-4E56-804B-1A94F1976B0F}">
            <xm:f>AND(IF(J164&lt;'F:\Users\norela.briceno\Documents\Plan de acción\Plan Accion 2018\[Plan Accion Integrado ADRES Vigencia 2018 con Cuadro de Mando V6..xlsx]Plan de Accion 2018'!#REF!,J164&lt;&gt;"N/A"))</xm:f>
            <x14:dxf>
              <fill>
                <patternFill>
                  <bgColor indexed="10"/>
                </patternFill>
              </fill>
            </x14:dxf>
          </x14:cfRule>
          <xm:sqref>J164 Q164 AE164 X164</xm:sqref>
        </x14:conditionalFormatting>
        <x14:conditionalFormatting xmlns:xm="http://schemas.microsoft.com/office/excel/2006/main">
          <x14:cfRule type="expression" priority="6039" id="{7582E4CA-DCEB-43EE-80A6-1064EAB84261}">
            <xm:f>AND(IF(X164&gt;'F:\Users\norela.briceno\Documents\Plan de acción\Plan Accion 2018\[Plan Accion Integrado ADRES Vigencia 2018 con Cuadro de Mando V6..xlsx]Plan de Accion 2018'!#REF!,X164&lt;&gt;¨N/A¨))</xm:f>
            <x14:dxf>
              <fill>
                <patternFill>
                  <bgColor theme="1" tint="0.499984740745262"/>
                </patternFill>
              </fill>
            </x14:dxf>
          </x14:cfRule>
          <x14:cfRule type="expression" priority="6040" stopIfTrue="1" id="{71F40028-F7AE-4969-9499-ADE170479D7A}">
            <xm:f>AND(IF(X164='F:\Users\norela.briceno\Documents\Plan de acción\Plan Accion 2018\[Plan Accion Integrado ADRES Vigencia 2018 con Cuadro de Mando V6..xlsx]Plan de Accion 2018'!#REF!,X164&lt;&gt;"N/A"))</xm:f>
            <x14:dxf>
              <fill>
                <patternFill>
                  <bgColor rgb="FF00B050"/>
                </patternFill>
              </fill>
            </x14:dxf>
          </x14:cfRule>
          <x14:cfRule type="expression" priority="6041" stopIfTrue="1" id="{16A9768F-93FF-437D-ABC1-8CB5BF05DA3F}">
            <xm:f>AND(IF(X164&lt;'F:\Users\norela.briceno\Documents\Plan de acción\Plan Accion 2018\[Plan Accion Integrado ADRES Vigencia 2018 con Cuadro de Mando V6..xlsx]Plan de Accion 2018'!#REF!,X164&lt;&gt;"N/A"))</xm:f>
            <x14:dxf>
              <fill>
                <patternFill>
                  <bgColor indexed="10"/>
                </patternFill>
              </fill>
            </x14:dxf>
          </x14:cfRule>
          <xm:sqref>X164</xm:sqref>
        </x14:conditionalFormatting>
        <x14:conditionalFormatting xmlns:xm="http://schemas.microsoft.com/office/excel/2006/main">
          <x14:cfRule type="expression" priority="6036" id="{96C456E4-1AC8-4527-8CE9-B55F7B150CE7}">
            <xm:f>AND(IF(AE164&gt;'F:\Users\norela.briceno\Documents\Plan de acción\Plan Accion 2018\[Plan Accion Integrado ADRES Vigencia 2018 con Cuadro de Mando V6..xlsx]Plan de Accion 2018'!#REF!,AE164&lt;&gt;¨N/A¨))</xm:f>
            <x14:dxf>
              <fill>
                <patternFill>
                  <bgColor theme="1" tint="0.499984740745262"/>
                </patternFill>
              </fill>
            </x14:dxf>
          </x14:cfRule>
          <x14:cfRule type="expression" priority="6037" stopIfTrue="1" id="{76B755E8-6E06-4DFC-A882-7BA31B41DD52}">
            <xm:f>AND(IF(AE164='F:\Users\norela.briceno\Documents\Plan de acción\Plan Accion 2018\[Plan Accion Integrado ADRES Vigencia 2018 con Cuadro de Mando V6..xlsx]Plan de Accion 2018'!#REF!,AE164&lt;&gt;"N/A"))</xm:f>
            <x14:dxf>
              <fill>
                <patternFill>
                  <bgColor rgb="FF00B050"/>
                </patternFill>
              </fill>
            </x14:dxf>
          </x14:cfRule>
          <x14:cfRule type="expression" priority="6038" stopIfTrue="1" id="{9B6DC9F4-DCE1-4EB7-8A79-06A8DD36293D}">
            <xm:f>AND(IF(AE164&lt;'F:\Users\norela.briceno\Documents\Plan de acción\Plan Accion 2018\[Plan Accion Integrado ADRES Vigencia 2018 con Cuadro de Mando V6..xlsx]Plan de Accion 2018'!#REF!,AE164&lt;&gt;"N/A"))</xm:f>
            <x14:dxf>
              <fill>
                <patternFill>
                  <bgColor indexed="10"/>
                </patternFill>
              </fill>
            </x14:dxf>
          </x14:cfRule>
          <xm:sqref>AE164</xm:sqref>
        </x14:conditionalFormatting>
        <x14:conditionalFormatting xmlns:xm="http://schemas.microsoft.com/office/excel/2006/main">
          <x14:cfRule type="expression" priority="6045" id="{B4FF5167-6040-499F-AB62-B3E1C8992832}">
            <xm:f>AND(IF(J164&gt;'F:\Users\norela.briceno\Documents\Plan de acción\Plan Accion 2018\[Plan Accion Integrado ADRES Vigencia 2018 con Cuadro de Mando V6..xlsx]Plan de Accion 2018'!#REF!,J164&lt;&gt;¨N/A¨))</xm:f>
            <x14:dxf>
              <fill>
                <patternFill>
                  <bgColor theme="1" tint="0.499984740745262"/>
                </patternFill>
              </fill>
            </x14:dxf>
          </x14:cfRule>
          <x14:cfRule type="expression" priority="6046" stopIfTrue="1" id="{BD5DE37C-AC73-4AEB-8C77-7F35562608D7}">
            <xm:f>AND(IF(J164='F:\Users\norela.briceno\Documents\Plan de acción\Plan Accion 2018\[Plan Accion Integrado ADRES Vigencia 2018 con Cuadro de Mando V6..xlsx]Plan de Accion 2018'!#REF!,J164&lt;&gt;"N/A"))</xm:f>
            <x14:dxf>
              <fill>
                <patternFill>
                  <bgColor rgb="FF00B050"/>
                </patternFill>
              </fill>
            </x14:dxf>
          </x14:cfRule>
          <x14:cfRule type="expression" priority="6047" stopIfTrue="1" id="{88210313-6502-4998-93F4-EA2BF5E4F742}">
            <xm:f>AND(IF(J164&lt;'F:\Users\norela.briceno\Documents\Plan de acción\Plan Accion 2018\[Plan Accion Integrado ADRES Vigencia 2018 con Cuadro de Mando V6..xlsx]Plan de Accion 2018'!#REF!,J164&lt;&gt;"N/A"))</xm:f>
            <x14:dxf>
              <fill>
                <patternFill>
                  <bgColor indexed="10"/>
                </patternFill>
              </fill>
            </x14:dxf>
          </x14:cfRule>
          <xm:sqref>J164</xm:sqref>
        </x14:conditionalFormatting>
        <x14:conditionalFormatting xmlns:xm="http://schemas.microsoft.com/office/excel/2006/main">
          <x14:cfRule type="expression" priority="6042" id="{BFFCD5ED-9757-4C06-BBF4-1B958080C417}">
            <xm:f>AND(IF(Q164&gt;'F:\Users\norela.briceno\Documents\Plan de acción\Plan Accion 2018\[Plan Accion Integrado ADRES Vigencia 2018 con Cuadro de Mando V6..xlsx]Plan de Accion 2018'!#REF!,Q164&lt;&gt;¨N/A¨))</xm:f>
            <x14:dxf>
              <fill>
                <patternFill>
                  <bgColor theme="1" tint="0.499984740745262"/>
                </patternFill>
              </fill>
            </x14:dxf>
          </x14:cfRule>
          <x14:cfRule type="expression" priority="6043" stopIfTrue="1" id="{B9D96603-D19B-4AA8-981B-1EB184192A3B}">
            <xm:f>AND(IF(Q164='F:\Users\norela.briceno\Documents\Plan de acción\Plan Accion 2018\[Plan Accion Integrado ADRES Vigencia 2018 con Cuadro de Mando V6..xlsx]Plan de Accion 2018'!#REF!,Q164&lt;&gt;"N/A"))</xm:f>
            <x14:dxf>
              <fill>
                <patternFill>
                  <bgColor rgb="FF00B050"/>
                </patternFill>
              </fill>
            </x14:dxf>
          </x14:cfRule>
          <x14:cfRule type="expression" priority="6044" stopIfTrue="1" id="{8A6973D4-A9AA-4644-9961-489136A5C887}">
            <xm:f>AND(IF(Q164&lt;'F:\Users\norela.briceno\Documents\Plan de acción\Plan Accion 2018\[Plan Accion Integrado ADRES Vigencia 2018 con Cuadro de Mando V6..xlsx]Plan de Accion 2018'!#REF!,Q164&lt;&gt;"N/A"))</xm:f>
            <x14:dxf>
              <fill>
                <patternFill>
                  <bgColor indexed="10"/>
                </patternFill>
              </fill>
            </x14:dxf>
          </x14:cfRule>
          <xm:sqref>Q164</xm:sqref>
        </x14:conditionalFormatting>
        <x14:conditionalFormatting xmlns:xm="http://schemas.microsoft.com/office/excel/2006/main">
          <x14:cfRule type="expression" priority="5973" id="{C34BEEA5-937E-4DEC-AAA9-61F35E12B6B9}">
            <xm:f>AND(IF(J221&gt;'F:\Users\norela.briceno\Documents\Plan de acción\Plan Accion 2018\[Plan Accion Integrado ADRES Vigencia 2018 con Cuadro de Mando V6..xlsx]Plan de Accion 2018'!#REF!,J221&lt;&gt;¨N/A¨))</xm:f>
            <x14:dxf>
              <fill>
                <patternFill>
                  <bgColor theme="1" tint="0.499984740745262"/>
                </patternFill>
              </fill>
            </x14:dxf>
          </x14:cfRule>
          <x14:cfRule type="expression" priority="5974" stopIfTrue="1" id="{0BA6E738-7506-4D8A-8F87-554B3E192A04}">
            <xm:f>AND(IF(J221='F:\Users\norela.briceno\Documents\Plan de acción\Plan Accion 2018\[Plan Accion Integrado ADRES Vigencia 2018 con Cuadro de Mando V6..xlsx]Plan de Accion 2018'!#REF!,J221&lt;&gt;"N/A"))</xm:f>
            <x14:dxf>
              <fill>
                <patternFill>
                  <bgColor rgb="FF00B050"/>
                </patternFill>
              </fill>
            </x14:dxf>
          </x14:cfRule>
          <x14:cfRule type="expression" priority="5975" stopIfTrue="1" id="{E9DE201D-6558-4B1C-BEA7-D107D48E0202}">
            <xm:f>AND(IF(J221&lt;'F:\Users\norela.briceno\Documents\Plan de acción\Plan Accion 2018\[Plan Accion Integrado ADRES Vigencia 2018 con Cuadro de Mando V6..xlsx]Plan de Accion 2018'!#REF!,J221&lt;&gt;"N/A"))</xm:f>
            <x14:dxf>
              <fill>
                <patternFill>
                  <bgColor indexed="10"/>
                </patternFill>
              </fill>
            </x14:dxf>
          </x14:cfRule>
          <xm:sqref>J221 Q221 X221</xm:sqref>
        </x14:conditionalFormatting>
        <x14:conditionalFormatting xmlns:xm="http://schemas.microsoft.com/office/excel/2006/main">
          <x14:cfRule type="expression" priority="5970" id="{77869E63-2413-4530-962F-65F62FDBD15E}">
            <xm:f>AND(IF(AE221&gt;'F:\Users\norela.briceno\Documents\Plan de acción\Plan Accion 2018\[Plan Accion Integrado ADRES Vigencia 2018 con Cuadro de Mando V6..xlsx]Plan de Accion 2018'!#REF!,AE221&lt;&gt;¨N/A¨))</xm:f>
            <x14:dxf>
              <fill>
                <patternFill>
                  <bgColor theme="1" tint="0.499984740745262"/>
                </patternFill>
              </fill>
            </x14:dxf>
          </x14:cfRule>
          <x14:cfRule type="expression" priority="5971" stopIfTrue="1" id="{FC6CC163-C3F8-4EB6-B256-BD599328F7F4}">
            <xm:f>AND(IF(AE221='F:\Users\norela.briceno\Documents\Plan de acción\Plan Accion 2018\[Plan Accion Integrado ADRES Vigencia 2018 con Cuadro de Mando V6..xlsx]Plan de Accion 2018'!#REF!,AE221&lt;&gt;"N/A"))</xm:f>
            <x14:dxf>
              <fill>
                <patternFill>
                  <bgColor rgb="FF00B050"/>
                </patternFill>
              </fill>
            </x14:dxf>
          </x14:cfRule>
          <x14:cfRule type="expression" priority="5972" stopIfTrue="1" id="{52F153CA-3007-4EF5-9C21-0D8AF7D8D9D1}">
            <xm:f>AND(IF(AE221&lt;'F:\Users\norela.briceno\Documents\Plan de acción\Plan Accion 2018\[Plan Accion Integrado ADRES Vigencia 2018 con Cuadro de Mando V6..xlsx]Plan de Accion 2018'!#REF!,AE221&lt;&gt;"N/A"))</xm:f>
            <x14:dxf>
              <fill>
                <patternFill>
                  <bgColor indexed="10"/>
                </patternFill>
              </fill>
            </x14:dxf>
          </x14:cfRule>
          <xm:sqref>AE221</xm:sqref>
        </x14:conditionalFormatting>
        <x14:conditionalFormatting xmlns:xm="http://schemas.microsoft.com/office/excel/2006/main">
          <x14:cfRule type="expression" priority="5829" id="{83A8B659-1A4E-42CF-8B0F-0244DA05A2C7}">
            <xm:f>AND(IF(J223&gt;'F:\Users\norela.briceno\Documents\Plan de acción\Plan Accion 2018\[Plan Accion Integrado ADRES Vigencia 2018 con Cuadro de Mando V6..xlsx]Plan de Accion 2018'!#REF!,J223&lt;&gt;¨N/A¨))</xm:f>
            <x14:dxf>
              <fill>
                <patternFill>
                  <bgColor theme="1" tint="0.499984740745262"/>
                </patternFill>
              </fill>
            </x14:dxf>
          </x14:cfRule>
          <x14:cfRule type="expression" priority="5830" stopIfTrue="1" id="{029266E3-CD95-4642-8231-B44DC3BE9F30}">
            <xm:f>AND(IF(J223='F:\Users\norela.briceno\Documents\Plan de acción\Plan Accion 2018\[Plan Accion Integrado ADRES Vigencia 2018 con Cuadro de Mando V6..xlsx]Plan de Accion 2018'!#REF!,J223&lt;&gt;"N/A"))</xm:f>
            <x14:dxf>
              <fill>
                <patternFill>
                  <bgColor rgb="FF00B050"/>
                </patternFill>
              </fill>
            </x14:dxf>
          </x14:cfRule>
          <x14:cfRule type="expression" priority="5831" stopIfTrue="1" id="{2981106E-9119-4E96-BE2F-386B69562CF6}">
            <xm:f>AND(IF(J223&lt;'F:\Users\norela.briceno\Documents\Plan de acción\Plan Accion 2018\[Plan Accion Integrado ADRES Vigencia 2018 con Cuadro de Mando V6..xlsx]Plan de Accion 2018'!#REF!,J223&lt;&gt;"N/A"))</xm:f>
            <x14:dxf>
              <fill>
                <patternFill>
                  <bgColor indexed="10"/>
                </patternFill>
              </fill>
            </x14:dxf>
          </x14:cfRule>
          <xm:sqref>J223</xm:sqref>
        </x14:conditionalFormatting>
        <x14:conditionalFormatting xmlns:xm="http://schemas.microsoft.com/office/excel/2006/main">
          <x14:cfRule type="expression" priority="5826" id="{C10D817A-5504-4927-A046-F47BCBB57D62}">
            <xm:f>AND(IF(Q223&gt;'F:\Users\norela.briceno\Documents\Plan de acción\Plan Accion 2018\[Plan Accion Integrado ADRES Vigencia 2018 con Cuadro de Mando V6..xlsx]Plan de Accion 2018'!#REF!,Q223&lt;&gt;¨N/A¨))</xm:f>
            <x14:dxf>
              <fill>
                <patternFill>
                  <bgColor theme="1" tint="0.499984740745262"/>
                </patternFill>
              </fill>
            </x14:dxf>
          </x14:cfRule>
          <x14:cfRule type="expression" priority="5827" stopIfTrue="1" id="{86FE6A8F-78C1-46C8-A4F1-D130ECDAA707}">
            <xm:f>AND(IF(Q223='F:\Users\norela.briceno\Documents\Plan de acción\Plan Accion 2018\[Plan Accion Integrado ADRES Vigencia 2018 con Cuadro de Mando V6..xlsx]Plan de Accion 2018'!#REF!,Q223&lt;&gt;"N/A"))</xm:f>
            <x14:dxf>
              <fill>
                <patternFill>
                  <bgColor rgb="FF00B050"/>
                </patternFill>
              </fill>
            </x14:dxf>
          </x14:cfRule>
          <x14:cfRule type="expression" priority="5828" stopIfTrue="1" id="{422C06F6-60C5-45ED-AA73-CE35359030F3}">
            <xm:f>AND(IF(Q223&lt;'F:\Users\norela.briceno\Documents\Plan de acción\Plan Accion 2018\[Plan Accion Integrado ADRES Vigencia 2018 con Cuadro de Mando V6..xlsx]Plan de Accion 2018'!#REF!,Q223&lt;&gt;"N/A"))</xm:f>
            <x14:dxf>
              <fill>
                <patternFill>
                  <bgColor indexed="10"/>
                </patternFill>
              </fill>
            </x14:dxf>
          </x14:cfRule>
          <xm:sqref>Q223</xm:sqref>
        </x14:conditionalFormatting>
        <x14:conditionalFormatting xmlns:xm="http://schemas.microsoft.com/office/excel/2006/main">
          <x14:cfRule type="expression" priority="5823" id="{8945044E-5B70-498A-91FB-BAD1FC2E7CC3}">
            <xm:f>AND(IF(X223&gt;'F:\Users\norela.briceno\Documents\Plan de acción\Plan Accion 2018\[Plan Accion Integrado ADRES Vigencia 2018 con Cuadro de Mando V6..xlsx]Plan de Accion 2018'!#REF!,X223&lt;&gt;¨N/A¨))</xm:f>
            <x14:dxf>
              <fill>
                <patternFill>
                  <bgColor theme="1" tint="0.499984740745262"/>
                </patternFill>
              </fill>
            </x14:dxf>
          </x14:cfRule>
          <x14:cfRule type="expression" priority="5824" stopIfTrue="1" id="{4B65AA45-25F5-4ECA-90D8-8456879FC782}">
            <xm:f>AND(IF(X223='F:\Users\norela.briceno\Documents\Plan de acción\Plan Accion 2018\[Plan Accion Integrado ADRES Vigencia 2018 con Cuadro de Mando V6..xlsx]Plan de Accion 2018'!#REF!,X223&lt;&gt;"N/A"))</xm:f>
            <x14:dxf>
              <fill>
                <patternFill>
                  <bgColor rgb="FF00B050"/>
                </patternFill>
              </fill>
            </x14:dxf>
          </x14:cfRule>
          <x14:cfRule type="expression" priority="5825" stopIfTrue="1" id="{224F094A-0269-447D-8798-2295BEBD7B38}">
            <xm:f>AND(IF(X223&lt;'F:\Users\norela.briceno\Documents\Plan de acción\Plan Accion 2018\[Plan Accion Integrado ADRES Vigencia 2018 con Cuadro de Mando V6..xlsx]Plan de Accion 2018'!#REF!,X223&lt;&gt;"N/A"))</xm:f>
            <x14:dxf>
              <fill>
                <patternFill>
                  <bgColor indexed="10"/>
                </patternFill>
              </fill>
            </x14:dxf>
          </x14:cfRule>
          <xm:sqref>X223</xm:sqref>
        </x14:conditionalFormatting>
        <x14:conditionalFormatting xmlns:xm="http://schemas.microsoft.com/office/excel/2006/main">
          <x14:cfRule type="expression" priority="5820" id="{332524AB-F5D3-4E3B-8017-C5D6D9439D6E}">
            <xm:f>AND(IF(AE223&gt;'F:\Users\norela.briceno\Documents\Plan de acción\Plan Accion 2018\[Plan Accion Integrado ADRES Vigencia 2018 con Cuadro de Mando V6..xlsx]Plan de Accion 2018'!#REF!,AE223&lt;&gt;¨N/A¨))</xm:f>
            <x14:dxf>
              <fill>
                <patternFill>
                  <bgColor theme="1" tint="0.499984740745262"/>
                </patternFill>
              </fill>
            </x14:dxf>
          </x14:cfRule>
          <x14:cfRule type="expression" priority="5821" stopIfTrue="1" id="{84ED7FAC-0230-427D-8C02-35BCF01FAD57}">
            <xm:f>AND(IF(AE223='F:\Users\norela.briceno\Documents\Plan de acción\Plan Accion 2018\[Plan Accion Integrado ADRES Vigencia 2018 con Cuadro de Mando V6..xlsx]Plan de Accion 2018'!#REF!,AE223&lt;&gt;"N/A"))</xm:f>
            <x14:dxf>
              <fill>
                <patternFill>
                  <bgColor rgb="FF00B050"/>
                </patternFill>
              </fill>
            </x14:dxf>
          </x14:cfRule>
          <x14:cfRule type="expression" priority="5822" stopIfTrue="1" id="{F563CDF4-C64F-4D59-B393-BAAC2E5CA4C0}">
            <xm:f>AND(IF(AE223&lt;'F:\Users\norela.briceno\Documents\Plan de acción\Plan Accion 2018\[Plan Accion Integrado ADRES Vigencia 2018 con Cuadro de Mando V6..xlsx]Plan de Accion 2018'!#REF!,AE223&lt;&gt;"N/A"))</xm:f>
            <x14:dxf>
              <fill>
                <patternFill>
                  <bgColor indexed="10"/>
                </patternFill>
              </fill>
            </x14:dxf>
          </x14:cfRule>
          <xm:sqref>AE223</xm:sqref>
        </x14:conditionalFormatting>
        <x14:conditionalFormatting xmlns:xm="http://schemas.microsoft.com/office/excel/2006/main">
          <x14:cfRule type="expression" priority="5772" id="{149B742A-24C4-43B2-8B53-F6D3C4FBB79E}">
            <xm:f>AND(IF(J224&gt;'F:\Users\norela.briceno\Documents\Plan de acción\Plan Accion 2018\[Plan Accion Integrado ADRES Vigencia 2018 con Cuadro de Mando V6..xlsx]Plan de Accion 2018'!#REF!,J224&lt;&gt;¨N/A¨))</xm:f>
            <x14:dxf>
              <fill>
                <patternFill>
                  <bgColor theme="1" tint="0.499984740745262"/>
                </patternFill>
              </fill>
            </x14:dxf>
          </x14:cfRule>
          <x14:cfRule type="expression" priority="5773" stopIfTrue="1" id="{47219E15-B7A1-4B00-A24F-135CD2BB46AB}">
            <xm:f>AND(IF(J224='F:\Users\norela.briceno\Documents\Plan de acción\Plan Accion 2018\[Plan Accion Integrado ADRES Vigencia 2018 con Cuadro de Mando V6..xlsx]Plan de Accion 2018'!#REF!,J224&lt;&gt;"N/A"))</xm:f>
            <x14:dxf>
              <fill>
                <patternFill>
                  <bgColor rgb="FF00B050"/>
                </patternFill>
              </fill>
            </x14:dxf>
          </x14:cfRule>
          <x14:cfRule type="expression" priority="5774" stopIfTrue="1" id="{B30DB269-C50E-42F4-81EE-A154E1BCC295}">
            <xm:f>AND(IF(J224&lt;'F:\Users\norela.briceno\Documents\Plan de acción\Plan Accion 2018\[Plan Accion Integrado ADRES Vigencia 2018 con Cuadro de Mando V6..xlsx]Plan de Accion 2018'!#REF!,J224&lt;&gt;"N/A"))</xm:f>
            <x14:dxf>
              <fill>
                <patternFill>
                  <bgColor indexed="10"/>
                </patternFill>
              </fill>
            </x14:dxf>
          </x14:cfRule>
          <xm:sqref>J224</xm:sqref>
        </x14:conditionalFormatting>
        <x14:conditionalFormatting xmlns:xm="http://schemas.microsoft.com/office/excel/2006/main">
          <x14:cfRule type="expression" priority="5769" id="{547A33DE-7BD5-4E7A-A668-873024494D63}">
            <xm:f>AND(IF(Q224&gt;'F:\Users\norela.briceno\Documents\Plan de acción\Plan Accion 2018\[Plan Accion Integrado ADRES Vigencia 2018 con Cuadro de Mando V6..xlsx]Plan de Accion 2018'!#REF!,Q224&lt;&gt;¨N/A¨))</xm:f>
            <x14:dxf>
              <fill>
                <patternFill>
                  <bgColor theme="1" tint="0.499984740745262"/>
                </patternFill>
              </fill>
            </x14:dxf>
          </x14:cfRule>
          <x14:cfRule type="expression" priority="5770" stopIfTrue="1" id="{AFFD421F-BCAD-4149-B73D-FF500986BA42}">
            <xm:f>AND(IF(Q224='F:\Users\norela.briceno\Documents\Plan de acción\Plan Accion 2018\[Plan Accion Integrado ADRES Vigencia 2018 con Cuadro de Mando V6..xlsx]Plan de Accion 2018'!#REF!,Q224&lt;&gt;"N/A"))</xm:f>
            <x14:dxf>
              <fill>
                <patternFill>
                  <bgColor rgb="FF00B050"/>
                </patternFill>
              </fill>
            </x14:dxf>
          </x14:cfRule>
          <x14:cfRule type="expression" priority="5771" stopIfTrue="1" id="{A8609158-53A4-4457-B64C-73C642D7966E}">
            <xm:f>AND(IF(Q224&lt;'F:\Users\norela.briceno\Documents\Plan de acción\Plan Accion 2018\[Plan Accion Integrado ADRES Vigencia 2018 con Cuadro de Mando V6..xlsx]Plan de Accion 2018'!#REF!,Q224&lt;&gt;"N/A"))</xm:f>
            <x14:dxf>
              <fill>
                <patternFill>
                  <bgColor indexed="10"/>
                </patternFill>
              </fill>
            </x14:dxf>
          </x14:cfRule>
          <xm:sqref>Q224</xm:sqref>
        </x14:conditionalFormatting>
        <x14:conditionalFormatting xmlns:xm="http://schemas.microsoft.com/office/excel/2006/main">
          <x14:cfRule type="expression" priority="5766" id="{830158AD-726B-4B2C-8C51-1D393FDF5B08}">
            <xm:f>AND(IF(X224&gt;'F:\Users\norela.briceno\Documents\Plan de acción\Plan Accion 2018\[Plan Accion Integrado ADRES Vigencia 2018 con Cuadro de Mando V6..xlsx]Plan de Accion 2018'!#REF!,X224&lt;&gt;¨N/A¨))</xm:f>
            <x14:dxf>
              <fill>
                <patternFill>
                  <bgColor theme="1" tint="0.499984740745262"/>
                </patternFill>
              </fill>
            </x14:dxf>
          </x14:cfRule>
          <x14:cfRule type="expression" priority="5767" stopIfTrue="1" id="{190FEC07-2924-480E-8134-5875A12761BF}">
            <xm:f>AND(IF(X224='F:\Users\norela.briceno\Documents\Plan de acción\Plan Accion 2018\[Plan Accion Integrado ADRES Vigencia 2018 con Cuadro de Mando V6..xlsx]Plan de Accion 2018'!#REF!,X224&lt;&gt;"N/A"))</xm:f>
            <x14:dxf>
              <fill>
                <patternFill>
                  <bgColor rgb="FF00B050"/>
                </patternFill>
              </fill>
            </x14:dxf>
          </x14:cfRule>
          <x14:cfRule type="expression" priority="5768" stopIfTrue="1" id="{95CC606B-8E5F-4885-8098-9AC556461FAC}">
            <xm:f>AND(IF(X224&lt;'F:\Users\norela.briceno\Documents\Plan de acción\Plan Accion 2018\[Plan Accion Integrado ADRES Vigencia 2018 con Cuadro de Mando V6..xlsx]Plan de Accion 2018'!#REF!,X224&lt;&gt;"N/A"))</xm:f>
            <x14:dxf>
              <fill>
                <patternFill>
                  <bgColor indexed="10"/>
                </patternFill>
              </fill>
            </x14:dxf>
          </x14:cfRule>
          <xm:sqref>X224</xm:sqref>
        </x14:conditionalFormatting>
        <x14:conditionalFormatting xmlns:xm="http://schemas.microsoft.com/office/excel/2006/main">
          <x14:cfRule type="expression" priority="5763" id="{B9DB54FB-8EF3-4E84-B51A-E9ABE745EE1E}">
            <xm:f>AND(IF(AE224&gt;'F:\Users\norela.briceno\Documents\Plan de acción\Plan Accion 2018\[Plan Accion Integrado ADRES Vigencia 2018 con Cuadro de Mando V6..xlsx]Plan de Accion 2018'!#REF!,AE224&lt;&gt;¨N/A¨))</xm:f>
            <x14:dxf>
              <fill>
                <patternFill>
                  <bgColor theme="1" tint="0.499984740745262"/>
                </patternFill>
              </fill>
            </x14:dxf>
          </x14:cfRule>
          <x14:cfRule type="expression" priority="5764" stopIfTrue="1" id="{CC3A0616-EFD1-4870-968C-D5D0D1DCFC54}">
            <xm:f>AND(IF(AE224='F:\Users\norela.briceno\Documents\Plan de acción\Plan Accion 2018\[Plan Accion Integrado ADRES Vigencia 2018 con Cuadro de Mando V6..xlsx]Plan de Accion 2018'!#REF!,AE224&lt;&gt;"N/A"))</xm:f>
            <x14:dxf>
              <fill>
                <patternFill>
                  <bgColor rgb="FF00B050"/>
                </patternFill>
              </fill>
            </x14:dxf>
          </x14:cfRule>
          <x14:cfRule type="expression" priority="5765" stopIfTrue="1" id="{69D912B8-B141-4594-8F31-C5C4D6FFBFE6}">
            <xm:f>AND(IF(AE224&lt;'F:\Users\norela.briceno\Documents\Plan de acción\Plan Accion 2018\[Plan Accion Integrado ADRES Vigencia 2018 con Cuadro de Mando V6..xlsx]Plan de Accion 2018'!#REF!,AE224&lt;&gt;"N/A"))</xm:f>
            <x14:dxf>
              <fill>
                <patternFill>
                  <bgColor indexed="10"/>
                </patternFill>
              </fill>
            </x14:dxf>
          </x14:cfRule>
          <xm:sqref>AE224</xm:sqref>
        </x14:conditionalFormatting>
        <x14:conditionalFormatting xmlns:xm="http://schemas.microsoft.com/office/excel/2006/main">
          <x14:cfRule type="expression" priority="5586" id="{566F99DB-BC11-4E68-B845-47CC81715891}">
            <xm:f>AND(IF(J227&gt;'F:\Users\norela.briceno\Documents\Plan de acción\Plan Accion 2018\[Plan Accion Integrado ADRES Vigencia 2018 con Cuadro de Mando V6..xlsx]Plan de Accion 2018'!#REF!,J227&lt;&gt;¨N/A¨))</xm:f>
            <x14:dxf>
              <fill>
                <patternFill>
                  <bgColor theme="1" tint="0.499984740745262"/>
                </patternFill>
              </fill>
            </x14:dxf>
          </x14:cfRule>
          <x14:cfRule type="expression" priority="5587" stopIfTrue="1" id="{C45D2435-F3F3-4BDC-A912-52BFF8A52C4D}">
            <xm:f>AND(IF(J227='F:\Users\norela.briceno\Documents\Plan de acción\Plan Accion 2018\[Plan Accion Integrado ADRES Vigencia 2018 con Cuadro de Mando V6..xlsx]Plan de Accion 2018'!#REF!,J227&lt;&gt;"N/A"))</xm:f>
            <x14:dxf>
              <fill>
                <patternFill>
                  <bgColor rgb="FF00B050"/>
                </patternFill>
              </fill>
            </x14:dxf>
          </x14:cfRule>
          <x14:cfRule type="expression" priority="5588" stopIfTrue="1" id="{CE6C320C-D118-4046-8BA4-757036C7D278}">
            <xm:f>AND(IF(J227&lt;'F:\Users\norela.briceno\Documents\Plan de acción\Plan Accion 2018\[Plan Accion Integrado ADRES Vigencia 2018 con Cuadro de Mando V6..xlsx]Plan de Accion 2018'!#REF!,J227&lt;&gt;"N/A"))</xm:f>
            <x14:dxf>
              <fill>
                <patternFill>
                  <bgColor indexed="10"/>
                </patternFill>
              </fill>
            </x14:dxf>
          </x14:cfRule>
          <xm:sqref>J227:J230</xm:sqref>
        </x14:conditionalFormatting>
        <x14:conditionalFormatting xmlns:xm="http://schemas.microsoft.com/office/excel/2006/main">
          <x14:cfRule type="expression" priority="5583" id="{2FA8E241-141C-41EF-803D-4CA21DE16142}">
            <xm:f>AND(IF(Q227&gt;'F:\Users\norela.briceno\Documents\Plan de acción\Plan Accion 2018\[Plan Accion Integrado ADRES Vigencia 2018 con Cuadro de Mando V6..xlsx]Plan de Accion 2018'!#REF!,Q227&lt;&gt;¨N/A¨))</xm:f>
            <x14:dxf>
              <fill>
                <patternFill>
                  <bgColor theme="1" tint="0.499984740745262"/>
                </patternFill>
              </fill>
            </x14:dxf>
          </x14:cfRule>
          <x14:cfRule type="expression" priority="5584" stopIfTrue="1" id="{57BA5BED-3C78-4A09-AF05-98A8A0F64CE2}">
            <xm:f>AND(IF(Q227='F:\Users\norela.briceno\Documents\Plan de acción\Plan Accion 2018\[Plan Accion Integrado ADRES Vigencia 2018 con Cuadro de Mando V6..xlsx]Plan de Accion 2018'!#REF!,Q227&lt;&gt;"N/A"))</xm:f>
            <x14:dxf>
              <fill>
                <patternFill>
                  <bgColor rgb="FF00B050"/>
                </patternFill>
              </fill>
            </x14:dxf>
          </x14:cfRule>
          <x14:cfRule type="expression" priority="5585" stopIfTrue="1" id="{125416A4-E1C7-49CA-9574-541134EF2EFD}">
            <xm:f>AND(IF(Q227&lt;'F:\Users\norela.briceno\Documents\Plan de acción\Plan Accion 2018\[Plan Accion Integrado ADRES Vigencia 2018 con Cuadro de Mando V6..xlsx]Plan de Accion 2018'!#REF!,Q227&lt;&gt;"N/A"))</xm:f>
            <x14:dxf>
              <fill>
                <patternFill>
                  <bgColor indexed="10"/>
                </patternFill>
              </fill>
            </x14:dxf>
          </x14:cfRule>
          <xm:sqref>Q227:Q230</xm:sqref>
        </x14:conditionalFormatting>
        <x14:conditionalFormatting xmlns:xm="http://schemas.microsoft.com/office/excel/2006/main">
          <x14:cfRule type="expression" priority="5580" id="{8F3FFA04-725B-4452-A223-345D4F669B9C}">
            <xm:f>AND(IF(X228&gt;'F:\Users\norela.briceno\Documents\Plan de acción\Plan Accion 2018\[Plan Accion Integrado ADRES Vigencia 2018 con Cuadro de Mando V6..xlsx]Plan de Accion 2018'!#REF!,X228&lt;&gt;¨N/A¨))</xm:f>
            <x14:dxf>
              <fill>
                <patternFill>
                  <bgColor theme="1" tint="0.499984740745262"/>
                </patternFill>
              </fill>
            </x14:dxf>
          </x14:cfRule>
          <x14:cfRule type="expression" priority="5581" stopIfTrue="1" id="{51B883A6-3066-4498-9740-10DA7CE9E01E}">
            <xm:f>AND(IF(X228='F:\Users\norela.briceno\Documents\Plan de acción\Plan Accion 2018\[Plan Accion Integrado ADRES Vigencia 2018 con Cuadro de Mando V6..xlsx]Plan de Accion 2018'!#REF!,X228&lt;&gt;"N/A"))</xm:f>
            <x14:dxf>
              <fill>
                <patternFill>
                  <bgColor rgb="FF00B050"/>
                </patternFill>
              </fill>
            </x14:dxf>
          </x14:cfRule>
          <x14:cfRule type="expression" priority="5582" stopIfTrue="1" id="{C06BDC18-C773-46E2-A257-6582319B518A}">
            <xm:f>AND(IF(X228&lt;'F:\Users\norela.briceno\Documents\Plan de acción\Plan Accion 2018\[Plan Accion Integrado ADRES Vigencia 2018 con Cuadro de Mando V6..xlsx]Plan de Accion 2018'!#REF!,X228&lt;&gt;"N/A"))</xm:f>
            <x14:dxf>
              <fill>
                <patternFill>
                  <bgColor indexed="10"/>
                </patternFill>
              </fill>
            </x14:dxf>
          </x14:cfRule>
          <xm:sqref>X228:X230</xm:sqref>
        </x14:conditionalFormatting>
        <x14:conditionalFormatting xmlns:xm="http://schemas.microsoft.com/office/excel/2006/main">
          <x14:cfRule type="expression" priority="5577" id="{B327F576-14ED-4F9F-90AB-4B840C20D134}">
            <xm:f>AND(IF(AE228&gt;'F:\Users\norela.briceno\Documents\Plan de acción\Plan Accion 2018\[Plan Accion Integrado ADRES Vigencia 2018 con Cuadro de Mando V6..xlsx]Plan de Accion 2018'!#REF!,AE228&lt;&gt;¨N/A¨))</xm:f>
            <x14:dxf>
              <fill>
                <patternFill>
                  <bgColor theme="1" tint="0.499984740745262"/>
                </patternFill>
              </fill>
            </x14:dxf>
          </x14:cfRule>
          <x14:cfRule type="expression" priority="5578" stopIfTrue="1" id="{0DBF6F7C-6440-4D9E-82CF-2D90A744557E}">
            <xm:f>AND(IF(AE228='F:\Users\norela.briceno\Documents\Plan de acción\Plan Accion 2018\[Plan Accion Integrado ADRES Vigencia 2018 con Cuadro de Mando V6..xlsx]Plan de Accion 2018'!#REF!,AE228&lt;&gt;"N/A"))</xm:f>
            <x14:dxf>
              <fill>
                <patternFill>
                  <bgColor rgb="FF00B050"/>
                </patternFill>
              </fill>
            </x14:dxf>
          </x14:cfRule>
          <x14:cfRule type="expression" priority="5579" stopIfTrue="1" id="{28302D0A-8CAD-4566-97DC-75606E8B540B}">
            <xm:f>AND(IF(AE228&lt;'F:\Users\norela.briceno\Documents\Plan de acción\Plan Accion 2018\[Plan Accion Integrado ADRES Vigencia 2018 con Cuadro de Mando V6..xlsx]Plan de Accion 2018'!#REF!,AE228&lt;&gt;"N/A"))</xm:f>
            <x14:dxf>
              <fill>
                <patternFill>
                  <bgColor indexed="10"/>
                </patternFill>
              </fill>
            </x14:dxf>
          </x14:cfRule>
          <xm:sqref>AE228:AE230</xm:sqref>
        </x14:conditionalFormatting>
        <x14:conditionalFormatting xmlns:xm="http://schemas.microsoft.com/office/excel/2006/main">
          <x14:cfRule type="expression" priority="5529" id="{FD8621CA-60B1-412F-9E7E-F1010AEF4986}">
            <xm:f>AND(IF(J231&gt;'F:\Users\norela.briceno\Documents\Plan de acción\Plan Accion 2018\[Plan Accion Integrado ADRES Vigencia 2018 con Cuadro de Mando V6..xlsx]Plan de Accion 2018'!#REF!,J231&lt;&gt;¨N/A¨))</xm:f>
            <x14:dxf>
              <fill>
                <patternFill>
                  <bgColor theme="1" tint="0.499984740745262"/>
                </patternFill>
              </fill>
            </x14:dxf>
          </x14:cfRule>
          <x14:cfRule type="expression" priority="5530" stopIfTrue="1" id="{0E217C7E-7201-4E24-9479-DB1F3169CC17}">
            <xm:f>AND(IF(J231='F:\Users\norela.briceno\Documents\Plan de acción\Plan Accion 2018\[Plan Accion Integrado ADRES Vigencia 2018 con Cuadro de Mando V6..xlsx]Plan de Accion 2018'!#REF!,J231&lt;&gt;"N/A"))</xm:f>
            <x14:dxf>
              <fill>
                <patternFill>
                  <bgColor rgb="FF00B050"/>
                </patternFill>
              </fill>
            </x14:dxf>
          </x14:cfRule>
          <x14:cfRule type="expression" priority="5531" stopIfTrue="1" id="{1EBD231B-76A8-4C9A-9B29-5460E6208589}">
            <xm:f>AND(IF(J231&lt;'F:\Users\norela.briceno\Documents\Plan de acción\Plan Accion 2018\[Plan Accion Integrado ADRES Vigencia 2018 con Cuadro de Mando V6..xlsx]Plan de Accion 2018'!#REF!,J231&lt;&gt;"N/A"))</xm:f>
            <x14:dxf>
              <fill>
                <patternFill>
                  <bgColor indexed="10"/>
                </patternFill>
              </fill>
            </x14:dxf>
          </x14:cfRule>
          <xm:sqref>J231 J233</xm:sqref>
        </x14:conditionalFormatting>
        <x14:conditionalFormatting xmlns:xm="http://schemas.microsoft.com/office/excel/2006/main">
          <x14:cfRule type="expression" priority="5526" id="{F1CE9EF2-E0C6-4203-BFCC-A32A20B928AE}">
            <xm:f>AND(IF(Q231&gt;'F:\Users\norela.briceno\Documents\Plan de acción\Plan Accion 2018\[Plan Accion Integrado ADRES Vigencia 2018 con Cuadro de Mando V6..xlsx]Plan de Accion 2018'!#REF!,Q231&lt;&gt;¨N/A¨))</xm:f>
            <x14:dxf>
              <fill>
                <patternFill>
                  <bgColor theme="1" tint="0.499984740745262"/>
                </patternFill>
              </fill>
            </x14:dxf>
          </x14:cfRule>
          <x14:cfRule type="expression" priority="5527" stopIfTrue="1" id="{2A466121-10E2-4CA1-8D49-DFF828D74955}">
            <xm:f>AND(IF(Q231='F:\Users\norela.briceno\Documents\Plan de acción\Plan Accion 2018\[Plan Accion Integrado ADRES Vigencia 2018 con Cuadro de Mando V6..xlsx]Plan de Accion 2018'!#REF!,Q231&lt;&gt;"N/A"))</xm:f>
            <x14:dxf>
              <fill>
                <patternFill>
                  <bgColor rgb="FF00B050"/>
                </patternFill>
              </fill>
            </x14:dxf>
          </x14:cfRule>
          <x14:cfRule type="expression" priority="5528" stopIfTrue="1" id="{ECEBD2D1-8E99-43C2-AEE5-567E2F58475F}">
            <xm:f>AND(IF(Q231&lt;'F:\Users\norela.briceno\Documents\Plan de acción\Plan Accion 2018\[Plan Accion Integrado ADRES Vigencia 2018 con Cuadro de Mando V6..xlsx]Plan de Accion 2018'!#REF!,Q231&lt;&gt;"N/A"))</xm:f>
            <x14:dxf>
              <fill>
                <patternFill>
                  <bgColor indexed="10"/>
                </patternFill>
              </fill>
            </x14:dxf>
          </x14:cfRule>
          <xm:sqref>Q231 Q233</xm:sqref>
        </x14:conditionalFormatting>
        <x14:conditionalFormatting xmlns:xm="http://schemas.microsoft.com/office/excel/2006/main">
          <x14:cfRule type="expression" priority="5523" id="{D871D231-F5E0-48F2-86B8-D0FBACC5D894}">
            <xm:f>AND(IF(X231&gt;'F:\Users\norela.briceno\Documents\Plan de acción\Plan Accion 2018\[Plan Accion Integrado ADRES Vigencia 2018 con Cuadro de Mando V6..xlsx]Plan de Accion 2018'!#REF!,X231&lt;&gt;¨N/A¨))</xm:f>
            <x14:dxf>
              <fill>
                <patternFill>
                  <bgColor theme="1" tint="0.499984740745262"/>
                </patternFill>
              </fill>
            </x14:dxf>
          </x14:cfRule>
          <x14:cfRule type="expression" priority="5524" stopIfTrue="1" id="{EC2772E2-358C-4CC4-B9F5-986C86796C5A}">
            <xm:f>AND(IF(X231='F:\Users\norela.briceno\Documents\Plan de acción\Plan Accion 2018\[Plan Accion Integrado ADRES Vigencia 2018 con Cuadro de Mando V6..xlsx]Plan de Accion 2018'!#REF!,X231&lt;&gt;"N/A"))</xm:f>
            <x14:dxf>
              <fill>
                <patternFill>
                  <bgColor rgb="FF00B050"/>
                </patternFill>
              </fill>
            </x14:dxf>
          </x14:cfRule>
          <x14:cfRule type="expression" priority="5525" stopIfTrue="1" id="{38FD9C06-8159-4037-B08B-2FE418AE24AA}">
            <xm:f>AND(IF(X231&lt;'F:\Users\norela.briceno\Documents\Plan de acción\Plan Accion 2018\[Plan Accion Integrado ADRES Vigencia 2018 con Cuadro de Mando V6..xlsx]Plan de Accion 2018'!#REF!,X231&lt;&gt;"N/A"))</xm:f>
            <x14:dxf>
              <fill>
                <patternFill>
                  <bgColor indexed="10"/>
                </patternFill>
              </fill>
            </x14:dxf>
          </x14:cfRule>
          <xm:sqref>X231 X233</xm:sqref>
        </x14:conditionalFormatting>
        <x14:conditionalFormatting xmlns:xm="http://schemas.microsoft.com/office/excel/2006/main">
          <x14:cfRule type="expression" priority="5520" id="{E4421963-20A7-4475-B5AD-B7BFBA46C4E4}">
            <xm:f>AND(IF(AE231&gt;'F:\Users\norela.briceno\Documents\Plan de acción\Plan Accion 2018\[Plan Accion Integrado ADRES Vigencia 2018 con Cuadro de Mando V6..xlsx]Plan de Accion 2018'!#REF!,AE231&lt;&gt;¨N/A¨))</xm:f>
            <x14:dxf>
              <fill>
                <patternFill>
                  <bgColor theme="1" tint="0.499984740745262"/>
                </patternFill>
              </fill>
            </x14:dxf>
          </x14:cfRule>
          <x14:cfRule type="expression" priority="5521" stopIfTrue="1" id="{879A45C0-2E03-4565-B94F-AADBEB88F302}">
            <xm:f>AND(IF(AE231='F:\Users\norela.briceno\Documents\Plan de acción\Plan Accion 2018\[Plan Accion Integrado ADRES Vigencia 2018 con Cuadro de Mando V6..xlsx]Plan de Accion 2018'!#REF!,AE231&lt;&gt;"N/A"))</xm:f>
            <x14:dxf>
              <fill>
                <patternFill>
                  <bgColor rgb="FF00B050"/>
                </patternFill>
              </fill>
            </x14:dxf>
          </x14:cfRule>
          <x14:cfRule type="expression" priority="5522" stopIfTrue="1" id="{99207D8B-FC1C-430B-9449-EA0203E59391}">
            <xm:f>AND(IF(AE231&lt;'F:\Users\norela.briceno\Documents\Plan de acción\Plan Accion 2018\[Plan Accion Integrado ADRES Vigencia 2018 con Cuadro de Mando V6..xlsx]Plan de Accion 2018'!#REF!,AE231&lt;&gt;"N/A"))</xm:f>
            <x14:dxf>
              <fill>
                <patternFill>
                  <bgColor indexed="10"/>
                </patternFill>
              </fill>
            </x14:dxf>
          </x14:cfRule>
          <xm:sqref>AE231 AE233</xm:sqref>
        </x14:conditionalFormatting>
        <x14:conditionalFormatting xmlns:xm="http://schemas.microsoft.com/office/excel/2006/main">
          <x14:cfRule type="expression" priority="5472" id="{9B9D58FC-EBA2-4EDC-A6E5-8A28B7A108C9}">
            <xm:f>AND(IF(J234&gt;'F:\Users\norela.briceno\Documents\Plan de acción\Plan Accion 2018\[Plan Accion Integrado ADRES Vigencia 2018 con Cuadro de Mando V6..xlsx]Plan de Accion 2018'!#REF!,J234&lt;&gt;¨N/A¨))</xm:f>
            <x14:dxf>
              <fill>
                <patternFill>
                  <bgColor theme="1" tint="0.499984740745262"/>
                </patternFill>
              </fill>
            </x14:dxf>
          </x14:cfRule>
          <x14:cfRule type="expression" priority="5473" stopIfTrue="1" id="{E7F49D78-4567-4867-9101-0E8183BF8BD7}">
            <xm:f>AND(IF(J234='F:\Users\norela.briceno\Documents\Plan de acción\Plan Accion 2018\[Plan Accion Integrado ADRES Vigencia 2018 con Cuadro de Mando V6..xlsx]Plan de Accion 2018'!#REF!,J234&lt;&gt;"N/A"))</xm:f>
            <x14:dxf>
              <fill>
                <patternFill>
                  <bgColor rgb="FF00B050"/>
                </patternFill>
              </fill>
            </x14:dxf>
          </x14:cfRule>
          <x14:cfRule type="expression" priority="5474" stopIfTrue="1" id="{5826E8FB-CEC1-45B4-8418-990019932743}">
            <xm:f>AND(IF(J234&lt;'F:\Users\norela.briceno\Documents\Plan de acción\Plan Accion 2018\[Plan Accion Integrado ADRES Vigencia 2018 con Cuadro de Mando V6..xlsx]Plan de Accion 2018'!#REF!,J234&lt;&gt;"N/A"))</xm:f>
            <x14:dxf>
              <fill>
                <patternFill>
                  <bgColor indexed="10"/>
                </patternFill>
              </fill>
            </x14:dxf>
          </x14:cfRule>
          <xm:sqref>J234:J235</xm:sqref>
        </x14:conditionalFormatting>
        <x14:conditionalFormatting xmlns:xm="http://schemas.microsoft.com/office/excel/2006/main">
          <x14:cfRule type="expression" priority="5469" id="{A3C50CE2-DC03-4049-B4B3-EF887960B8E9}">
            <xm:f>AND(IF(Q234&gt;'F:\Users\norela.briceno\Documents\Plan de acción\Plan Accion 2018\[Plan Accion Integrado ADRES Vigencia 2018 con Cuadro de Mando V6..xlsx]Plan de Accion 2018'!#REF!,Q234&lt;&gt;¨N/A¨))</xm:f>
            <x14:dxf>
              <fill>
                <patternFill>
                  <bgColor theme="1" tint="0.499984740745262"/>
                </patternFill>
              </fill>
            </x14:dxf>
          </x14:cfRule>
          <x14:cfRule type="expression" priority="5470" stopIfTrue="1" id="{B5E3045A-F20A-4DC9-9679-EF1A15323A4A}">
            <xm:f>AND(IF(Q234='F:\Users\norela.briceno\Documents\Plan de acción\Plan Accion 2018\[Plan Accion Integrado ADRES Vigencia 2018 con Cuadro de Mando V6..xlsx]Plan de Accion 2018'!#REF!,Q234&lt;&gt;"N/A"))</xm:f>
            <x14:dxf>
              <fill>
                <patternFill>
                  <bgColor rgb="FF00B050"/>
                </patternFill>
              </fill>
            </x14:dxf>
          </x14:cfRule>
          <x14:cfRule type="expression" priority="5471" stopIfTrue="1" id="{248F0684-7511-4FC3-9943-65F2538B0B7A}">
            <xm:f>AND(IF(Q234&lt;'F:\Users\norela.briceno\Documents\Plan de acción\Plan Accion 2018\[Plan Accion Integrado ADRES Vigencia 2018 con Cuadro de Mando V6..xlsx]Plan de Accion 2018'!#REF!,Q234&lt;&gt;"N/A"))</xm:f>
            <x14:dxf>
              <fill>
                <patternFill>
                  <bgColor indexed="10"/>
                </patternFill>
              </fill>
            </x14:dxf>
          </x14:cfRule>
          <xm:sqref>Q234:Q235</xm:sqref>
        </x14:conditionalFormatting>
        <x14:conditionalFormatting xmlns:xm="http://schemas.microsoft.com/office/excel/2006/main">
          <x14:cfRule type="expression" priority="5466" id="{B6707C46-F141-496B-8468-48989BB1E990}">
            <xm:f>AND(IF(X234&gt;'F:\Users\norela.briceno\Documents\Plan de acción\Plan Accion 2018\[Plan Accion Integrado ADRES Vigencia 2018 con Cuadro de Mando V6..xlsx]Plan de Accion 2018'!#REF!,X234&lt;&gt;¨N/A¨))</xm:f>
            <x14:dxf>
              <fill>
                <patternFill>
                  <bgColor theme="1" tint="0.499984740745262"/>
                </patternFill>
              </fill>
            </x14:dxf>
          </x14:cfRule>
          <x14:cfRule type="expression" priority="5467" stopIfTrue="1" id="{503917E6-9B32-4580-8A74-7BE8302AD14B}">
            <xm:f>AND(IF(X234='F:\Users\norela.briceno\Documents\Plan de acción\Plan Accion 2018\[Plan Accion Integrado ADRES Vigencia 2018 con Cuadro de Mando V6..xlsx]Plan de Accion 2018'!#REF!,X234&lt;&gt;"N/A"))</xm:f>
            <x14:dxf>
              <fill>
                <patternFill>
                  <bgColor rgb="FF00B050"/>
                </patternFill>
              </fill>
            </x14:dxf>
          </x14:cfRule>
          <x14:cfRule type="expression" priority="5468" stopIfTrue="1" id="{6EA0A63D-2D0E-476A-BB74-5B9A38C73EF8}">
            <xm:f>AND(IF(X234&lt;'F:\Users\norela.briceno\Documents\Plan de acción\Plan Accion 2018\[Plan Accion Integrado ADRES Vigencia 2018 con Cuadro de Mando V6..xlsx]Plan de Accion 2018'!#REF!,X234&lt;&gt;"N/A"))</xm:f>
            <x14:dxf>
              <fill>
                <patternFill>
                  <bgColor indexed="10"/>
                </patternFill>
              </fill>
            </x14:dxf>
          </x14:cfRule>
          <xm:sqref>X234:X235</xm:sqref>
        </x14:conditionalFormatting>
        <x14:conditionalFormatting xmlns:xm="http://schemas.microsoft.com/office/excel/2006/main">
          <x14:cfRule type="expression" priority="5463" id="{84DC8D6B-0515-44CB-B5E6-7BD5B727D233}">
            <xm:f>AND(IF(AE234&gt;'F:\Users\norela.briceno\Documents\Plan de acción\Plan Accion 2018\[Plan Accion Integrado ADRES Vigencia 2018 con Cuadro de Mando V6..xlsx]Plan de Accion 2018'!#REF!,AE234&lt;&gt;¨N/A¨))</xm:f>
            <x14:dxf>
              <fill>
                <patternFill>
                  <bgColor theme="1" tint="0.499984740745262"/>
                </patternFill>
              </fill>
            </x14:dxf>
          </x14:cfRule>
          <x14:cfRule type="expression" priority="5464" stopIfTrue="1" id="{20907293-7EA7-4218-BE14-6E8C0E69EFC7}">
            <xm:f>AND(IF(AE234='F:\Users\norela.briceno\Documents\Plan de acción\Plan Accion 2018\[Plan Accion Integrado ADRES Vigencia 2018 con Cuadro de Mando V6..xlsx]Plan de Accion 2018'!#REF!,AE234&lt;&gt;"N/A"))</xm:f>
            <x14:dxf>
              <fill>
                <patternFill>
                  <bgColor rgb="FF00B050"/>
                </patternFill>
              </fill>
            </x14:dxf>
          </x14:cfRule>
          <x14:cfRule type="expression" priority="5465" stopIfTrue="1" id="{22E8B20F-C1BD-4892-92C7-BDD401F5974C}">
            <xm:f>AND(IF(AE234&lt;'F:\Users\norela.briceno\Documents\Plan de acción\Plan Accion 2018\[Plan Accion Integrado ADRES Vigencia 2018 con Cuadro de Mando V6..xlsx]Plan de Accion 2018'!#REF!,AE234&lt;&gt;"N/A"))</xm:f>
            <x14:dxf>
              <fill>
                <patternFill>
                  <bgColor indexed="10"/>
                </patternFill>
              </fill>
            </x14:dxf>
          </x14:cfRule>
          <xm:sqref>AE234:AE235</xm:sqref>
        </x14:conditionalFormatting>
        <x14:conditionalFormatting xmlns:xm="http://schemas.microsoft.com/office/excel/2006/main">
          <x14:cfRule type="expression" priority="5360" id="{A82E03F4-F9A3-4EE8-A3E5-756593B4833A}">
            <xm:f>AND(IF(J28&gt;'F:\Users\norela.briceno\Documents\Plan de acción\Plan Accion 2018\[Plan Accion Integrado ADRES Vigencia 2018 con Cuadro de Mando V6..xlsx]Plan de Accion 2018'!#REF!,J28&lt;&gt;¨N/A¨))</xm:f>
            <x14:dxf>
              <fill>
                <patternFill>
                  <bgColor theme="1" tint="0.499984740745262"/>
                </patternFill>
              </fill>
            </x14:dxf>
          </x14:cfRule>
          <x14:cfRule type="expression" priority="5361" stopIfTrue="1" id="{E645F696-12C5-4B21-92FA-CD30556E942C}">
            <xm:f>AND(IF(J28='F:\Users\norela.briceno\Documents\Plan de acción\Plan Accion 2018\[Plan Accion Integrado ADRES Vigencia 2018 con Cuadro de Mando V6..xlsx]Plan de Accion 2018'!#REF!,J28&lt;&gt;"N/A"))</xm:f>
            <x14:dxf>
              <fill>
                <patternFill>
                  <bgColor rgb="FF00B050"/>
                </patternFill>
              </fill>
            </x14:dxf>
          </x14:cfRule>
          <x14:cfRule type="expression" priority="5362" stopIfTrue="1" id="{A29856FF-D9E1-467A-BB41-435A77E4ECD7}">
            <xm:f>AND(IF(J28&lt;'F:\Users\norela.briceno\Documents\Plan de acción\Plan Accion 2018\[Plan Accion Integrado ADRES Vigencia 2018 con Cuadro de Mando V6..xlsx]Plan de Accion 2018'!#REF!,J28&lt;&gt;"N/A"))</xm:f>
            <x14:dxf>
              <fill>
                <patternFill>
                  <bgColor indexed="10"/>
                </patternFill>
              </fill>
            </x14:dxf>
          </x14:cfRule>
          <xm:sqref>J28</xm:sqref>
        </x14:conditionalFormatting>
        <x14:conditionalFormatting xmlns:xm="http://schemas.microsoft.com/office/excel/2006/main">
          <x14:cfRule type="expression" priority="5357" id="{EC79C27C-2A1D-43D6-A407-E7BCF036F8A6}">
            <xm:f>AND(IF(Q28&gt;'F:\Users\norela.briceno\Documents\Plan de acción\Plan Accion 2018\[Plan Accion Integrado ADRES Vigencia 2018 con Cuadro de Mando V6..xlsx]Plan de Accion 2018'!#REF!,Q28&lt;&gt;¨N/A¨))</xm:f>
            <x14:dxf>
              <fill>
                <patternFill>
                  <bgColor theme="1" tint="0.499984740745262"/>
                </patternFill>
              </fill>
            </x14:dxf>
          </x14:cfRule>
          <x14:cfRule type="expression" priority="5358" stopIfTrue="1" id="{633E00F0-1E32-4B60-AD64-C0C6FE1F4F46}">
            <xm:f>AND(IF(Q28='F:\Users\norela.briceno\Documents\Plan de acción\Plan Accion 2018\[Plan Accion Integrado ADRES Vigencia 2018 con Cuadro de Mando V6..xlsx]Plan de Accion 2018'!#REF!,Q28&lt;&gt;"N/A"))</xm:f>
            <x14:dxf>
              <fill>
                <patternFill>
                  <bgColor rgb="FF00B050"/>
                </patternFill>
              </fill>
            </x14:dxf>
          </x14:cfRule>
          <x14:cfRule type="expression" priority="5359" stopIfTrue="1" id="{EA8F5EA4-A373-431E-AC1B-D68794561657}">
            <xm:f>AND(IF(Q28&lt;'F:\Users\norela.briceno\Documents\Plan de acción\Plan Accion 2018\[Plan Accion Integrado ADRES Vigencia 2018 con Cuadro de Mando V6..xlsx]Plan de Accion 2018'!#REF!,Q28&lt;&gt;"N/A"))</xm:f>
            <x14:dxf>
              <fill>
                <patternFill>
                  <bgColor indexed="10"/>
                </patternFill>
              </fill>
            </x14:dxf>
          </x14:cfRule>
          <xm:sqref>Q28</xm:sqref>
        </x14:conditionalFormatting>
        <x14:conditionalFormatting xmlns:xm="http://schemas.microsoft.com/office/excel/2006/main">
          <x14:cfRule type="expression" priority="5354" id="{4C97690C-6301-4F0B-A7B0-2D23AD910148}">
            <xm:f>AND(IF(X28&gt;'F:\Users\norela.briceno\Documents\Plan de acción\Plan Accion 2018\[Plan Accion Integrado ADRES Vigencia 2018 con Cuadro de Mando V6..xlsx]Plan de Accion 2018'!#REF!,X28&lt;&gt;¨N/A¨))</xm:f>
            <x14:dxf>
              <fill>
                <patternFill>
                  <bgColor theme="1" tint="0.499984740745262"/>
                </patternFill>
              </fill>
            </x14:dxf>
          </x14:cfRule>
          <x14:cfRule type="expression" priority="5355" stopIfTrue="1" id="{0CB558AA-F197-4026-A15E-AE83F695CAA8}">
            <xm:f>AND(IF(X28='F:\Users\norela.briceno\Documents\Plan de acción\Plan Accion 2018\[Plan Accion Integrado ADRES Vigencia 2018 con Cuadro de Mando V6..xlsx]Plan de Accion 2018'!#REF!,X28&lt;&gt;"N/A"))</xm:f>
            <x14:dxf>
              <fill>
                <patternFill>
                  <bgColor rgb="FF00B050"/>
                </patternFill>
              </fill>
            </x14:dxf>
          </x14:cfRule>
          <x14:cfRule type="expression" priority="5356" stopIfTrue="1" id="{A0D9DC49-19D7-4F27-9537-DB358F3AB5D4}">
            <xm:f>AND(IF(X28&lt;'F:\Users\norela.briceno\Documents\Plan de acción\Plan Accion 2018\[Plan Accion Integrado ADRES Vigencia 2018 con Cuadro de Mando V6..xlsx]Plan de Accion 2018'!#REF!,X28&lt;&gt;"N/A"))</xm:f>
            <x14:dxf>
              <fill>
                <patternFill>
                  <bgColor indexed="10"/>
                </patternFill>
              </fill>
            </x14:dxf>
          </x14:cfRule>
          <xm:sqref>X28</xm:sqref>
        </x14:conditionalFormatting>
        <x14:conditionalFormatting xmlns:xm="http://schemas.microsoft.com/office/excel/2006/main">
          <x14:cfRule type="expression" priority="5351" id="{054F2FA6-480D-44E9-9CD6-14F15E040314}">
            <xm:f>AND(IF(AE28&gt;'F:\Users\norela.briceno\Documents\Plan de acción\Plan Accion 2018\[Plan Accion Integrado ADRES Vigencia 2018 con Cuadro de Mando V6..xlsx]Plan de Accion 2018'!#REF!,AE28&lt;&gt;¨N/A¨))</xm:f>
            <x14:dxf>
              <fill>
                <patternFill>
                  <bgColor theme="1" tint="0.499984740745262"/>
                </patternFill>
              </fill>
            </x14:dxf>
          </x14:cfRule>
          <x14:cfRule type="expression" priority="5352" stopIfTrue="1" id="{6F85D7E4-AF92-4021-8917-0FFF2B259B5E}">
            <xm:f>AND(IF(AE28='F:\Users\norela.briceno\Documents\Plan de acción\Plan Accion 2018\[Plan Accion Integrado ADRES Vigencia 2018 con Cuadro de Mando V6..xlsx]Plan de Accion 2018'!#REF!,AE28&lt;&gt;"N/A"))</xm:f>
            <x14:dxf>
              <fill>
                <patternFill>
                  <bgColor rgb="FF00B050"/>
                </patternFill>
              </fill>
            </x14:dxf>
          </x14:cfRule>
          <x14:cfRule type="expression" priority="5353" stopIfTrue="1" id="{BB2D0FA8-645F-4A5C-88F3-03200C139C95}">
            <xm:f>AND(IF(AE28&lt;'F:\Users\norela.briceno\Documents\Plan de acción\Plan Accion 2018\[Plan Accion Integrado ADRES Vigencia 2018 con Cuadro de Mando V6..xlsx]Plan de Accion 2018'!#REF!,AE28&lt;&gt;"N/A"))</xm:f>
            <x14:dxf>
              <fill>
                <patternFill>
                  <bgColor indexed="10"/>
                </patternFill>
              </fill>
            </x14:dxf>
          </x14:cfRule>
          <xm:sqref>AE28</xm:sqref>
        </x14:conditionalFormatting>
        <x14:conditionalFormatting xmlns:xm="http://schemas.microsoft.com/office/excel/2006/main">
          <x14:cfRule type="expression" priority="5268" id="{EC80BF5B-3BF4-4144-BB9F-AACA03F6B8E3}">
            <xm:f>AND(IF(J290&gt;'F:\Users\norela.briceno\Documents\Plan de acción\Plan Accion 2018\[Plan Accion Integrado ADRES Vigencia 2018 con Cuadro de Mando V6..xlsx]Plan de Accion 2018'!#REF!,J290&lt;&gt;¨N/A¨))</xm:f>
            <x14:dxf>
              <fill>
                <patternFill>
                  <bgColor theme="1" tint="0.499984740745262"/>
                </patternFill>
              </fill>
            </x14:dxf>
          </x14:cfRule>
          <x14:cfRule type="expression" priority="5269" stopIfTrue="1" id="{B919AE6E-B88F-4270-BDA0-2591D25E395A}">
            <xm:f>AND(IF(J290='F:\Users\norela.briceno\Documents\Plan de acción\Plan Accion 2018\[Plan Accion Integrado ADRES Vigencia 2018 con Cuadro de Mando V6..xlsx]Plan de Accion 2018'!#REF!,J290&lt;&gt;"N/A"))</xm:f>
            <x14:dxf>
              <fill>
                <patternFill>
                  <bgColor rgb="FF00B050"/>
                </patternFill>
              </fill>
            </x14:dxf>
          </x14:cfRule>
          <x14:cfRule type="expression" priority="5270" stopIfTrue="1" id="{BFC03F3E-6138-4A3F-86E3-BBC9DE8E7572}">
            <xm:f>AND(IF(J290&lt;'F:\Users\norela.briceno\Documents\Plan de acción\Plan Accion 2018\[Plan Accion Integrado ADRES Vigencia 2018 con Cuadro de Mando V6..xlsx]Plan de Accion 2018'!#REF!,J290&lt;&gt;"N/A"))</xm:f>
            <x14:dxf>
              <fill>
                <patternFill>
                  <bgColor indexed="10"/>
                </patternFill>
              </fill>
            </x14:dxf>
          </x14:cfRule>
          <xm:sqref>J290</xm:sqref>
        </x14:conditionalFormatting>
        <x14:conditionalFormatting xmlns:xm="http://schemas.microsoft.com/office/excel/2006/main">
          <x14:cfRule type="expression" priority="5265" id="{A7696E25-37D4-4D99-9351-670E143CA1E5}">
            <xm:f>AND(IF(Q290&gt;'F:\Users\norela.briceno\Documents\Plan de acción\Plan Accion 2018\[Plan Accion Integrado ADRES Vigencia 2018 con Cuadro de Mando V6..xlsx]Plan de Accion 2018'!#REF!,Q290&lt;&gt;¨N/A¨))</xm:f>
            <x14:dxf>
              <fill>
                <patternFill>
                  <bgColor theme="1" tint="0.499984740745262"/>
                </patternFill>
              </fill>
            </x14:dxf>
          </x14:cfRule>
          <x14:cfRule type="expression" priority="5266" stopIfTrue="1" id="{FD4223FB-5D0B-4C83-8C75-836613BAD41D}">
            <xm:f>AND(IF(Q290='F:\Users\norela.briceno\Documents\Plan de acción\Plan Accion 2018\[Plan Accion Integrado ADRES Vigencia 2018 con Cuadro de Mando V6..xlsx]Plan de Accion 2018'!#REF!,Q290&lt;&gt;"N/A"))</xm:f>
            <x14:dxf>
              <fill>
                <patternFill>
                  <bgColor rgb="FF00B050"/>
                </patternFill>
              </fill>
            </x14:dxf>
          </x14:cfRule>
          <x14:cfRule type="expression" priority="5267" stopIfTrue="1" id="{DD968B25-1713-473F-A7BF-880F525E143B}">
            <xm:f>AND(IF(Q290&lt;'F:\Users\norela.briceno\Documents\Plan de acción\Plan Accion 2018\[Plan Accion Integrado ADRES Vigencia 2018 con Cuadro de Mando V6..xlsx]Plan de Accion 2018'!#REF!,Q290&lt;&gt;"N/A"))</xm:f>
            <x14:dxf>
              <fill>
                <patternFill>
                  <bgColor indexed="10"/>
                </patternFill>
              </fill>
            </x14:dxf>
          </x14:cfRule>
          <xm:sqref>Q290</xm:sqref>
        </x14:conditionalFormatting>
        <x14:conditionalFormatting xmlns:xm="http://schemas.microsoft.com/office/excel/2006/main">
          <x14:cfRule type="expression" priority="5262" id="{49E2A11F-623B-445E-A62B-3C83AF5DEC81}">
            <xm:f>AND(IF(X290&gt;'F:\Users\norela.briceno\Documents\Plan de acción\Plan Accion 2018\[Plan Accion Integrado ADRES Vigencia 2018 con Cuadro de Mando V6..xlsx]Plan de Accion 2018'!#REF!,X290&lt;&gt;¨N/A¨))</xm:f>
            <x14:dxf>
              <fill>
                <patternFill>
                  <bgColor theme="1" tint="0.499984740745262"/>
                </patternFill>
              </fill>
            </x14:dxf>
          </x14:cfRule>
          <x14:cfRule type="expression" priority="5263" stopIfTrue="1" id="{69F5DBAF-7050-4E0D-9605-982B81997CB5}">
            <xm:f>AND(IF(X290='F:\Users\norela.briceno\Documents\Plan de acción\Plan Accion 2018\[Plan Accion Integrado ADRES Vigencia 2018 con Cuadro de Mando V6..xlsx]Plan de Accion 2018'!#REF!,X290&lt;&gt;"N/A"))</xm:f>
            <x14:dxf>
              <fill>
                <patternFill>
                  <bgColor rgb="FF00B050"/>
                </patternFill>
              </fill>
            </x14:dxf>
          </x14:cfRule>
          <x14:cfRule type="expression" priority="5264" stopIfTrue="1" id="{4EA6398D-CC9F-4887-8737-40CF0B149910}">
            <xm:f>AND(IF(X290&lt;'F:\Users\norela.briceno\Documents\Plan de acción\Plan Accion 2018\[Plan Accion Integrado ADRES Vigencia 2018 con Cuadro de Mando V6..xlsx]Plan de Accion 2018'!#REF!,X290&lt;&gt;"N/A"))</xm:f>
            <x14:dxf>
              <fill>
                <patternFill>
                  <bgColor indexed="10"/>
                </patternFill>
              </fill>
            </x14:dxf>
          </x14:cfRule>
          <xm:sqref>X290</xm:sqref>
        </x14:conditionalFormatting>
        <x14:conditionalFormatting xmlns:xm="http://schemas.microsoft.com/office/excel/2006/main">
          <x14:cfRule type="expression" priority="5259" id="{2A516708-44A2-4784-80D4-3C316B967A62}">
            <xm:f>AND(IF(AE290&gt;'F:\Users\norela.briceno\Documents\Plan de acción\Plan Accion 2018\[Plan Accion Integrado ADRES Vigencia 2018 con Cuadro de Mando V6..xlsx]Plan de Accion 2018'!#REF!,AE290&lt;&gt;¨N/A¨))</xm:f>
            <x14:dxf>
              <fill>
                <patternFill>
                  <bgColor theme="1" tint="0.499984740745262"/>
                </patternFill>
              </fill>
            </x14:dxf>
          </x14:cfRule>
          <x14:cfRule type="expression" priority="5260" stopIfTrue="1" id="{ECD29F6A-1FC7-4542-9FB6-9FB74A194E7F}">
            <xm:f>AND(IF(AE290='F:\Users\norela.briceno\Documents\Plan de acción\Plan Accion 2018\[Plan Accion Integrado ADRES Vigencia 2018 con Cuadro de Mando V6..xlsx]Plan de Accion 2018'!#REF!,AE290&lt;&gt;"N/A"))</xm:f>
            <x14:dxf>
              <fill>
                <patternFill>
                  <bgColor rgb="FF00B050"/>
                </patternFill>
              </fill>
            </x14:dxf>
          </x14:cfRule>
          <x14:cfRule type="expression" priority="5261" stopIfTrue="1" id="{5735A86E-16D9-4292-A51B-54966E63B7BB}">
            <xm:f>AND(IF(AE290&lt;'F:\Users\norela.briceno\Documents\Plan de acción\Plan Accion 2018\[Plan Accion Integrado ADRES Vigencia 2018 con Cuadro de Mando V6..xlsx]Plan de Accion 2018'!#REF!,AE290&lt;&gt;"N/A"))</xm:f>
            <x14:dxf>
              <fill>
                <patternFill>
                  <bgColor indexed="10"/>
                </patternFill>
              </fill>
            </x14:dxf>
          </x14:cfRule>
          <xm:sqref>AE290</xm:sqref>
        </x14:conditionalFormatting>
        <x14:conditionalFormatting xmlns:xm="http://schemas.microsoft.com/office/excel/2006/main">
          <x14:cfRule type="expression" priority="5226" id="{AE1D980C-DB5A-4979-A035-4C0DEC16A25C}">
            <xm:f>AND(IF(J197&gt;'F:\Users\norela.briceno\Documents\Plan de acción\Plan Accion 2018\[Plan Accion Integrado ADRES Vigencia 2018 con Cuadro de Mando V6..xlsx]Plan de Accion 2018'!#REF!,J197&lt;&gt;¨N/A¨))</xm:f>
            <x14:dxf>
              <fill>
                <patternFill>
                  <bgColor theme="1" tint="0.499984740745262"/>
                </patternFill>
              </fill>
            </x14:dxf>
          </x14:cfRule>
          <x14:cfRule type="expression" priority="5227" stopIfTrue="1" id="{D3054ADA-B522-4AE0-8198-A453842C2717}">
            <xm:f>AND(IF(J197='F:\Users\norela.briceno\Documents\Plan de acción\Plan Accion 2018\[Plan Accion Integrado ADRES Vigencia 2018 con Cuadro de Mando V6..xlsx]Plan de Accion 2018'!#REF!,J197&lt;&gt;"N/A"))</xm:f>
            <x14:dxf>
              <fill>
                <patternFill>
                  <bgColor rgb="FF00B050"/>
                </patternFill>
              </fill>
            </x14:dxf>
          </x14:cfRule>
          <x14:cfRule type="expression" priority="5228" stopIfTrue="1" id="{58DC047A-555E-4C23-9AC4-A9BEFA5AB16A}">
            <xm:f>AND(IF(J197&lt;'F:\Users\norela.briceno\Documents\Plan de acción\Plan Accion 2018\[Plan Accion Integrado ADRES Vigencia 2018 con Cuadro de Mando V6..xlsx]Plan de Accion 2018'!#REF!,J197&lt;&gt;"N/A"))</xm:f>
            <x14:dxf>
              <fill>
                <patternFill>
                  <bgColor indexed="10"/>
                </patternFill>
              </fill>
            </x14:dxf>
          </x14:cfRule>
          <xm:sqref>J197 Q197 X197 AE197</xm:sqref>
        </x14:conditionalFormatting>
        <x14:conditionalFormatting xmlns:xm="http://schemas.microsoft.com/office/excel/2006/main">
          <x14:cfRule type="expression" priority="4677" id="{678754D2-DF50-46B1-8950-C24ECED98EAA}">
            <xm:f>AND(IF(J285&gt;'F:\Users\norela.briceno\Documents\Plan de acción\Plan Accion 2018\[Plan Accion Integrado ADRES Vigencia 2018 con Cuadro de Mando V6..xlsx]Plan de Accion 2018'!#REF!,J285&lt;&gt;¨N/A¨))</xm:f>
            <x14:dxf>
              <fill>
                <patternFill>
                  <bgColor theme="1" tint="0.499984740745262"/>
                </patternFill>
              </fill>
            </x14:dxf>
          </x14:cfRule>
          <x14:cfRule type="expression" priority="4678" stopIfTrue="1" id="{FE5492CB-4494-4244-BDB8-FAE8A2242B01}">
            <xm:f>AND(IF(J285='F:\Users\norela.briceno\Documents\Plan de acción\Plan Accion 2018\[Plan Accion Integrado ADRES Vigencia 2018 con Cuadro de Mando V6..xlsx]Plan de Accion 2018'!#REF!,J285&lt;&gt;"N/A"))</xm:f>
            <x14:dxf>
              <fill>
                <patternFill>
                  <bgColor rgb="FF00B050"/>
                </patternFill>
              </fill>
            </x14:dxf>
          </x14:cfRule>
          <x14:cfRule type="expression" priority="4679" stopIfTrue="1" id="{FF3B8240-B4B7-4511-A498-F783E631C3A0}">
            <xm:f>AND(IF(J285&lt;'F:\Users\norela.briceno\Documents\Plan de acción\Plan Accion 2018\[Plan Accion Integrado ADRES Vigencia 2018 con Cuadro de Mando V6..xlsx]Plan de Accion 2018'!#REF!,J285&lt;&gt;"N/A"))</xm:f>
            <x14:dxf>
              <fill>
                <patternFill>
                  <bgColor indexed="10"/>
                </patternFill>
              </fill>
            </x14:dxf>
          </x14:cfRule>
          <xm:sqref>J285</xm:sqref>
        </x14:conditionalFormatting>
        <x14:conditionalFormatting xmlns:xm="http://schemas.microsoft.com/office/excel/2006/main">
          <x14:cfRule type="expression" priority="4674" id="{E31CAE8C-B71B-44E4-AFF4-883187A31A39}">
            <xm:f>AND(IF(Q285&gt;'F:\Users\norela.briceno\Documents\Plan de acción\Plan Accion 2018\[Plan Accion Integrado ADRES Vigencia 2018 con Cuadro de Mando V6..xlsx]Plan de Accion 2018'!#REF!,Q285&lt;&gt;¨N/A¨))</xm:f>
            <x14:dxf>
              <fill>
                <patternFill>
                  <bgColor theme="1" tint="0.499984740745262"/>
                </patternFill>
              </fill>
            </x14:dxf>
          </x14:cfRule>
          <x14:cfRule type="expression" priority="4675" stopIfTrue="1" id="{0D53A130-D0CD-47BD-96B8-C45648C70A18}">
            <xm:f>AND(IF(Q285='F:\Users\norela.briceno\Documents\Plan de acción\Plan Accion 2018\[Plan Accion Integrado ADRES Vigencia 2018 con Cuadro de Mando V6..xlsx]Plan de Accion 2018'!#REF!,Q285&lt;&gt;"N/A"))</xm:f>
            <x14:dxf>
              <fill>
                <patternFill>
                  <bgColor rgb="FF00B050"/>
                </patternFill>
              </fill>
            </x14:dxf>
          </x14:cfRule>
          <x14:cfRule type="expression" priority="4676" stopIfTrue="1" id="{2134D9FD-6C38-4BB3-B664-1D731DF85627}">
            <xm:f>AND(IF(Q285&lt;'F:\Users\norela.briceno\Documents\Plan de acción\Plan Accion 2018\[Plan Accion Integrado ADRES Vigencia 2018 con Cuadro de Mando V6..xlsx]Plan de Accion 2018'!#REF!,Q285&lt;&gt;"N/A"))</xm:f>
            <x14:dxf>
              <fill>
                <patternFill>
                  <bgColor indexed="10"/>
                </patternFill>
              </fill>
            </x14:dxf>
          </x14:cfRule>
          <xm:sqref>Q285</xm:sqref>
        </x14:conditionalFormatting>
        <x14:conditionalFormatting xmlns:xm="http://schemas.microsoft.com/office/excel/2006/main">
          <x14:cfRule type="expression" priority="4671" id="{EA0F4617-3541-4A16-AEE3-158925537A21}">
            <xm:f>AND(IF(X285&gt;'F:\Users\norela.briceno\Documents\Plan de acción\Plan Accion 2018\[Plan Accion Integrado ADRES Vigencia 2018 con Cuadro de Mando V6..xlsx]Plan de Accion 2018'!#REF!,X285&lt;&gt;¨N/A¨))</xm:f>
            <x14:dxf>
              <fill>
                <patternFill>
                  <bgColor theme="1" tint="0.499984740745262"/>
                </patternFill>
              </fill>
            </x14:dxf>
          </x14:cfRule>
          <x14:cfRule type="expression" priority="4672" stopIfTrue="1" id="{6888D027-E077-4900-8DE1-98767CE80CEC}">
            <xm:f>AND(IF(X285='F:\Users\norela.briceno\Documents\Plan de acción\Plan Accion 2018\[Plan Accion Integrado ADRES Vigencia 2018 con Cuadro de Mando V6..xlsx]Plan de Accion 2018'!#REF!,X285&lt;&gt;"N/A"))</xm:f>
            <x14:dxf>
              <fill>
                <patternFill>
                  <bgColor rgb="FF00B050"/>
                </patternFill>
              </fill>
            </x14:dxf>
          </x14:cfRule>
          <x14:cfRule type="expression" priority="4673" stopIfTrue="1" id="{AA75BFD8-AC06-4F50-9190-344A9DB4FF89}">
            <xm:f>AND(IF(X285&lt;'F:\Users\norela.briceno\Documents\Plan de acción\Plan Accion 2018\[Plan Accion Integrado ADRES Vigencia 2018 con Cuadro de Mando V6..xlsx]Plan de Accion 2018'!#REF!,X285&lt;&gt;"N/A"))</xm:f>
            <x14:dxf>
              <fill>
                <patternFill>
                  <bgColor indexed="10"/>
                </patternFill>
              </fill>
            </x14:dxf>
          </x14:cfRule>
          <xm:sqref>X285</xm:sqref>
        </x14:conditionalFormatting>
        <x14:conditionalFormatting xmlns:xm="http://schemas.microsoft.com/office/excel/2006/main">
          <x14:cfRule type="expression" priority="4668" id="{932C68B0-9696-4145-8E2E-F3E408C2B429}">
            <xm:f>AND(IF(AE285&gt;'F:\Users\norela.briceno\Documents\Plan de acción\Plan Accion 2018\[Plan Accion Integrado ADRES Vigencia 2018 con Cuadro de Mando V6..xlsx]Plan de Accion 2018'!#REF!,AE285&lt;&gt;¨N/A¨))</xm:f>
            <x14:dxf>
              <fill>
                <patternFill>
                  <bgColor theme="1" tint="0.499984740745262"/>
                </patternFill>
              </fill>
            </x14:dxf>
          </x14:cfRule>
          <x14:cfRule type="expression" priority="4669" stopIfTrue="1" id="{49673DF4-5D96-4D15-AD34-A8B389714EDD}">
            <xm:f>AND(IF(AE285='F:\Users\norela.briceno\Documents\Plan de acción\Plan Accion 2018\[Plan Accion Integrado ADRES Vigencia 2018 con Cuadro de Mando V6..xlsx]Plan de Accion 2018'!#REF!,AE285&lt;&gt;"N/A"))</xm:f>
            <x14:dxf>
              <fill>
                <patternFill>
                  <bgColor rgb="FF00B050"/>
                </patternFill>
              </fill>
            </x14:dxf>
          </x14:cfRule>
          <x14:cfRule type="expression" priority="4670" stopIfTrue="1" id="{71307233-5815-4812-A9B9-6E3ABA6111FC}">
            <xm:f>AND(IF(AE285&lt;'F:\Users\norela.briceno\Documents\Plan de acción\Plan Accion 2018\[Plan Accion Integrado ADRES Vigencia 2018 con Cuadro de Mando V6..xlsx]Plan de Accion 2018'!#REF!,AE285&lt;&gt;"N/A"))</xm:f>
            <x14:dxf>
              <fill>
                <patternFill>
                  <bgColor indexed="10"/>
                </patternFill>
              </fill>
            </x14:dxf>
          </x14:cfRule>
          <xm:sqref>AE285</xm:sqref>
        </x14:conditionalFormatting>
        <x14:conditionalFormatting xmlns:xm="http://schemas.microsoft.com/office/excel/2006/main">
          <x14:cfRule type="expression" priority="4640" id="{685D9830-4CAE-4569-AD87-32D3D687B4B1}">
            <xm:f>AND(IF(J195&gt;'F:\Users\norela.briceno\Documents\Plan de acción\Plan Accion 2018\[Plan Accion Integrado ADRES Vigencia 2018 con Cuadro de Mando V6..xlsx]Plan de Accion 2018'!#REF!,J195&lt;&gt;¨N/A¨))</xm:f>
            <x14:dxf>
              <fill>
                <patternFill>
                  <bgColor theme="1" tint="0.499984740745262"/>
                </patternFill>
              </fill>
            </x14:dxf>
          </x14:cfRule>
          <x14:cfRule type="expression" priority="4641" stopIfTrue="1" id="{BC1DB968-9DE0-4A47-8676-B1FEDF3E098D}">
            <xm:f>AND(IF(J195='F:\Users\norela.briceno\Documents\Plan de acción\Plan Accion 2018\[Plan Accion Integrado ADRES Vigencia 2018 con Cuadro de Mando V6..xlsx]Plan de Accion 2018'!#REF!,J195&lt;&gt;"N/A"))</xm:f>
            <x14:dxf>
              <fill>
                <patternFill>
                  <bgColor rgb="FF00B050"/>
                </patternFill>
              </fill>
            </x14:dxf>
          </x14:cfRule>
          <x14:cfRule type="expression" priority="4642" stopIfTrue="1" id="{FCC11635-5254-4058-872B-86984798E174}">
            <xm:f>AND(IF(J195&lt;'F:\Users\norela.briceno\Documents\Plan de acción\Plan Accion 2018\[Plan Accion Integrado ADRES Vigencia 2018 con Cuadro de Mando V6..xlsx]Plan de Accion 2018'!#REF!,J195&lt;&gt;"N/A"))</xm:f>
            <x14:dxf>
              <fill>
                <patternFill>
                  <bgColor indexed="10"/>
                </patternFill>
              </fill>
            </x14:dxf>
          </x14:cfRule>
          <xm:sqref>J195 Q195 X195 AE195</xm:sqref>
        </x14:conditionalFormatting>
        <x14:conditionalFormatting xmlns:xm="http://schemas.microsoft.com/office/excel/2006/main">
          <x14:cfRule type="expression" priority="4509" id="{BE555A1A-93F9-40E9-8AA3-F886DF9DBF82}">
            <xm:f>AND(IF(J186&gt;'F:\Users\norela.briceno\Documents\Plan de acción\Plan Accion 2018\[Plan Accion Integrado ADRES Vigencia 2018 con Cuadro de Mando V6..xlsx]Plan de Accion 2018'!#REF!,J186&lt;&gt;¨N/A¨))</xm:f>
            <x14:dxf>
              <fill>
                <patternFill>
                  <bgColor theme="1" tint="0.499984740745262"/>
                </patternFill>
              </fill>
            </x14:dxf>
          </x14:cfRule>
          <x14:cfRule type="expression" priority="4510" stopIfTrue="1" id="{FB09D814-759B-446F-A793-0F0DFB25BBDA}">
            <xm:f>AND(IF(J186='F:\Users\norela.briceno\Documents\Plan de acción\Plan Accion 2018\[Plan Accion Integrado ADRES Vigencia 2018 con Cuadro de Mando V6..xlsx]Plan de Accion 2018'!#REF!,J186&lt;&gt;"N/A"))</xm:f>
            <x14:dxf>
              <fill>
                <patternFill>
                  <bgColor rgb="FF00B050"/>
                </patternFill>
              </fill>
            </x14:dxf>
          </x14:cfRule>
          <x14:cfRule type="expression" priority="4511" stopIfTrue="1" id="{C6D69CB3-95CB-4607-B17F-7CEF50451595}">
            <xm:f>AND(IF(J186&lt;'F:\Users\norela.briceno\Documents\Plan de acción\Plan Accion 2018\[Plan Accion Integrado ADRES Vigencia 2018 con Cuadro de Mando V6..xlsx]Plan de Accion 2018'!#REF!,J186&lt;&gt;"N/A"))</xm:f>
            <x14:dxf>
              <fill>
                <patternFill>
                  <bgColor indexed="10"/>
                </patternFill>
              </fill>
            </x14:dxf>
          </x14:cfRule>
          <xm:sqref>J186 Q186 X186 AE186</xm:sqref>
        </x14:conditionalFormatting>
        <x14:conditionalFormatting xmlns:xm="http://schemas.microsoft.com/office/excel/2006/main">
          <x14:cfRule type="expression" priority="4381" id="{ED4F8C0B-7DC5-4D1C-AF20-9B5032F77918}">
            <xm:f>AND(IF(J361&gt;'F:\Users\norela.briceno\Documents\Plan de acción\Plan Accion 2018\[Plan Accion Integrado ADRES Vigencia 2018 con Cuadro de Mando V6..xlsx]Plan de Accion 2018'!#REF!,J361&lt;&gt;¨N/A¨))</xm:f>
            <x14:dxf>
              <fill>
                <patternFill>
                  <bgColor theme="1" tint="0.499984740745262"/>
                </patternFill>
              </fill>
            </x14:dxf>
          </x14:cfRule>
          <x14:cfRule type="expression" priority="4382" stopIfTrue="1" id="{5BB40D00-DCFB-4FC5-B310-0A67B27EF4D1}">
            <xm:f>AND(IF(J361='F:\Users\norela.briceno\Documents\Plan de acción\Plan Accion 2018\[Plan Accion Integrado ADRES Vigencia 2018 con Cuadro de Mando V6..xlsx]Plan de Accion 2018'!#REF!,J361&lt;&gt;"N/A"))</xm:f>
            <x14:dxf>
              <fill>
                <patternFill>
                  <bgColor rgb="FF00B050"/>
                </patternFill>
              </fill>
            </x14:dxf>
          </x14:cfRule>
          <x14:cfRule type="expression" priority="4383" stopIfTrue="1" id="{01A3E23E-AC6C-41B7-A2C4-7E6525CAAD3F}">
            <xm:f>AND(IF(J361&lt;'F:\Users\norela.briceno\Documents\Plan de acción\Plan Accion 2018\[Plan Accion Integrado ADRES Vigencia 2018 con Cuadro de Mando V6..xlsx]Plan de Accion 2018'!#REF!,J361&lt;&gt;"N/A"))</xm:f>
            <x14:dxf>
              <fill>
                <patternFill>
                  <bgColor indexed="10"/>
                </patternFill>
              </fill>
            </x14:dxf>
          </x14:cfRule>
          <xm:sqref>J361</xm:sqref>
        </x14:conditionalFormatting>
        <x14:conditionalFormatting xmlns:xm="http://schemas.microsoft.com/office/excel/2006/main">
          <x14:cfRule type="expression" priority="4378" id="{D636282C-CAEF-4530-827D-58254A676B8C}">
            <xm:f>AND(IF(Q361&gt;'F:\Users\norela.briceno\Documents\Plan de acción\Plan Accion 2018\[Plan Accion Integrado ADRES Vigencia 2018 con Cuadro de Mando V6..xlsx]Plan de Accion 2018'!#REF!,Q361&lt;&gt;¨N/A¨))</xm:f>
            <x14:dxf>
              <fill>
                <patternFill>
                  <bgColor theme="1" tint="0.499984740745262"/>
                </patternFill>
              </fill>
            </x14:dxf>
          </x14:cfRule>
          <x14:cfRule type="expression" priority="4379" stopIfTrue="1" id="{1F67E81B-8B9E-41D6-B56A-F2B7B48C17AF}">
            <xm:f>AND(IF(Q361='F:\Users\norela.briceno\Documents\Plan de acción\Plan Accion 2018\[Plan Accion Integrado ADRES Vigencia 2018 con Cuadro de Mando V6..xlsx]Plan de Accion 2018'!#REF!,Q361&lt;&gt;"N/A"))</xm:f>
            <x14:dxf>
              <fill>
                <patternFill>
                  <bgColor rgb="FF00B050"/>
                </patternFill>
              </fill>
            </x14:dxf>
          </x14:cfRule>
          <x14:cfRule type="expression" priority="4380" stopIfTrue="1" id="{ED5BC70F-5F79-4A3D-9478-95F9797153F3}">
            <xm:f>AND(IF(Q361&lt;'F:\Users\norela.briceno\Documents\Plan de acción\Plan Accion 2018\[Plan Accion Integrado ADRES Vigencia 2018 con Cuadro de Mando V6..xlsx]Plan de Accion 2018'!#REF!,Q361&lt;&gt;"N/A"))</xm:f>
            <x14:dxf>
              <fill>
                <patternFill>
                  <bgColor indexed="10"/>
                </patternFill>
              </fill>
            </x14:dxf>
          </x14:cfRule>
          <xm:sqref>Q361</xm:sqref>
        </x14:conditionalFormatting>
        <x14:conditionalFormatting xmlns:xm="http://schemas.microsoft.com/office/excel/2006/main">
          <x14:cfRule type="expression" priority="4375" id="{7547245C-38C8-43A1-A568-6C4E44BBB8A3}">
            <xm:f>AND(IF(X361&gt;'F:\Users\norela.briceno\Documents\Plan de acción\Plan Accion 2018\[Plan Accion Integrado ADRES Vigencia 2018 con Cuadro de Mando V6..xlsx]Plan de Accion 2018'!#REF!,X361&lt;&gt;¨N/A¨))</xm:f>
            <x14:dxf>
              <fill>
                <patternFill>
                  <bgColor theme="1" tint="0.499984740745262"/>
                </patternFill>
              </fill>
            </x14:dxf>
          </x14:cfRule>
          <x14:cfRule type="expression" priority="4376" stopIfTrue="1" id="{8E152BB0-E4C4-4D52-A3E7-66CBECD57933}">
            <xm:f>AND(IF(X361='F:\Users\norela.briceno\Documents\Plan de acción\Plan Accion 2018\[Plan Accion Integrado ADRES Vigencia 2018 con Cuadro de Mando V6..xlsx]Plan de Accion 2018'!#REF!,X361&lt;&gt;"N/A"))</xm:f>
            <x14:dxf>
              <fill>
                <patternFill>
                  <bgColor rgb="FF00B050"/>
                </patternFill>
              </fill>
            </x14:dxf>
          </x14:cfRule>
          <x14:cfRule type="expression" priority="4377" stopIfTrue="1" id="{9CCA5A68-A8D7-42AF-B3FC-EA29E2C86A4F}">
            <xm:f>AND(IF(X361&lt;'F:\Users\norela.briceno\Documents\Plan de acción\Plan Accion 2018\[Plan Accion Integrado ADRES Vigencia 2018 con Cuadro de Mando V6..xlsx]Plan de Accion 2018'!#REF!,X361&lt;&gt;"N/A"))</xm:f>
            <x14:dxf>
              <fill>
                <patternFill>
                  <bgColor indexed="10"/>
                </patternFill>
              </fill>
            </x14:dxf>
          </x14:cfRule>
          <xm:sqref>X361</xm:sqref>
        </x14:conditionalFormatting>
        <x14:conditionalFormatting xmlns:xm="http://schemas.microsoft.com/office/excel/2006/main">
          <x14:cfRule type="expression" priority="4372" id="{1603CF81-F798-44BB-A1EF-41103772D496}">
            <xm:f>AND(IF(AE361&gt;'F:\Users\norela.briceno\Documents\Plan de acción\Plan Accion 2018\[Plan Accion Integrado ADRES Vigencia 2018 con Cuadro de Mando V6..xlsx]Plan de Accion 2018'!#REF!,AE361&lt;&gt;¨N/A¨))</xm:f>
            <x14:dxf>
              <fill>
                <patternFill>
                  <bgColor theme="1" tint="0.499984740745262"/>
                </patternFill>
              </fill>
            </x14:dxf>
          </x14:cfRule>
          <x14:cfRule type="expression" priority="4373" stopIfTrue="1" id="{5599C34F-D546-4645-89D3-EAAEF7BFAB4F}">
            <xm:f>AND(IF(AE361='F:\Users\norela.briceno\Documents\Plan de acción\Plan Accion 2018\[Plan Accion Integrado ADRES Vigencia 2018 con Cuadro de Mando V6..xlsx]Plan de Accion 2018'!#REF!,AE361&lt;&gt;"N/A"))</xm:f>
            <x14:dxf>
              <fill>
                <patternFill>
                  <bgColor rgb="FF00B050"/>
                </patternFill>
              </fill>
            </x14:dxf>
          </x14:cfRule>
          <x14:cfRule type="expression" priority="4374" stopIfTrue="1" id="{C43E3513-AE80-4AD0-8DCD-377768E275ED}">
            <xm:f>AND(IF(AE361&lt;'F:\Users\norela.briceno\Documents\Plan de acción\Plan Accion 2018\[Plan Accion Integrado ADRES Vigencia 2018 con Cuadro de Mando V6..xlsx]Plan de Accion 2018'!#REF!,AE361&lt;&gt;"N/A"))</xm:f>
            <x14:dxf>
              <fill>
                <patternFill>
                  <bgColor indexed="10"/>
                </patternFill>
              </fill>
            </x14:dxf>
          </x14:cfRule>
          <xm:sqref>AE361</xm:sqref>
        </x14:conditionalFormatting>
        <x14:conditionalFormatting xmlns:xm="http://schemas.microsoft.com/office/excel/2006/main">
          <x14:cfRule type="expression" priority="4329" id="{6AFBBCAB-19FF-4980-8D55-AAB242D507A6}">
            <xm:f>AND(IF(J37&gt;'F:\Users\norela.briceno\Documents\Plan de acción\Plan Accion 2018\[Plan Accion Integrado ADRES Vigencia 2018 con Cuadro de Mando V6..xlsx]Plan de Accion 2018'!#REF!,J37&lt;&gt;¨N/A¨))</xm:f>
            <x14:dxf>
              <fill>
                <patternFill>
                  <bgColor theme="1" tint="0.499984740745262"/>
                </patternFill>
              </fill>
            </x14:dxf>
          </x14:cfRule>
          <x14:cfRule type="expression" priority="4330" stopIfTrue="1" id="{A4E01B9E-9391-4180-9B12-680EC8ED5008}">
            <xm:f>AND(IF(J37='F:\Users\norela.briceno\Documents\Plan de acción\Plan Accion 2018\[Plan Accion Integrado ADRES Vigencia 2018 con Cuadro de Mando V6..xlsx]Plan de Accion 2018'!#REF!,J37&lt;&gt;"N/A"))</xm:f>
            <x14:dxf>
              <fill>
                <patternFill>
                  <bgColor rgb="FF00B050"/>
                </patternFill>
              </fill>
            </x14:dxf>
          </x14:cfRule>
          <x14:cfRule type="expression" priority="4331" stopIfTrue="1" id="{7FB56252-170F-472F-BE22-FF4160C73165}">
            <xm:f>AND(IF(J37&lt;'F:\Users\norela.briceno\Documents\Plan de acción\Plan Accion 2018\[Plan Accion Integrado ADRES Vigencia 2018 con Cuadro de Mando V6..xlsx]Plan de Accion 2018'!#REF!,J37&lt;&gt;"N/A"))</xm:f>
            <x14:dxf>
              <fill>
                <patternFill>
                  <bgColor indexed="10"/>
                </patternFill>
              </fill>
            </x14:dxf>
          </x14:cfRule>
          <xm:sqref>J37:J39</xm:sqref>
        </x14:conditionalFormatting>
        <x14:conditionalFormatting xmlns:xm="http://schemas.microsoft.com/office/excel/2006/main">
          <x14:cfRule type="expression" priority="4311" id="{135C4F72-0258-4E51-B978-DC71F8014234}">
            <xm:f>AND(IF(X239&gt;'F:\Users\norela.briceno\Documents\Plan de acción\Plan Accion 2018\[Plan Accion Integrado ADRES Vigencia 2018 con Cuadro de Mando V6..xlsx]Plan de Accion 2018'!#REF!,X239&lt;&gt;¨N/A¨))</xm:f>
            <x14:dxf>
              <fill>
                <patternFill>
                  <bgColor theme="1" tint="0.499984740745262"/>
                </patternFill>
              </fill>
            </x14:dxf>
          </x14:cfRule>
          <x14:cfRule type="expression" priority="4312" stopIfTrue="1" id="{96D39079-AF33-447D-AF36-490234D3A1B6}">
            <xm:f>AND(IF(X239='F:\Users\norela.briceno\Documents\Plan de acción\Plan Accion 2018\[Plan Accion Integrado ADRES Vigencia 2018 con Cuadro de Mando V6..xlsx]Plan de Accion 2018'!#REF!,X239&lt;&gt;"N/A"))</xm:f>
            <x14:dxf>
              <fill>
                <patternFill>
                  <bgColor rgb="FF00B050"/>
                </patternFill>
              </fill>
            </x14:dxf>
          </x14:cfRule>
          <x14:cfRule type="expression" priority="4313" stopIfTrue="1" id="{C701ADF7-D3F0-446E-BAFF-E4F95729562C}">
            <xm:f>AND(IF(X239&lt;'F:\Users\norela.briceno\Documents\Plan de acción\Plan Accion 2018\[Plan Accion Integrado ADRES Vigencia 2018 con Cuadro de Mando V6..xlsx]Plan de Accion 2018'!#REF!,X239&lt;&gt;"N/A"))</xm:f>
            <x14:dxf>
              <fill>
                <patternFill>
                  <bgColor indexed="10"/>
                </patternFill>
              </fill>
            </x14:dxf>
          </x14:cfRule>
          <xm:sqref>X239:X240</xm:sqref>
        </x14:conditionalFormatting>
        <x14:conditionalFormatting xmlns:xm="http://schemas.microsoft.com/office/excel/2006/main">
          <x14:cfRule type="expression" priority="4298" id="{2D330E5A-F1B3-40A1-A120-1DD055E9DE3D}">
            <xm:f>AND(IF(X241&gt;'F:\Users\norela.briceno\Documents\Plan de acción\Plan Accion 2018\[Plan Accion Integrado ADRES Vigencia 2018 con Cuadro de Mando V6..xlsx]Plan de Accion 2018'!#REF!,X241&lt;&gt;¨N/A¨))</xm:f>
            <x14:dxf>
              <fill>
                <patternFill>
                  <bgColor theme="1" tint="0.499984740745262"/>
                </patternFill>
              </fill>
            </x14:dxf>
          </x14:cfRule>
          <x14:cfRule type="expression" priority="4299" stopIfTrue="1" id="{C3B742D9-FCF7-49F4-93D7-1CD320DBF8B3}">
            <xm:f>AND(IF(X241='F:\Users\norela.briceno\Documents\Plan de acción\Plan Accion 2018\[Plan Accion Integrado ADRES Vigencia 2018 con Cuadro de Mando V6..xlsx]Plan de Accion 2018'!#REF!,X241&lt;&gt;"N/A"))</xm:f>
            <x14:dxf>
              <fill>
                <patternFill>
                  <bgColor rgb="FF00B050"/>
                </patternFill>
              </fill>
            </x14:dxf>
          </x14:cfRule>
          <x14:cfRule type="expression" priority="4300" stopIfTrue="1" id="{3200E4F7-A45A-48C9-A339-DD5DED3B8783}">
            <xm:f>AND(IF(X241&lt;'F:\Users\norela.briceno\Documents\Plan de acción\Plan Accion 2018\[Plan Accion Integrado ADRES Vigencia 2018 con Cuadro de Mando V6..xlsx]Plan de Accion 2018'!#REF!,X241&lt;&gt;"N/A"))</xm:f>
            <x14:dxf>
              <fill>
                <patternFill>
                  <bgColor indexed="10"/>
                </patternFill>
              </fill>
            </x14:dxf>
          </x14:cfRule>
          <xm:sqref>X241</xm:sqref>
        </x14:conditionalFormatting>
        <x14:conditionalFormatting xmlns:xm="http://schemas.microsoft.com/office/excel/2006/main">
          <x14:cfRule type="expression" priority="4226" id="{BB268176-6760-4DEE-94AF-8785C1180D11}">
            <xm:f>AND(IF(AE178&gt;'F:\Users\norela.briceno\Documents\Plan de acción\Plan Accion 2018\[Plan Accion Integrado ADRES Vigencia 2018 con Cuadro de Mando V6..xlsx]Plan de Accion 2018'!#REF!,AE178&lt;&gt;¨N/A¨))</xm:f>
            <x14:dxf>
              <fill>
                <patternFill>
                  <bgColor theme="1" tint="0.499984740745262"/>
                </patternFill>
              </fill>
            </x14:dxf>
          </x14:cfRule>
          <x14:cfRule type="expression" priority="4227" stopIfTrue="1" id="{4E3E99BC-E60D-4823-A2B1-4099FF95CF9E}">
            <xm:f>AND(IF(AE178='F:\Users\norela.briceno\Documents\Plan de acción\Plan Accion 2018\[Plan Accion Integrado ADRES Vigencia 2018 con Cuadro de Mando V6..xlsx]Plan de Accion 2018'!#REF!,AE178&lt;&gt;"N/A"))</xm:f>
            <x14:dxf>
              <fill>
                <patternFill>
                  <bgColor rgb="FF00B050"/>
                </patternFill>
              </fill>
            </x14:dxf>
          </x14:cfRule>
          <x14:cfRule type="expression" priority="4228" stopIfTrue="1" id="{F341BF8D-46BF-4185-97AF-1086DE8D6B9E}">
            <xm:f>AND(IF(AE178&lt;'F:\Users\norela.briceno\Documents\Plan de acción\Plan Accion 2018\[Plan Accion Integrado ADRES Vigencia 2018 con Cuadro de Mando V6..xlsx]Plan de Accion 2018'!#REF!,AE178&lt;&gt;"N/A"))</xm:f>
            <x14:dxf>
              <fill>
                <patternFill>
                  <bgColor indexed="10"/>
                </patternFill>
              </fill>
            </x14:dxf>
          </x14:cfRule>
          <xm:sqref>AE178</xm:sqref>
        </x14:conditionalFormatting>
        <x14:conditionalFormatting xmlns:xm="http://schemas.microsoft.com/office/excel/2006/main">
          <x14:cfRule type="expression" priority="4235" id="{4C948924-FDF4-46D7-B4BE-946862EBABCF}">
            <xm:f>AND(IF(J178&gt;'F:\Users\norela.briceno\Documents\Plan de acción\Plan Accion 2018\[Plan Accion Integrado ADRES Vigencia 2018 con Cuadro de Mando V6..xlsx]Plan de Accion 2018'!#REF!,J178&lt;&gt;¨N/A¨))</xm:f>
            <x14:dxf>
              <fill>
                <patternFill>
                  <bgColor theme="1" tint="0.499984740745262"/>
                </patternFill>
              </fill>
            </x14:dxf>
          </x14:cfRule>
          <x14:cfRule type="expression" priority="4236" stopIfTrue="1" id="{B8CB04C2-2544-4844-820C-BF50867A4F2F}">
            <xm:f>AND(IF(J178='F:\Users\norela.briceno\Documents\Plan de acción\Plan Accion 2018\[Plan Accion Integrado ADRES Vigencia 2018 con Cuadro de Mando V6..xlsx]Plan de Accion 2018'!#REF!,J178&lt;&gt;"N/A"))</xm:f>
            <x14:dxf>
              <fill>
                <patternFill>
                  <bgColor rgb="FF00B050"/>
                </patternFill>
              </fill>
            </x14:dxf>
          </x14:cfRule>
          <x14:cfRule type="expression" priority="4237" stopIfTrue="1" id="{ED675424-1FBD-463F-BE62-E35FE3AB2B51}">
            <xm:f>AND(IF(J178&lt;'F:\Users\norela.briceno\Documents\Plan de acción\Plan Accion 2018\[Plan Accion Integrado ADRES Vigencia 2018 con Cuadro de Mando V6..xlsx]Plan de Accion 2018'!#REF!,J178&lt;&gt;"N/A"))</xm:f>
            <x14:dxf>
              <fill>
                <patternFill>
                  <bgColor indexed="10"/>
                </patternFill>
              </fill>
            </x14:dxf>
          </x14:cfRule>
          <xm:sqref>J178</xm:sqref>
        </x14:conditionalFormatting>
        <x14:conditionalFormatting xmlns:xm="http://schemas.microsoft.com/office/excel/2006/main">
          <x14:cfRule type="expression" priority="4232" id="{9921FE1D-0488-4978-9516-13AD0FA46DC5}">
            <xm:f>AND(IF(Q178&gt;'F:\Users\norela.briceno\Documents\Plan de acción\Plan Accion 2018\[Plan Accion Integrado ADRES Vigencia 2018 con Cuadro de Mando V6..xlsx]Plan de Accion 2018'!#REF!,Q178&lt;&gt;¨N/A¨))</xm:f>
            <x14:dxf>
              <fill>
                <patternFill>
                  <bgColor theme="1" tint="0.499984740745262"/>
                </patternFill>
              </fill>
            </x14:dxf>
          </x14:cfRule>
          <x14:cfRule type="expression" priority="4233" stopIfTrue="1" id="{2A229CC6-0CE4-4A0A-9B70-749CCFA80BE7}">
            <xm:f>AND(IF(Q178='F:\Users\norela.briceno\Documents\Plan de acción\Plan Accion 2018\[Plan Accion Integrado ADRES Vigencia 2018 con Cuadro de Mando V6..xlsx]Plan de Accion 2018'!#REF!,Q178&lt;&gt;"N/A"))</xm:f>
            <x14:dxf>
              <fill>
                <patternFill>
                  <bgColor rgb="FF00B050"/>
                </patternFill>
              </fill>
            </x14:dxf>
          </x14:cfRule>
          <x14:cfRule type="expression" priority="4234" stopIfTrue="1" id="{BC3474CA-F4AA-423A-8469-49BB18B7C340}">
            <xm:f>AND(IF(Q178&lt;'F:\Users\norela.briceno\Documents\Plan de acción\Plan Accion 2018\[Plan Accion Integrado ADRES Vigencia 2018 con Cuadro de Mando V6..xlsx]Plan de Accion 2018'!#REF!,Q178&lt;&gt;"N/A"))</xm:f>
            <x14:dxf>
              <fill>
                <patternFill>
                  <bgColor indexed="10"/>
                </patternFill>
              </fill>
            </x14:dxf>
          </x14:cfRule>
          <xm:sqref>Q178</xm:sqref>
        </x14:conditionalFormatting>
        <x14:conditionalFormatting xmlns:xm="http://schemas.microsoft.com/office/excel/2006/main">
          <x14:cfRule type="expression" priority="4229" id="{38EDBC65-AEC4-4CA4-A4AD-94E34E066A9E}">
            <xm:f>AND(IF(X178&gt;'F:\Users\norela.briceno\Documents\Plan de acción\Plan Accion 2018\[Plan Accion Integrado ADRES Vigencia 2018 con Cuadro de Mando V6..xlsx]Plan de Accion 2018'!#REF!,X178&lt;&gt;¨N/A¨))</xm:f>
            <x14:dxf>
              <fill>
                <patternFill>
                  <bgColor theme="1" tint="0.499984740745262"/>
                </patternFill>
              </fill>
            </x14:dxf>
          </x14:cfRule>
          <x14:cfRule type="expression" priority="4230" stopIfTrue="1" id="{4B736B93-D52C-406D-BBAA-DC30935F5B0C}">
            <xm:f>AND(IF(X178='F:\Users\norela.briceno\Documents\Plan de acción\Plan Accion 2018\[Plan Accion Integrado ADRES Vigencia 2018 con Cuadro de Mando V6..xlsx]Plan de Accion 2018'!#REF!,X178&lt;&gt;"N/A"))</xm:f>
            <x14:dxf>
              <fill>
                <patternFill>
                  <bgColor rgb="FF00B050"/>
                </patternFill>
              </fill>
            </x14:dxf>
          </x14:cfRule>
          <x14:cfRule type="expression" priority="4231" stopIfTrue="1" id="{7AE1A6A8-5EC1-44B5-B392-D76B33885EBB}">
            <xm:f>AND(IF(X178&lt;'F:\Users\norela.briceno\Documents\Plan de acción\Plan Accion 2018\[Plan Accion Integrado ADRES Vigencia 2018 con Cuadro de Mando V6..xlsx]Plan de Accion 2018'!#REF!,X178&lt;&gt;"N/A"))</xm:f>
            <x14:dxf>
              <fill>
                <patternFill>
                  <bgColor indexed="10"/>
                </patternFill>
              </fill>
            </x14:dxf>
          </x14:cfRule>
          <xm:sqref>X178</xm:sqref>
        </x14:conditionalFormatting>
        <x14:conditionalFormatting xmlns:xm="http://schemas.microsoft.com/office/excel/2006/main">
          <x14:cfRule type="expression" priority="4178" id="{4BD4C8E7-859B-4138-809E-A5EEC933A1E9}">
            <xm:f>AND(IF(J180&gt;'F:\Users\norela.briceno\Documents\Plan de acción\Plan Accion 2018\[Plan Accion Integrado ADRES Vigencia 2018 con Cuadro de Mando V6..xlsx]Plan de Accion 2018'!#REF!,J180&lt;&gt;¨N/A¨))</xm:f>
            <x14:dxf>
              <fill>
                <patternFill>
                  <bgColor theme="1" tint="0.499984740745262"/>
                </patternFill>
              </fill>
            </x14:dxf>
          </x14:cfRule>
          <x14:cfRule type="expression" priority="4179" stopIfTrue="1" id="{46A7945A-196C-4315-80B6-BC4F0569B2D4}">
            <xm:f>AND(IF(J180='F:\Users\norela.briceno\Documents\Plan de acción\Plan Accion 2018\[Plan Accion Integrado ADRES Vigencia 2018 con Cuadro de Mando V6..xlsx]Plan de Accion 2018'!#REF!,J180&lt;&gt;"N/A"))</xm:f>
            <x14:dxf>
              <fill>
                <patternFill>
                  <bgColor rgb="FF00B050"/>
                </patternFill>
              </fill>
            </x14:dxf>
          </x14:cfRule>
          <x14:cfRule type="expression" priority="4180" stopIfTrue="1" id="{CCFD72B2-D76F-46CC-A29C-2BF16DE3F128}">
            <xm:f>AND(IF(J180&lt;'F:\Users\norela.briceno\Documents\Plan de acción\Plan Accion 2018\[Plan Accion Integrado ADRES Vigencia 2018 con Cuadro de Mando V6..xlsx]Plan de Accion 2018'!#REF!,J180&lt;&gt;"N/A"))</xm:f>
            <x14:dxf>
              <fill>
                <patternFill>
                  <bgColor indexed="10"/>
                </patternFill>
              </fill>
            </x14:dxf>
          </x14:cfRule>
          <xm:sqref>J180</xm:sqref>
        </x14:conditionalFormatting>
        <x14:conditionalFormatting xmlns:xm="http://schemas.microsoft.com/office/excel/2006/main">
          <x14:cfRule type="expression" priority="4175" id="{C6AD351F-C471-4266-A556-32475F1B8909}">
            <xm:f>AND(IF(Q180&gt;'F:\Users\norela.briceno\Documents\Plan de acción\Plan Accion 2018\[Plan Accion Integrado ADRES Vigencia 2018 con Cuadro de Mando V6..xlsx]Plan de Accion 2018'!#REF!,Q180&lt;&gt;¨N/A¨))</xm:f>
            <x14:dxf>
              <fill>
                <patternFill>
                  <bgColor theme="1" tint="0.499984740745262"/>
                </patternFill>
              </fill>
            </x14:dxf>
          </x14:cfRule>
          <x14:cfRule type="expression" priority="4176" stopIfTrue="1" id="{9EF91D29-DEBD-4F9B-9C2E-A73A2CA881E7}">
            <xm:f>AND(IF(Q180='F:\Users\norela.briceno\Documents\Plan de acción\Plan Accion 2018\[Plan Accion Integrado ADRES Vigencia 2018 con Cuadro de Mando V6..xlsx]Plan de Accion 2018'!#REF!,Q180&lt;&gt;"N/A"))</xm:f>
            <x14:dxf>
              <fill>
                <patternFill>
                  <bgColor rgb="FF00B050"/>
                </patternFill>
              </fill>
            </x14:dxf>
          </x14:cfRule>
          <x14:cfRule type="expression" priority="4177" stopIfTrue="1" id="{F4AA46E8-B339-498F-9D2C-90F6ABC0A7F7}">
            <xm:f>AND(IF(Q180&lt;'F:\Users\norela.briceno\Documents\Plan de acción\Plan Accion 2018\[Plan Accion Integrado ADRES Vigencia 2018 con Cuadro de Mando V6..xlsx]Plan de Accion 2018'!#REF!,Q180&lt;&gt;"N/A"))</xm:f>
            <x14:dxf>
              <fill>
                <patternFill>
                  <bgColor indexed="10"/>
                </patternFill>
              </fill>
            </x14:dxf>
          </x14:cfRule>
          <xm:sqref>Q180</xm:sqref>
        </x14:conditionalFormatting>
        <x14:conditionalFormatting xmlns:xm="http://schemas.microsoft.com/office/excel/2006/main">
          <x14:cfRule type="expression" priority="4172" id="{7BC1B977-C15E-4F1D-984C-77A92DA4F754}">
            <xm:f>AND(IF(X180&gt;'F:\Users\norela.briceno\Documents\Plan de acción\Plan Accion 2018\[Plan Accion Integrado ADRES Vigencia 2018 con Cuadro de Mando V6..xlsx]Plan de Accion 2018'!#REF!,X180&lt;&gt;¨N/A¨))</xm:f>
            <x14:dxf>
              <fill>
                <patternFill>
                  <bgColor theme="1" tint="0.499984740745262"/>
                </patternFill>
              </fill>
            </x14:dxf>
          </x14:cfRule>
          <x14:cfRule type="expression" priority="4173" stopIfTrue="1" id="{FB0CA6FB-5D56-41B7-AAE4-3EE1AE6361F0}">
            <xm:f>AND(IF(X180='F:\Users\norela.briceno\Documents\Plan de acción\Plan Accion 2018\[Plan Accion Integrado ADRES Vigencia 2018 con Cuadro de Mando V6..xlsx]Plan de Accion 2018'!#REF!,X180&lt;&gt;"N/A"))</xm:f>
            <x14:dxf>
              <fill>
                <patternFill>
                  <bgColor rgb="FF00B050"/>
                </patternFill>
              </fill>
            </x14:dxf>
          </x14:cfRule>
          <x14:cfRule type="expression" priority="4174" stopIfTrue="1" id="{BE1F4E85-DE83-4D4B-9017-032549C786E2}">
            <xm:f>AND(IF(X180&lt;'F:\Users\norela.briceno\Documents\Plan de acción\Plan Accion 2018\[Plan Accion Integrado ADRES Vigencia 2018 con Cuadro de Mando V6..xlsx]Plan de Accion 2018'!#REF!,X180&lt;&gt;"N/A"))</xm:f>
            <x14:dxf>
              <fill>
                <patternFill>
                  <bgColor indexed="10"/>
                </patternFill>
              </fill>
            </x14:dxf>
          </x14:cfRule>
          <xm:sqref>X180</xm:sqref>
        </x14:conditionalFormatting>
        <x14:conditionalFormatting xmlns:xm="http://schemas.microsoft.com/office/excel/2006/main">
          <x14:cfRule type="expression" priority="4169" id="{F64FC179-FE41-4418-9C44-A620178E15A4}">
            <xm:f>AND(IF(AE180&gt;'F:\Users\norela.briceno\Documents\Plan de acción\Plan Accion 2018\[Plan Accion Integrado ADRES Vigencia 2018 con Cuadro de Mando V6..xlsx]Plan de Accion 2018'!#REF!,AE180&lt;&gt;¨N/A¨))</xm:f>
            <x14:dxf>
              <fill>
                <patternFill>
                  <bgColor theme="1" tint="0.499984740745262"/>
                </patternFill>
              </fill>
            </x14:dxf>
          </x14:cfRule>
          <x14:cfRule type="expression" priority="4170" stopIfTrue="1" id="{6A183700-CD8C-4D0A-9A7D-75E9DA82CEF6}">
            <xm:f>AND(IF(AE180='F:\Users\norela.briceno\Documents\Plan de acción\Plan Accion 2018\[Plan Accion Integrado ADRES Vigencia 2018 con Cuadro de Mando V6..xlsx]Plan de Accion 2018'!#REF!,AE180&lt;&gt;"N/A"))</xm:f>
            <x14:dxf>
              <fill>
                <patternFill>
                  <bgColor rgb="FF00B050"/>
                </patternFill>
              </fill>
            </x14:dxf>
          </x14:cfRule>
          <x14:cfRule type="expression" priority="4171" stopIfTrue="1" id="{6CA6EC19-6F7C-4ACD-A71A-A3D0B56E98E6}">
            <xm:f>AND(IF(AE180&lt;'F:\Users\norela.briceno\Documents\Plan de acción\Plan Accion 2018\[Plan Accion Integrado ADRES Vigencia 2018 con Cuadro de Mando V6..xlsx]Plan de Accion 2018'!#REF!,AE180&lt;&gt;"N/A"))</xm:f>
            <x14:dxf>
              <fill>
                <patternFill>
                  <bgColor indexed="10"/>
                </patternFill>
              </fill>
            </x14:dxf>
          </x14:cfRule>
          <xm:sqref>AE180</xm:sqref>
        </x14:conditionalFormatting>
        <x14:conditionalFormatting xmlns:xm="http://schemas.microsoft.com/office/excel/2006/main">
          <x14:cfRule type="expression" priority="4111" id="{6909E69D-CD05-4667-BB85-7186CF8EF2AE}">
            <xm:f>AND(IF(J172&gt;'F:\Users\norela.briceno\Documents\Plan de acción\Plan Accion 2018\[Plan Accion Integrado ADRES Vigencia 2018 con Cuadro de Mando V6..xlsx]Plan de Accion 2018'!#REF!,J172&lt;&gt;¨N/A¨))</xm:f>
            <x14:dxf>
              <fill>
                <patternFill>
                  <bgColor theme="1" tint="0.499984740745262"/>
                </patternFill>
              </fill>
            </x14:dxf>
          </x14:cfRule>
          <x14:cfRule type="expression" priority="4112" stopIfTrue="1" id="{E3C133C7-ECDD-4F2E-9D6D-BD6340808ADB}">
            <xm:f>AND(IF(J172='F:\Users\norela.briceno\Documents\Plan de acción\Plan Accion 2018\[Plan Accion Integrado ADRES Vigencia 2018 con Cuadro de Mando V6..xlsx]Plan de Accion 2018'!#REF!,J172&lt;&gt;"N/A"))</xm:f>
            <x14:dxf>
              <fill>
                <patternFill>
                  <bgColor rgb="FF00B050"/>
                </patternFill>
              </fill>
            </x14:dxf>
          </x14:cfRule>
          <x14:cfRule type="expression" priority="4113" stopIfTrue="1" id="{59ACAC54-7C9C-486C-AF72-722D54F2A306}">
            <xm:f>AND(IF(J172&lt;'F:\Users\norela.briceno\Documents\Plan de acción\Plan Accion 2018\[Plan Accion Integrado ADRES Vigencia 2018 con Cuadro de Mando V6..xlsx]Plan de Accion 2018'!#REF!,J172&lt;&gt;"N/A"))</xm:f>
            <x14:dxf>
              <fill>
                <patternFill>
                  <bgColor indexed="10"/>
                </patternFill>
              </fill>
            </x14:dxf>
          </x14:cfRule>
          <xm:sqref>J172</xm:sqref>
        </x14:conditionalFormatting>
        <x14:conditionalFormatting xmlns:xm="http://schemas.microsoft.com/office/excel/2006/main">
          <x14:cfRule type="expression" priority="4108" id="{78C70622-9AEB-44D8-9A3E-A9DA70D014C1}">
            <xm:f>AND(IF(Q172&gt;'F:\Users\norela.briceno\Documents\Plan de acción\Plan Accion 2018\[Plan Accion Integrado ADRES Vigencia 2018 con Cuadro de Mando V6..xlsx]Plan de Accion 2018'!#REF!,Q172&lt;&gt;¨N/A¨))</xm:f>
            <x14:dxf>
              <fill>
                <patternFill>
                  <bgColor theme="1" tint="0.499984740745262"/>
                </patternFill>
              </fill>
            </x14:dxf>
          </x14:cfRule>
          <x14:cfRule type="expression" priority="4109" stopIfTrue="1" id="{0A2F5A50-DD83-4E0F-82F4-E618237FBD96}">
            <xm:f>AND(IF(Q172='F:\Users\norela.briceno\Documents\Plan de acción\Plan Accion 2018\[Plan Accion Integrado ADRES Vigencia 2018 con Cuadro de Mando V6..xlsx]Plan de Accion 2018'!#REF!,Q172&lt;&gt;"N/A"))</xm:f>
            <x14:dxf>
              <fill>
                <patternFill>
                  <bgColor rgb="FF00B050"/>
                </patternFill>
              </fill>
            </x14:dxf>
          </x14:cfRule>
          <x14:cfRule type="expression" priority="4110" stopIfTrue="1" id="{32E4270F-2C7E-40B6-BC6D-47A79CDEFAF0}">
            <xm:f>AND(IF(Q172&lt;'F:\Users\norela.briceno\Documents\Plan de acción\Plan Accion 2018\[Plan Accion Integrado ADRES Vigencia 2018 con Cuadro de Mando V6..xlsx]Plan de Accion 2018'!#REF!,Q172&lt;&gt;"N/A"))</xm:f>
            <x14:dxf>
              <fill>
                <patternFill>
                  <bgColor indexed="10"/>
                </patternFill>
              </fill>
            </x14:dxf>
          </x14:cfRule>
          <xm:sqref>Q172</xm:sqref>
        </x14:conditionalFormatting>
        <x14:conditionalFormatting xmlns:xm="http://schemas.microsoft.com/office/excel/2006/main">
          <x14:cfRule type="expression" priority="4105" id="{BCA9250E-F43E-4044-B269-8F9CD8B5C1C4}">
            <xm:f>AND(IF(X172&gt;'F:\Users\norela.briceno\Documents\Plan de acción\Plan Accion 2018\[Plan Accion Integrado ADRES Vigencia 2018 con Cuadro de Mando V6..xlsx]Plan de Accion 2018'!#REF!,X172&lt;&gt;¨N/A¨))</xm:f>
            <x14:dxf>
              <fill>
                <patternFill>
                  <bgColor theme="1" tint="0.499984740745262"/>
                </patternFill>
              </fill>
            </x14:dxf>
          </x14:cfRule>
          <x14:cfRule type="expression" priority="4106" stopIfTrue="1" id="{4BCE8185-0D2D-4B48-AEAD-6F89048A750F}">
            <xm:f>AND(IF(X172='F:\Users\norela.briceno\Documents\Plan de acción\Plan Accion 2018\[Plan Accion Integrado ADRES Vigencia 2018 con Cuadro de Mando V6..xlsx]Plan de Accion 2018'!#REF!,X172&lt;&gt;"N/A"))</xm:f>
            <x14:dxf>
              <fill>
                <patternFill>
                  <bgColor rgb="FF00B050"/>
                </patternFill>
              </fill>
            </x14:dxf>
          </x14:cfRule>
          <x14:cfRule type="expression" priority="4107" stopIfTrue="1" id="{285045A8-6F89-453A-B584-BEDDFAA0B424}">
            <xm:f>AND(IF(X172&lt;'F:\Users\norela.briceno\Documents\Plan de acción\Plan Accion 2018\[Plan Accion Integrado ADRES Vigencia 2018 con Cuadro de Mando V6..xlsx]Plan de Accion 2018'!#REF!,X172&lt;&gt;"N/A"))</xm:f>
            <x14:dxf>
              <fill>
                <patternFill>
                  <bgColor indexed="10"/>
                </patternFill>
              </fill>
            </x14:dxf>
          </x14:cfRule>
          <xm:sqref>X172</xm:sqref>
        </x14:conditionalFormatting>
        <x14:conditionalFormatting xmlns:xm="http://schemas.microsoft.com/office/excel/2006/main">
          <x14:cfRule type="expression" priority="4102" id="{D23294BB-B419-40B1-B1E7-17742289B818}">
            <xm:f>AND(IF(AE172&gt;'F:\Users\norela.briceno\Documents\Plan de acción\Plan Accion 2018\[Plan Accion Integrado ADRES Vigencia 2018 con Cuadro de Mando V6..xlsx]Plan de Accion 2018'!#REF!,AE172&lt;&gt;¨N/A¨))</xm:f>
            <x14:dxf>
              <fill>
                <patternFill>
                  <bgColor theme="1" tint="0.499984740745262"/>
                </patternFill>
              </fill>
            </x14:dxf>
          </x14:cfRule>
          <x14:cfRule type="expression" priority="4103" stopIfTrue="1" id="{1C262F84-8C65-4BFB-9999-B38083DA8D45}">
            <xm:f>AND(IF(AE172='F:\Users\norela.briceno\Documents\Plan de acción\Plan Accion 2018\[Plan Accion Integrado ADRES Vigencia 2018 con Cuadro de Mando V6..xlsx]Plan de Accion 2018'!#REF!,AE172&lt;&gt;"N/A"))</xm:f>
            <x14:dxf>
              <fill>
                <patternFill>
                  <bgColor rgb="FF00B050"/>
                </patternFill>
              </fill>
            </x14:dxf>
          </x14:cfRule>
          <x14:cfRule type="expression" priority="4104" stopIfTrue="1" id="{3567F6AF-6331-4873-A46D-CCB8A1BC5C92}">
            <xm:f>AND(IF(AE172&lt;'F:\Users\norela.briceno\Documents\Plan de acción\Plan Accion 2018\[Plan Accion Integrado ADRES Vigencia 2018 con Cuadro de Mando V6..xlsx]Plan de Accion 2018'!#REF!,AE172&lt;&gt;"N/A"))</xm:f>
            <x14:dxf>
              <fill>
                <patternFill>
                  <bgColor indexed="10"/>
                </patternFill>
              </fill>
            </x14:dxf>
          </x14:cfRule>
          <xm:sqref>AE172</xm:sqref>
        </x14:conditionalFormatting>
        <x14:conditionalFormatting xmlns:xm="http://schemas.microsoft.com/office/excel/2006/main">
          <x14:cfRule type="expression" priority="3977" id="{A90AEEAA-B7D6-44C0-95C3-3B11855E7489}">
            <xm:f>AND(IF(J173&gt;'F:\Users\norela.briceno\Documents\Plan de acción\Plan Accion 2018\[Plan Accion Integrado ADRES Vigencia 2018 con Cuadro de Mando V6..xlsx]Plan de Accion 2018'!#REF!,J173&lt;&gt;¨N/A¨))</xm:f>
            <x14:dxf>
              <fill>
                <patternFill>
                  <bgColor theme="1" tint="0.499984740745262"/>
                </patternFill>
              </fill>
            </x14:dxf>
          </x14:cfRule>
          <x14:cfRule type="expression" priority="3978" stopIfTrue="1" id="{6861F00B-5533-44BC-AF35-BB5D3E8D5A68}">
            <xm:f>AND(IF(J173='F:\Users\norela.briceno\Documents\Plan de acción\Plan Accion 2018\[Plan Accion Integrado ADRES Vigencia 2018 con Cuadro de Mando V6..xlsx]Plan de Accion 2018'!#REF!,J173&lt;&gt;"N/A"))</xm:f>
            <x14:dxf>
              <fill>
                <patternFill>
                  <bgColor rgb="FF00B050"/>
                </patternFill>
              </fill>
            </x14:dxf>
          </x14:cfRule>
          <x14:cfRule type="expression" priority="3979" stopIfTrue="1" id="{D313A976-C0B4-4E33-A613-6962B0699DCF}">
            <xm:f>AND(IF(J173&lt;'F:\Users\norela.briceno\Documents\Plan de acción\Plan Accion 2018\[Plan Accion Integrado ADRES Vigencia 2018 con Cuadro de Mando V6..xlsx]Plan de Accion 2018'!#REF!,J173&lt;&gt;"N/A"))</xm:f>
            <x14:dxf>
              <fill>
                <patternFill>
                  <bgColor indexed="10"/>
                </patternFill>
              </fill>
            </x14:dxf>
          </x14:cfRule>
          <xm:sqref>J173</xm:sqref>
        </x14:conditionalFormatting>
        <x14:conditionalFormatting xmlns:xm="http://schemas.microsoft.com/office/excel/2006/main">
          <x14:cfRule type="expression" priority="3974" id="{06971972-D215-4D6E-BA39-804A40BC2AC6}">
            <xm:f>AND(IF(Q173&gt;'F:\Users\norela.briceno\Documents\Plan de acción\Plan Accion 2018\[Plan Accion Integrado ADRES Vigencia 2018 con Cuadro de Mando V6..xlsx]Plan de Accion 2018'!#REF!,Q173&lt;&gt;¨N/A¨))</xm:f>
            <x14:dxf>
              <fill>
                <patternFill>
                  <bgColor theme="1" tint="0.499984740745262"/>
                </patternFill>
              </fill>
            </x14:dxf>
          </x14:cfRule>
          <x14:cfRule type="expression" priority="3975" stopIfTrue="1" id="{88C86DDE-6D3F-4402-BC2E-7A7E890D989B}">
            <xm:f>AND(IF(Q173='F:\Users\norela.briceno\Documents\Plan de acción\Plan Accion 2018\[Plan Accion Integrado ADRES Vigencia 2018 con Cuadro de Mando V6..xlsx]Plan de Accion 2018'!#REF!,Q173&lt;&gt;"N/A"))</xm:f>
            <x14:dxf>
              <fill>
                <patternFill>
                  <bgColor rgb="FF00B050"/>
                </patternFill>
              </fill>
            </x14:dxf>
          </x14:cfRule>
          <x14:cfRule type="expression" priority="3976" stopIfTrue="1" id="{A341B50B-699B-4D3E-8399-B9E7DA204405}">
            <xm:f>AND(IF(Q173&lt;'F:\Users\norela.briceno\Documents\Plan de acción\Plan Accion 2018\[Plan Accion Integrado ADRES Vigencia 2018 con Cuadro de Mando V6..xlsx]Plan de Accion 2018'!#REF!,Q173&lt;&gt;"N/A"))</xm:f>
            <x14:dxf>
              <fill>
                <patternFill>
                  <bgColor indexed="10"/>
                </patternFill>
              </fill>
            </x14:dxf>
          </x14:cfRule>
          <xm:sqref>Q173</xm:sqref>
        </x14:conditionalFormatting>
        <x14:conditionalFormatting xmlns:xm="http://schemas.microsoft.com/office/excel/2006/main">
          <x14:cfRule type="expression" priority="3971" id="{8EA6C477-543C-489C-B0DB-949DEC23DFF5}">
            <xm:f>AND(IF(X173&gt;'F:\Users\norela.briceno\Documents\Plan de acción\Plan Accion 2018\[Plan Accion Integrado ADRES Vigencia 2018 con Cuadro de Mando V6..xlsx]Plan de Accion 2018'!#REF!,X173&lt;&gt;¨N/A¨))</xm:f>
            <x14:dxf>
              <fill>
                <patternFill>
                  <bgColor theme="1" tint="0.499984740745262"/>
                </patternFill>
              </fill>
            </x14:dxf>
          </x14:cfRule>
          <x14:cfRule type="expression" priority="3972" stopIfTrue="1" id="{F6A65E21-639A-4F96-9E45-BEAFB69DD10F}">
            <xm:f>AND(IF(X173='F:\Users\norela.briceno\Documents\Plan de acción\Plan Accion 2018\[Plan Accion Integrado ADRES Vigencia 2018 con Cuadro de Mando V6..xlsx]Plan de Accion 2018'!#REF!,X173&lt;&gt;"N/A"))</xm:f>
            <x14:dxf>
              <fill>
                <patternFill>
                  <bgColor rgb="FF00B050"/>
                </patternFill>
              </fill>
            </x14:dxf>
          </x14:cfRule>
          <x14:cfRule type="expression" priority="3973" stopIfTrue="1" id="{EE3F1E07-4B1B-4C62-BC60-F282E88DB99D}">
            <xm:f>AND(IF(X173&lt;'F:\Users\norela.briceno\Documents\Plan de acción\Plan Accion 2018\[Plan Accion Integrado ADRES Vigencia 2018 con Cuadro de Mando V6..xlsx]Plan de Accion 2018'!#REF!,X173&lt;&gt;"N/A"))</xm:f>
            <x14:dxf>
              <fill>
                <patternFill>
                  <bgColor indexed="10"/>
                </patternFill>
              </fill>
            </x14:dxf>
          </x14:cfRule>
          <xm:sqref>X173</xm:sqref>
        </x14:conditionalFormatting>
        <x14:conditionalFormatting xmlns:xm="http://schemas.microsoft.com/office/excel/2006/main">
          <x14:cfRule type="expression" priority="3968" id="{18127477-04E1-422A-93D1-DE757E067D45}">
            <xm:f>AND(IF(AE173&gt;'F:\Users\norela.briceno\Documents\Plan de acción\Plan Accion 2018\[Plan Accion Integrado ADRES Vigencia 2018 con Cuadro de Mando V6..xlsx]Plan de Accion 2018'!#REF!,AE173&lt;&gt;¨N/A¨))</xm:f>
            <x14:dxf>
              <fill>
                <patternFill>
                  <bgColor theme="1" tint="0.499984740745262"/>
                </patternFill>
              </fill>
            </x14:dxf>
          </x14:cfRule>
          <x14:cfRule type="expression" priority="3969" stopIfTrue="1" id="{E73F013B-5C86-42C9-9946-5D382CC371ED}">
            <xm:f>AND(IF(AE173='F:\Users\norela.briceno\Documents\Plan de acción\Plan Accion 2018\[Plan Accion Integrado ADRES Vigencia 2018 con Cuadro de Mando V6..xlsx]Plan de Accion 2018'!#REF!,AE173&lt;&gt;"N/A"))</xm:f>
            <x14:dxf>
              <fill>
                <patternFill>
                  <bgColor rgb="FF00B050"/>
                </patternFill>
              </fill>
            </x14:dxf>
          </x14:cfRule>
          <x14:cfRule type="expression" priority="3970" stopIfTrue="1" id="{56707A23-3782-4809-8650-BF46CB3AC6EC}">
            <xm:f>AND(IF(AE173&lt;'F:\Users\norela.briceno\Documents\Plan de acción\Plan Accion 2018\[Plan Accion Integrado ADRES Vigencia 2018 con Cuadro de Mando V6..xlsx]Plan de Accion 2018'!#REF!,AE173&lt;&gt;"N/A"))</xm:f>
            <x14:dxf>
              <fill>
                <patternFill>
                  <bgColor indexed="10"/>
                </patternFill>
              </fill>
            </x14:dxf>
          </x14:cfRule>
          <xm:sqref>AE173</xm:sqref>
        </x14:conditionalFormatting>
        <x14:conditionalFormatting xmlns:xm="http://schemas.microsoft.com/office/excel/2006/main">
          <x14:cfRule type="expression" priority="3873" id="{02C33234-171D-4F43-B510-75DC58EC9BA3}">
            <xm:f>AND(IF(J243&gt;'F:\Users\norela.briceno\Documents\Plan de acción\Plan Accion 2018\[Plan Accion Integrado ADRES Vigencia 2018 con Cuadro de Mando V6..xlsx]Plan de Accion 2018'!#REF!,J243&lt;&gt;¨N/A¨))</xm:f>
            <x14:dxf>
              <fill>
                <patternFill>
                  <bgColor theme="1" tint="0.499984740745262"/>
                </patternFill>
              </fill>
            </x14:dxf>
          </x14:cfRule>
          <x14:cfRule type="expression" priority="3874" stopIfTrue="1" id="{B4E0A2B6-93A8-406B-A71C-2E8C2AEC29C4}">
            <xm:f>AND(IF(J243='F:\Users\norela.briceno\Documents\Plan de acción\Plan Accion 2018\[Plan Accion Integrado ADRES Vigencia 2018 con Cuadro de Mando V6..xlsx]Plan de Accion 2018'!#REF!,J243&lt;&gt;"N/A"))</xm:f>
            <x14:dxf>
              <fill>
                <patternFill>
                  <bgColor rgb="FF00B050"/>
                </patternFill>
              </fill>
            </x14:dxf>
          </x14:cfRule>
          <x14:cfRule type="expression" priority="3875" stopIfTrue="1" id="{019E6C98-FC64-417C-AACC-0B49E66096A0}">
            <xm:f>AND(IF(J243&lt;'F:\Users\norela.briceno\Documents\Plan de acción\Plan Accion 2018\[Plan Accion Integrado ADRES Vigencia 2018 con Cuadro de Mando V6..xlsx]Plan de Accion 2018'!#REF!,J243&lt;&gt;"N/A"))</xm:f>
            <x14:dxf>
              <fill>
                <patternFill>
                  <bgColor indexed="10"/>
                </patternFill>
              </fill>
            </x14:dxf>
          </x14:cfRule>
          <xm:sqref>J243</xm:sqref>
        </x14:conditionalFormatting>
        <x14:conditionalFormatting xmlns:xm="http://schemas.microsoft.com/office/excel/2006/main">
          <x14:cfRule type="expression" priority="3870" id="{E45A54E8-6DF1-4047-A9EC-2A08FCE9F572}">
            <xm:f>AND(IF(Q243&gt;'F:\Users\norela.briceno\Documents\Plan de acción\Plan Accion 2018\[Plan Accion Integrado ADRES Vigencia 2018 con Cuadro de Mando V6..xlsx]Plan de Accion 2018'!#REF!,Q243&lt;&gt;¨N/A¨))</xm:f>
            <x14:dxf>
              <fill>
                <patternFill>
                  <bgColor theme="1" tint="0.499984740745262"/>
                </patternFill>
              </fill>
            </x14:dxf>
          </x14:cfRule>
          <x14:cfRule type="expression" priority="3871" stopIfTrue="1" id="{26568D78-234B-456B-90B4-C7EC27C68D19}">
            <xm:f>AND(IF(Q243='F:\Users\norela.briceno\Documents\Plan de acción\Plan Accion 2018\[Plan Accion Integrado ADRES Vigencia 2018 con Cuadro de Mando V6..xlsx]Plan de Accion 2018'!#REF!,Q243&lt;&gt;"N/A"))</xm:f>
            <x14:dxf>
              <fill>
                <patternFill>
                  <bgColor rgb="FF00B050"/>
                </patternFill>
              </fill>
            </x14:dxf>
          </x14:cfRule>
          <x14:cfRule type="expression" priority="3872" stopIfTrue="1" id="{2E2824FE-1FD6-4ADE-B5CE-46B98BF6E6C5}">
            <xm:f>AND(IF(Q243&lt;'F:\Users\norela.briceno\Documents\Plan de acción\Plan Accion 2018\[Plan Accion Integrado ADRES Vigencia 2018 con Cuadro de Mando V6..xlsx]Plan de Accion 2018'!#REF!,Q243&lt;&gt;"N/A"))</xm:f>
            <x14:dxf>
              <fill>
                <patternFill>
                  <bgColor indexed="10"/>
                </patternFill>
              </fill>
            </x14:dxf>
          </x14:cfRule>
          <xm:sqref>Q243</xm:sqref>
        </x14:conditionalFormatting>
        <x14:conditionalFormatting xmlns:xm="http://schemas.microsoft.com/office/excel/2006/main">
          <x14:cfRule type="expression" priority="3867" id="{728F53F8-EA20-4DEB-80B1-159409E285E3}">
            <xm:f>AND(IF(X243&gt;'F:\Users\norela.briceno\Documents\Plan de acción\Plan Accion 2018\[Plan Accion Integrado ADRES Vigencia 2018 con Cuadro de Mando V6..xlsx]Plan de Accion 2018'!#REF!,X243&lt;&gt;¨N/A¨))</xm:f>
            <x14:dxf>
              <fill>
                <patternFill>
                  <bgColor theme="1" tint="0.499984740745262"/>
                </patternFill>
              </fill>
            </x14:dxf>
          </x14:cfRule>
          <x14:cfRule type="expression" priority="3868" stopIfTrue="1" id="{C57F910F-9BFD-4C55-9C65-16CAF3C15DA9}">
            <xm:f>AND(IF(X243='F:\Users\norela.briceno\Documents\Plan de acción\Plan Accion 2018\[Plan Accion Integrado ADRES Vigencia 2018 con Cuadro de Mando V6..xlsx]Plan de Accion 2018'!#REF!,X243&lt;&gt;"N/A"))</xm:f>
            <x14:dxf>
              <fill>
                <patternFill>
                  <bgColor rgb="FF00B050"/>
                </patternFill>
              </fill>
            </x14:dxf>
          </x14:cfRule>
          <x14:cfRule type="expression" priority="3869" stopIfTrue="1" id="{B983F737-FDC9-4EDF-A298-CDC320267CC2}">
            <xm:f>AND(IF(X243&lt;'F:\Users\norela.briceno\Documents\Plan de acción\Plan Accion 2018\[Plan Accion Integrado ADRES Vigencia 2018 con Cuadro de Mando V6..xlsx]Plan de Accion 2018'!#REF!,X243&lt;&gt;"N/A"))</xm:f>
            <x14:dxf>
              <fill>
                <patternFill>
                  <bgColor indexed="10"/>
                </patternFill>
              </fill>
            </x14:dxf>
          </x14:cfRule>
          <xm:sqref>X243</xm:sqref>
        </x14:conditionalFormatting>
        <x14:conditionalFormatting xmlns:xm="http://schemas.microsoft.com/office/excel/2006/main">
          <x14:cfRule type="expression" priority="3864" id="{E3185B19-EDC7-4032-AF45-E4A0EA4188B0}">
            <xm:f>AND(IF(AE243&gt;'F:\Users\norela.briceno\Documents\Plan de acción\Plan Accion 2018\[Plan Accion Integrado ADRES Vigencia 2018 con Cuadro de Mando V6..xlsx]Plan de Accion 2018'!#REF!,AE243&lt;&gt;¨N/A¨))</xm:f>
            <x14:dxf>
              <fill>
                <patternFill>
                  <bgColor theme="1" tint="0.499984740745262"/>
                </patternFill>
              </fill>
            </x14:dxf>
          </x14:cfRule>
          <x14:cfRule type="expression" priority="3865" stopIfTrue="1" id="{B37C0324-109A-4806-8250-54AF5E404520}">
            <xm:f>AND(IF(AE243='F:\Users\norela.briceno\Documents\Plan de acción\Plan Accion 2018\[Plan Accion Integrado ADRES Vigencia 2018 con Cuadro de Mando V6..xlsx]Plan de Accion 2018'!#REF!,AE243&lt;&gt;"N/A"))</xm:f>
            <x14:dxf>
              <fill>
                <patternFill>
                  <bgColor rgb="FF00B050"/>
                </patternFill>
              </fill>
            </x14:dxf>
          </x14:cfRule>
          <x14:cfRule type="expression" priority="3866" stopIfTrue="1" id="{960AA39A-FB85-43A9-9125-3A5FAE5E753E}">
            <xm:f>AND(IF(AE243&lt;'F:\Users\norela.briceno\Documents\Plan de acción\Plan Accion 2018\[Plan Accion Integrado ADRES Vigencia 2018 con Cuadro de Mando V6..xlsx]Plan de Accion 2018'!#REF!,AE243&lt;&gt;"N/A"))</xm:f>
            <x14:dxf>
              <fill>
                <patternFill>
                  <bgColor indexed="10"/>
                </patternFill>
              </fill>
            </x14:dxf>
          </x14:cfRule>
          <xm:sqref>AE243</xm:sqref>
        </x14:conditionalFormatting>
        <x14:conditionalFormatting xmlns:xm="http://schemas.microsoft.com/office/excel/2006/main">
          <x14:cfRule type="expression" priority="3925" id="{840D8F4E-9E29-472F-B003-2B6939BA1389}">
            <xm:f>AND(IF(J242&gt;'F:\Users\norela.briceno\Documents\Plan de acción\Plan Accion 2018\[Plan Accion Integrado ADRES Vigencia 2018 con Cuadro de Mando V6..xlsx]Plan de Accion 2018'!#REF!,J242&lt;&gt;¨N/A¨))</xm:f>
            <x14:dxf>
              <fill>
                <patternFill>
                  <bgColor theme="1" tint="0.499984740745262"/>
                </patternFill>
              </fill>
            </x14:dxf>
          </x14:cfRule>
          <x14:cfRule type="expression" priority="3926" stopIfTrue="1" id="{8821FFD7-72B0-4F05-A489-DD3C5522C0AC}">
            <xm:f>AND(IF(J242='F:\Users\norela.briceno\Documents\Plan de acción\Plan Accion 2018\[Plan Accion Integrado ADRES Vigencia 2018 con Cuadro de Mando V6..xlsx]Plan de Accion 2018'!#REF!,J242&lt;&gt;"N/A"))</xm:f>
            <x14:dxf>
              <fill>
                <patternFill>
                  <bgColor rgb="FF00B050"/>
                </patternFill>
              </fill>
            </x14:dxf>
          </x14:cfRule>
          <x14:cfRule type="expression" priority="3927" stopIfTrue="1" id="{5A86C4E5-ABD3-4BDE-84DB-F5A2857182B5}">
            <xm:f>AND(IF(J242&lt;'F:\Users\norela.briceno\Documents\Plan de acción\Plan Accion 2018\[Plan Accion Integrado ADRES Vigencia 2018 con Cuadro de Mando V6..xlsx]Plan de Accion 2018'!#REF!,J242&lt;&gt;"N/A"))</xm:f>
            <x14:dxf>
              <fill>
                <patternFill>
                  <bgColor indexed="10"/>
                </patternFill>
              </fill>
            </x14:dxf>
          </x14:cfRule>
          <xm:sqref>J242</xm:sqref>
        </x14:conditionalFormatting>
        <x14:conditionalFormatting xmlns:xm="http://schemas.microsoft.com/office/excel/2006/main">
          <x14:cfRule type="expression" priority="3922" id="{E5FCAF73-DFF6-48AC-8BBD-222B113C973D}">
            <xm:f>AND(IF(Q242&gt;'F:\Users\norela.briceno\Documents\Plan de acción\Plan Accion 2018\[Plan Accion Integrado ADRES Vigencia 2018 con Cuadro de Mando V6..xlsx]Plan de Accion 2018'!#REF!,Q242&lt;&gt;¨N/A¨))</xm:f>
            <x14:dxf>
              <fill>
                <patternFill>
                  <bgColor theme="1" tint="0.499984740745262"/>
                </patternFill>
              </fill>
            </x14:dxf>
          </x14:cfRule>
          <x14:cfRule type="expression" priority="3923" stopIfTrue="1" id="{E61A0BBB-8403-4B50-B311-117FE097946A}">
            <xm:f>AND(IF(Q242='F:\Users\norela.briceno\Documents\Plan de acción\Plan Accion 2018\[Plan Accion Integrado ADRES Vigencia 2018 con Cuadro de Mando V6..xlsx]Plan de Accion 2018'!#REF!,Q242&lt;&gt;"N/A"))</xm:f>
            <x14:dxf>
              <fill>
                <patternFill>
                  <bgColor rgb="FF00B050"/>
                </patternFill>
              </fill>
            </x14:dxf>
          </x14:cfRule>
          <x14:cfRule type="expression" priority="3924" stopIfTrue="1" id="{E25472CE-8FE8-4276-91D2-6C325A46E50C}">
            <xm:f>AND(IF(Q242&lt;'F:\Users\norela.briceno\Documents\Plan de acción\Plan Accion 2018\[Plan Accion Integrado ADRES Vigencia 2018 con Cuadro de Mando V6..xlsx]Plan de Accion 2018'!#REF!,Q242&lt;&gt;"N/A"))</xm:f>
            <x14:dxf>
              <fill>
                <patternFill>
                  <bgColor indexed="10"/>
                </patternFill>
              </fill>
            </x14:dxf>
          </x14:cfRule>
          <xm:sqref>Q242</xm:sqref>
        </x14:conditionalFormatting>
        <x14:conditionalFormatting xmlns:xm="http://schemas.microsoft.com/office/excel/2006/main">
          <x14:cfRule type="expression" priority="3919" id="{54DFA993-14A5-4AD3-94CE-7D03ED13F2F4}">
            <xm:f>AND(IF(X242&gt;'F:\Users\norela.briceno\Documents\Plan de acción\Plan Accion 2018\[Plan Accion Integrado ADRES Vigencia 2018 con Cuadro de Mando V6..xlsx]Plan de Accion 2018'!#REF!,X242&lt;&gt;¨N/A¨))</xm:f>
            <x14:dxf>
              <fill>
                <patternFill>
                  <bgColor theme="1" tint="0.499984740745262"/>
                </patternFill>
              </fill>
            </x14:dxf>
          </x14:cfRule>
          <x14:cfRule type="expression" priority="3920" stopIfTrue="1" id="{1481BFB0-A4AD-4039-AB0A-26FC0F909AFC}">
            <xm:f>AND(IF(X242='F:\Users\norela.briceno\Documents\Plan de acción\Plan Accion 2018\[Plan Accion Integrado ADRES Vigencia 2018 con Cuadro de Mando V6..xlsx]Plan de Accion 2018'!#REF!,X242&lt;&gt;"N/A"))</xm:f>
            <x14:dxf>
              <fill>
                <patternFill>
                  <bgColor rgb="FF00B050"/>
                </patternFill>
              </fill>
            </x14:dxf>
          </x14:cfRule>
          <x14:cfRule type="expression" priority="3921" stopIfTrue="1" id="{A083EA89-E044-41A0-ACAB-C1EE72181E6E}">
            <xm:f>AND(IF(X242&lt;'F:\Users\norela.briceno\Documents\Plan de acción\Plan Accion 2018\[Plan Accion Integrado ADRES Vigencia 2018 con Cuadro de Mando V6..xlsx]Plan de Accion 2018'!#REF!,X242&lt;&gt;"N/A"))</xm:f>
            <x14:dxf>
              <fill>
                <patternFill>
                  <bgColor indexed="10"/>
                </patternFill>
              </fill>
            </x14:dxf>
          </x14:cfRule>
          <xm:sqref>X242</xm:sqref>
        </x14:conditionalFormatting>
        <x14:conditionalFormatting xmlns:xm="http://schemas.microsoft.com/office/excel/2006/main">
          <x14:cfRule type="expression" priority="3916" id="{7365FF77-437B-4D8E-8D9C-A320C27E2432}">
            <xm:f>AND(IF(AE242&gt;'F:\Users\norela.briceno\Documents\Plan de acción\Plan Accion 2018\[Plan Accion Integrado ADRES Vigencia 2018 con Cuadro de Mando V6..xlsx]Plan de Accion 2018'!#REF!,AE242&lt;&gt;¨N/A¨))</xm:f>
            <x14:dxf>
              <fill>
                <patternFill>
                  <bgColor theme="1" tint="0.499984740745262"/>
                </patternFill>
              </fill>
            </x14:dxf>
          </x14:cfRule>
          <x14:cfRule type="expression" priority="3917" stopIfTrue="1" id="{EA7CFD54-ED7D-43B4-865E-379E2488D9CF}">
            <xm:f>AND(IF(AE242='F:\Users\norela.briceno\Documents\Plan de acción\Plan Accion 2018\[Plan Accion Integrado ADRES Vigencia 2018 con Cuadro de Mando V6..xlsx]Plan de Accion 2018'!#REF!,AE242&lt;&gt;"N/A"))</xm:f>
            <x14:dxf>
              <fill>
                <patternFill>
                  <bgColor rgb="FF00B050"/>
                </patternFill>
              </fill>
            </x14:dxf>
          </x14:cfRule>
          <x14:cfRule type="expression" priority="3918" stopIfTrue="1" id="{BB3D524B-54F8-4825-A920-CF5CB5780BAC}">
            <xm:f>AND(IF(AE242&lt;'F:\Users\norela.briceno\Documents\Plan de acción\Plan Accion 2018\[Plan Accion Integrado ADRES Vigencia 2018 con Cuadro de Mando V6..xlsx]Plan de Accion 2018'!#REF!,AE242&lt;&gt;"N/A"))</xm:f>
            <x14:dxf>
              <fill>
                <patternFill>
                  <bgColor indexed="10"/>
                </patternFill>
              </fill>
            </x14:dxf>
          </x14:cfRule>
          <xm:sqref>AE242</xm:sqref>
        </x14:conditionalFormatting>
        <x14:conditionalFormatting xmlns:xm="http://schemas.microsoft.com/office/excel/2006/main">
          <x14:cfRule type="expression" priority="3801" id="{06468BE9-3687-4F1B-B44D-BECD811D2F63}">
            <xm:f>AND(IF(J137&gt;'F:\Users\norela.briceno\Documents\Plan de acción\Plan Accion 2018\[Plan Accion Integrado ADRES Vigencia 2018 con Cuadro de Mando V6..xlsx]Plan de Accion 2018'!#REF!,J137&lt;&gt;¨N/A¨))</xm:f>
            <x14:dxf>
              <fill>
                <patternFill>
                  <bgColor theme="1" tint="0.499984740745262"/>
                </patternFill>
              </fill>
            </x14:dxf>
          </x14:cfRule>
          <x14:cfRule type="expression" priority="3802" stopIfTrue="1" id="{D2095F11-8BD8-45D6-BA2A-43B56C9EFB9F}">
            <xm:f>AND(IF(J137='F:\Users\norela.briceno\Documents\Plan de acción\Plan Accion 2018\[Plan Accion Integrado ADRES Vigencia 2018 con Cuadro de Mando V6..xlsx]Plan de Accion 2018'!#REF!,J137&lt;&gt;"N/A"))</xm:f>
            <x14:dxf>
              <fill>
                <patternFill>
                  <bgColor rgb="FF00B050"/>
                </patternFill>
              </fill>
            </x14:dxf>
          </x14:cfRule>
          <x14:cfRule type="expression" priority="3803" stopIfTrue="1" id="{A872340C-C505-4B08-9AD6-FBA5A9CFD471}">
            <xm:f>AND(IF(J137&lt;'F:\Users\norela.briceno\Documents\Plan de acción\Plan Accion 2018\[Plan Accion Integrado ADRES Vigencia 2018 con Cuadro de Mando V6..xlsx]Plan de Accion 2018'!#REF!,J137&lt;&gt;"N/A"))</xm:f>
            <x14:dxf>
              <fill>
                <patternFill>
                  <bgColor indexed="10"/>
                </patternFill>
              </fill>
            </x14:dxf>
          </x14:cfRule>
          <xm:sqref>J137</xm:sqref>
        </x14:conditionalFormatting>
        <x14:conditionalFormatting xmlns:xm="http://schemas.microsoft.com/office/excel/2006/main">
          <x14:cfRule type="expression" priority="3798" id="{BC439988-F28F-48FF-A971-558C1218E3C8}">
            <xm:f>AND(IF(Q137&gt;'F:\Users\norela.briceno\Documents\Plan de acción\Plan Accion 2018\[Plan Accion Integrado ADRES Vigencia 2018 con Cuadro de Mando V6..xlsx]Plan de Accion 2018'!#REF!,Q137&lt;&gt;¨N/A¨))</xm:f>
            <x14:dxf>
              <fill>
                <patternFill>
                  <bgColor theme="1" tint="0.499984740745262"/>
                </patternFill>
              </fill>
            </x14:dxf>
          </x14:cfRule>
          <x14:cfRule type="expression" priority="3799" stopIfTrue="1" id="{4AB83D62-61C2-4511-AB28-47FAEB99D28C}">
            <xm:f>AND(IF(Q137='F:\Users\norela.briceno\Documents\Plan de acción\Plan Accion 2018\[Plan Accion Integrado ADRES Vigencia 2018 con Cuadro de Mando V6..xlsx]Plan de Accion 2018'!#REF!,Q137&lt;&gt;"N/A"))</xm:f>
            <x14:dxf>
              <fill>
                <patternFill>
                  <bgColor rgb="FF00B050"/>
                </patternFill>
              </fill>
            </x14:dxf>
          </x14:cfRule>
          <x14:cfRule type="expression" priority="3800" stopIfTrue="1" id="{14DBC476-3C92-453E-A4AC-70AF6D83753E}">
            <xm:f>AND(IF(Q137&lt;'F:\Users\norela.briceno\Documents\Plan de acción\Plan Accion 2018\[Plan Accion Integrado ADRES Vigencia 2018 con Cuadro de Mando V6..xlsx]Plan de Accion 2018'!#REF!,Q137&lt;&gt;"N/A"))</xm:f>
            <x14:dxf>
              <fill>
                <patternFill>
                  <bgColor indexed="10"/>
                </patternFill>
              </fill>
            </x14:dxf>
          </x14:cfRule>
          <xm:sqref>Q137</xm:sqref>
        </x14:conditionalFormatting>
        <x14:conditionalFormatting xmlns:xm="http://schemas.microsoft.com/office/excel/2006/main">
          <x14:cfRule type="expression" priority="3795" id="{6341A248-9F2D-4670-8E68-A9A43A588E91}">
            <xm:f>AND(IF(X137&gt;'F:\Users\norela.briceno\Documents\Plan de acción\Plan Accion 2018\[Plan Accion Integrado ADRES Vigencia 2018 con Cuadro de Mando V6..xlsx]Plan de Accion 2018'!#REF!,X137&lt;&gt;¨N/A¨))</xm:f>
            <x14:dxf>
              <fill>
                <patternFill>
                  <bgColor theme="1" tint="0.499984740745262"/>
                </patternFill>
              </fill>
            </x14:dxf>
          </x14:cfRule>
          <x14:cfRule type="expression" priority="3796" stopIfTrue="1" id="{26BCF0B2-5CBF-42B9-9D8E-8BC919189ECE}">
            <xm:f>AND(IF(X137='F:\Users\norela.briceno\Documents\Plan de acción\Plan Accion 2018\[Plan Accion Integrado ADRES Vigencia 2018 con Cuadro de Mando V6..xlsx]Plan de Accion 2018'!#REF!,X137&lt;&gt;"N/A"))</xm:f>
            <x14:dxf>
              <fill>
                <patternFill>
                  <bgColor rgb="FF00B050"/>
                </patternFill>
              </fill>
            </x14:dxf>
          </x14:cfRule>
          <x14:cfRule type="expression" priority="3797" stopIfTrue="1" id="{9C7E53CC-3023-4B51-BD5E-4C78A0140849}">
            <xm:f>AND(IF(X137&lt;'F:\Users\norela.briceno\Documents\Plan de acción\Plan Accion 2018\[Plan Accion Integrado ADRES Vigencia 2018 con Cuadro de Mando V6..xlsx]Plan de Accion 2018'!#REF!,X137&lt;&gt;"N/A"))</xm:f>
            <x14:dxf>
              <fill>
                <patternFill>
                  <bgColor indexed="10"/>
                </patternFill>
              </fill>
            </x14:dxf>
          </x14:cfRule>
          <xm:sqref>X137</xm:sqref>
        </x14:conditionalFormatting>
        <x14:conditionalFormatting xmlns:xm="http://schemas.microsoft.com/office/excel/2006/main">
          <x14:cfRule type="expression" priority="3792" id="{9EFD7EA3-E197-42F1-B0A9-04EF17624E75}">
            <xm:f>AND(IF(AE137&gt;'F:\Users\norela.briceno\Documents\Plan de acción\Plan Accion 2018\[Plan Accion Integrado ADRES Vigencia 2018 con Cuadro de Mando V6..xlsx]Plan de Accion 2018'!#REF!,AE137&lt;&gt;¨N/A¨))</xm:f>
            <x14:dxf>
              <fill>
                <patternFill>
                  <bgColor theme="1" tint="0.499984740745262"/>
                </patternFill>
              </fill>
            </x14:dxf>
          </x14:cfRule>
          <x14:cfRule type="expression" priority="3793" stopIfTrue="1" id="{72B65787-C1F2-4064-9B12-B1F72446755F}">
            <xm:f>AND(IF(AE137='F:\Users\norela.briceno\Documents\Plan de acción\Plan Accion 2018\[Plan Accion Integrado ADRES Vigencia 2018 con Cuadro de Mando V6..xlsx]Plan de Accion 2018'!#REF!,AE137&lt;&gt;"N/A"))</xm:f>
            <x14:dxf>
              <fill>
                <patternFill>
                  <bgColor rgb="FF00B050"/>
                </patternFill>
              </fill>
            </x14:dxf>
          </x14:cfRule>
          <x14:cfRule type="expression" priority="3794" stopIfTrue="1" id="{620C08F6-501F-4BD6-B3DB-2BAF4997D441}">
            <xm:f>AND(IF(AE137&lt;'F:\Users\norela.briceno\Documents\Plan de acción\Plan Accion 2018\[Plan Accion Integrado ADRES Vigencia 2018 con Cuadro de Mando V6..xlsx]Plan de Accion 2018'!#REF!,AE137&lt;&gt;"N/A"))</xm:f>
            <x14:dxf>
              <fill>
                <patternFill>
                  <bgColor indexed="10"/>
                </patternFill>
              </fill>
            </x14:dxf>
          </x14:cfRule>
          <xm:sqref>AE137</xm:sqref>
        </x14:conditionalFormatting>
        <x14:conditionalFormatting xmlns:xm="http://schemas.microsoft.com/office/excel/2006/main">
          <x14:cfRule type="expression" priority="3714" id="{7E7AB151-3D6C-4513-B021-F42A840D26E0}">
            <xm:f>AND(IF(J207&gt;'F:\Users\norela.briceno\Documents\Plan de acción\Plan Accion 2018\[Plan Accion Integrado ADRES Vigencia 2018 con Cuadro de Mando V6..xlsx]Plan de Accion 2018'!#REF!,J207&lt;&gt;¨N/A¨))</xm:f>
            <x14:dxf>
              <fill>
                <patternFill>
                  <bgColor theme="1" tint="0.499984740745262"/>
                </patternFill>
              </fill>
            </x14:dxf>
          </x14:cfRule>
          <x14:cfRule type="expression" priority="3715" stopIfTrue="1" id="{59F0D56A-FE5D-4A8B-AD24-602F54F40590}">
            <xm:f>AND(IF(J207='F:\Users\norela.briceno\Documents\Plan de acción\Plan Accion 2018\[Plan Accion Integrado ADRES Vigencia 2018 con Cuadro de Mando V6..xlsx]Plan de Accion 2018'!#REF!,J207&lt;&gt;"N/A"))</xm:f>
            <x14:dxf>
              <fill>
                <patternFill>
                  <bgColor rgb="FF00B050"/>
                </patternFill>
              </fill>
            </x14:dxf>
          </x14:cfRule>
          <x14:cfRule type="expression" priority="3716" stopIfTrue="1" id="{7249F1C4-97C5-4A1B-A12F-7248B1B45919}">
            <xm:f>AND(IF(J207&lt;'F:\Users\norela.briceno\Documents\Plan de acción\Plan Accion 2018\[Plan Accion Integrado ADRES Vigencia 2018 con Cuadro de Mando V6..xlsx]Plan de Accion 2018'!#REF!,J207&lt;&gt;"N/A"))</xm:f>
            <x14:dxf>
              <fill>
                <patternFill>
                  <bgColor indexed="10"/>
                </patternFill>
              </fill>
            </x14:dxf>
          </x14:cfRule>
          <xm:sqref>J207</xm:sqref>
        </x14:conditionalFormatting>
        <x14:conditionalFormatting xmlns:xm="http://schemas.microsoft.com/office/excel/2006/main">
          <x14:cfRule type="expression" priority="3711" id="{022E460B-554E-4D0D-9FB8-77C2F45285E3}">
            <xm:f>AND(IF(Q207&gt;'F:\Users\norela.briceno\Documents\Plan de acción\Plan Accion 2018\[Plan Accion Integrado ADRES Vigencia 2018 con Cuadro de Mando V6..xlsx]Plan de Accion 2018'!#REF!,Q207&lt;&gt;¨N/A¨))</xm:f>
            <x14:dxf>
              <fill>
                <patternFill>
                  <bgColor theme="1" tint="0.499984740745262"/>
                </patternFill>
              </fill>
            </x14:dxf>
          </x14:cfRule>
          <x14:cfRule type="expression" priority="3712" stopIfTrue="1" id="{9A5DE432-9A6E-40AE-9FBE-137DF9FDF707}">
            <xm:f>AND(IF(Q207='F:\Users\norela.briceno\Documents\Plan de acción\Plan Accion 2018\[Plan Accion Integrado ADRES Vigencia 2018 con Cuadro de Mando V6..xlsx]Plan de Accion 2018'!#REF!,Q207&lt;&gt;"N/A"))</xm:f>
            <x14:dxf>
              <fill>
                <patternFill>
                  <bgColor rgb="FF00B050"/>
                </patternFill>
              </fill>
            </x14:dxf>
          </x14:cfRule>
          <x14:cfRule type="expression" priority="3713" stopIfTrue="1" id="{70A43652-CA96-4311-AE5C-4670908E8BB3}">
            <xm:f>AND(IF(Q207&lt;'F:\Users\norela.briceno\Documents\Plan de acción\Plan Accion 2018\[Plan Accion Integrado ADRES Vigencia 2018 con Cuadro de Mando V6..xlsx]Plan de Accion 2018'!#REF!,Q207&lt;&gt;"N/A"))</xm:f>
            <x14:dxf>
              <fill>
                <patternFill>
                  <bgColor indexed="10"/>
                </patternFill>
              </fill>
            </x14:dxf>
          </x14:cfRule>
          <xm:sqref>Q207</xm:sqref>
        </x14:conditionalFormatting>
        <x14:conditionalFormatting xmlns:xm="http://schemas.microsoft.com/office/excel/2006/main">
          <x14:cfRule type="expression" priority="3708" id="{2A5C1EEA-C5AB-4981-873B-F18DC4A52A36}">
            <xm:f>AND(IF(X207&gt;'F:\Users\norela.briceno\Documents\Plan de acción\Plan Accion 2018\[Plan Accion Integrado ADRES Vigencia 2018 con Cuadro de Mando V6..xlsx]Plan de Accion 2018'!#REF!,X207&lt;&gt;¨N/A¨))</xm:f>
            <x14:dxf>
              <fill>
                <patternFill>
                  <bgColor theme="1" tint="0.499984740745262"/>
                </patternFill>
              </fill>
            </x14:dxf>
          </x14:cfRule>
          <x14:cfRule type="expression" priority="3709" stopIfTrue="1" id="{B42B77E8-9FAB-4809-BC46-A119943472FF}">
            <xm:f>AND(IF(X207='F:\Users\norela.briceno\Documents\Plan de acción\Plan Accion 2018\[Plan Accion Integrado ADRES Vigencia 2018 con Cuadro de Mando V6..xlsx]Plan de Accion 2018'!#REF!,X207&lt;&gt;"N/A"))</xm:f>
            <x14:dxf>
              <fill>
                <patternFill>
                  <bgColor rgb="FF00B050"/>
                </patternFill>
              </fill>
            </x14:dxf>
          </x14:cfRule>
          <x14:cfRule type="expression" priority="3710" stopIfTrue="1" id="{405C68F7-B42D-4C8C-8013-0999BE5F6F40}">
            <xm:f>AND(IF(X207&lt;'F:\Users\norela.briceno\Documents\Plan de acción\Plan Accion 2018\[Plan Accion Integrado ADRES Vigencia 2018 con Cuadro de Mando V6..xlsx]Plan de Accion 2018'!#REF!,X207&lt;&gt;"N/A"))</xm:f>
            <x14:dxf>
              <fill>
                <patternFill>
                  <bgColor indexed="10"/>
                </patternFill>
              </fill>
            </x14:dxf>
          </x14:cfRule>
          <xm:sqref>X207</xm:sqref>
        </x14:conditionalFormatting>
        <x14:conditionalFormatting xmlns:xm="http://schemas.microsoft.com/office/excel/2006/main">
          <x14:cfRule type="expression" priority="3705" id="{D41205CA-355E-418B-8B0A-161974307BA1}">
            <xm:f>AND(IF(AE207&gt;'F:\Users\norela.briceno\Documents\Plan de acción\Plan Accion 2018\[Plan Accion Integrado ADRES Vigencia 2018 con Cuadro de Mando V6..xlsx]Plan de Accion 2018'!#REF!,AE207&lt;&gt;¨N/A¨))</xm:f>
            <x14:dxf>
              <fill>
                <patternFill>
                  <bgColor theme="1" tint="0.499984740745262"/>
                </patternFill>
              </fill>
            </x14:dxf>
          </x14:cfRule>
          <x14:cfRule type="expression" priority="3706" stopIfTrue="1" id="{5B694BE4-F5D1-4198-8A10-331178904DDE}">
            <xm:f>AND(IF(AE207='F:\Users\norela.briceno\Documents\Plan de acción\Plan Accion 2018\[Plan Accion Integrado ADRES Vigencia 2018 con Cuadro de Mando V6..xlsx]Plan de Accion 2018'!#REF!,AE207&lt;&gt;"N/A"))</xm:f>
            <x14:dxf>
              <fill>
                <patternFill>
                  <bgColor rgb="FF00B050"/>
                </patternFill>
              </fill>
            </x14:dxf>
          </x14:cfRule>
          <x14:cfRule type="expression" priority="3707" stopIfTrue="1" id="{8C40F4F2-26BB-4563-988F-600432512AD2}">
            <xm:f>AND(IF(AE207&lt;'F:\Users\norela.briceno\Documents\Plan de acción\Plan Accion 2018\[Plan Accion Integrado ADRES Vigencia 2018 con Cuadro de Mando V6..xlsx]Plan de Accion 2018'!#REF!,AE207&lt;&gt;"N/A"))</xm:f>
            <x14:dxf>
              <fill>
                <patternFill>
                  <bgColor indexed="10"/>
                </patternFill>
              </fill>
            </x14:dxf>
          </x14:cfRule>
          <xm:sqref>AE207</xm:sqref>
        </x14:conditionalFormatting>
        <x14:conditionalFormatting xmlns:xm="http://schemas.microsoft.com/office/excel/2006/main">
          <x14:cfRule type="expression" priority="3575" id="{7DBC2EA4-C368-41FA-8947-15C1B157C7EB}">
            <xm:f>AND(IF(J159&gt;'F:\Users\norela.briceno\Documents\Plan de acción\Plan Accion 2018\[Plan Accion Integrado ADRES Vigencia 2018 con Cuadro de Mando V6..xlsx]Plan de Accion 2018'!#REF!,J159&lt;&gt;¨N/A¨))</xm:f>
            <x14:dxf>
              <fill>
                <patternFill>
                  <bgColor theme="1" tint="0.499984740745262"/>
                </patternFill>
              </fill>
            </x14:dxf>
          </x14:cfRule>
          <x14:cfRule type="expression" priority="3576" stopIfTrue="1" id="{91C23219-C55E-41CC-918E-17917FECE8CA}">
            <xm:f>AND(IF(J159='F:\Users\norela.briceno\Documents\Plan de acción\Plan Accion 2018\[Plan Accion Integrado ADRES Vigencia 2018 con Cuadro de Mando V6..xlsx]Plan de Accion 2018'!#REF!,J159&lt;&gt;"N/A"))</xm:f>
            <x14:dxf>
              <fill>
                <patternFill>
                  <bgColor rgb="FF00B050"/>
                </patternFill>
              </fill>
            </x14:dxf>
          </x14:cfRule>
          <x14:cfRule type="expression" priority="3577" stopIfTrue="1" id="{3CEBBA74-0B16-49DD-AF92-F7883436DD49}">
            <xm:f>AND(IF(J159&lt;'F:\Users\norela.briceno\Documents\Plan de acción\Plan Accion 2018\[Plan Accion Integrado ADRES Vigencia 2018 con Cuadro de Mando V6..xlsx]Plan de Accion 2018'!#REF!,J159&lt;&gt;"N/A"))</xm:f>
            <x14:dxf>
              <fill>
                <patternFill>
                  <bgColor indexed="10"/>
                </patternFill>
              </fill>
            </x14:dxf>
          </x14:cfRule>
          <xm:sqref>J159</xm:sqref>
        </x14:conditionalFormatting>
        <x14:conditionalFormatting xmlns:xm="http://schemas.microsoft.com/office/excel/2006/main">
          <x14:cfRule type="expression" priority="3572" id="{2C002E7F-8CBD-4CA6-AA13-54F09B4C4789}">
            <xm:f>AND(IF(Q159&gt;'F:\Users\norela.briceno\Documents\Plan de acción\Plan Accion 2018\[Plan Accion Integrado ADRES Vigencia 2018 con Cuadro de Mando V6..xlsx]Plan de Accion 2018'!#REF!,Q159&lt;&gt;¨N/A¨))</xm:f>
            <x14:dxf>
              <fill>
                <patternFill>
                  <bgColor theme="1" tint="0.499984740745262"/>
                </patternFill>
              </fill>
            </x14:dxf>
          </x14:cfRule>
          <x14:cfRule type="expression" priority="3573" stopIfTrue="1" id="{7C782CFC-2201-43D5-B96A-9FB31E7FD56F}">
            <xm:f>AND(IF(Q159='F:\Users\norela.briceno\Documents\Plan de acción\Plan Accion 2018\[Plan Accion Integrado ADRES Vigencia 2018 con Cuadro de Mando V6..xlsx]Plan de Accion 2018'!#REF!,Q159&lt;&gt;"N/A"))</xm:f>
            <x14:dxf>
              <fill>
                <patternFill>
                  <bgColor rgb="FF00B050"/>
                </patternFill>
              </fill>
            </x14:dxf>
          </x14:cfRule>
          <x14:cfRule type="expression" priority="3574" stopIfTrue="1" id="{464CA1D9-0765-440A-8058-E53144B4F8D2}">
            <xm:f>AND(IF(Q159&lt;'F:\Users\norela.briceno\Documents\Plan de acción\Plan Accion 2018\[Plan Accion Integrado ADRES Vigencia 2018 con Cuadro de Mando V6..xlsx]Plan de Accion 2018'!#REF!,Q159&lt;&gt;"N/A"))</xm:f>
            <x14:dxf>
              <fill>
                <patternFill>
                  <bgColor indexed="10"/>
                </patternFill>
              </fill>
            </x14:dxf>
          </x14:cfRule>
          <xm:sqref>Q159</xm:sqref>
        </x14:conditionalFormatting>
        <x14:conditionalFormatting xmlns:xm="http://schemas.microsoft.com/office/excel/2006/main">
          <x14:cfRule type="expression" priority="3569" id="{2BB169EF-5EB7-43D8-8CC7-4A4872365A0B}">
            <xm:f>AND(IF(X159&gt;'F:\Users\norela.briceno\Documents\Plan de acción\Plan Accion 2018\[Plan Accion Integrado ADRES Vigencia 2018 con Cuadro de Mando V6..xlsx]Plan de Accion 2018'!#REF!,X159&lt;&gt;¨N/A¨))</xm:f>
            <x14:dxf>
              <fill>
                <patternFill>
                  <bgColor theme="1" tint="0.499984740745262"/>
                </patternFill>
              </fill>
            </x14:dxf>
          </x14:cfRule>
          <x14:cfRule type="expression" priority="3570" stopIfTrue="1" id="{FFFC77B1-E25A-4411-9057-2295F8B907E5}">
            <xm:f>AND(IF(X159='F:\Users\norela.briceno\Documents\Plan de acción\Plan Accion 2018\[Plan Accion Integrado ADRES Vigencia 2018 con Cuadro de Mando V6..xlsx]Plan de Accion 2018'!#REF!,X159&lt;&gt;"N/A"))</xm:f>
            <x14:dxf>
              <fill>
                <patternFill>
                  <bgColor rgb="FF00B050"/>
                </patternFill>
              </fill>
            </x14:dxf>
          </x14:cfRule>
          <x14:cfRule type="expression" priority="3571" stopIfTrue="1" id="{9F93C8A1-E3F1-4C6B-B92A-428518A13272}">
            <xm:f>AND(IF(X159&lt;'F:\Users\norela.briceno\Documents\Plan de acción\Plan Accion 2018\[Plan Accion Integrado ADRES Vigencia 2018 con Cuadro de Mando V6..xlsx]Plan de Accion 2018'!#REF!,X159&lt;&gt;"N/A"))</xm:f>
            <x14:dxf>
              <fill>
                <patternFill>
                  <bgColor indexed="10"/>
                </patternFill>
              </fill>
            </x14:dxf>
          </x14:cfRule>
          <xm:sqref>X159</xm:sqref>
        </x14:conditionalFormatting>
        <x14:conditionalFormatting xmlns:xm="http://schemas.microsoft.com/office/excel/2006/main">
          <x14:cfRule type="expression" priority="3566" id="{7C5E6692-CF7E-4787-8049-B7C7561AB91C}">
            <xm:f>AND(IF(AE159&gt;'F:\Users\norela.briceno\Documents\Plan de acción\Plan Accion 2018\[Plan Accion Integrado ADRES Vigencia 2018 con Cuadro de Mando V6..xlsx]Plan de Accion 2018'!#REF!,AE159&lt;&gt;¨N/A¨))</xm:f>
            <x14:dxf>
              <fill>
                <patternFill>
                  <bgColor theme="1" tint="0.499984740745262"/>
                </patternFill>
              </fill>
            </x14:dxf>
          </x14:cfRule>
          <x14:cfRule type="expression" priority="3567" stopIfTrue="1" id="{E3BAE310-B783-4D55-A2A8-4F10545C3161}">
            <xm:f>AND(IF(AE159='F:\Users\norela.briceno\Documents\Plan de acción\Plan Accion 2018\[Plan Accion Integrado ADRES Vigencia 2018 con Cuadro de Mando V6..xlsx]Plan de Accion 2018'!#REF!,AE159&lt;&gt;"N/A"))</xm:f>
            <x14:dxf>
              <fill>
                <patternFill>
                  <bgColor rgb="FF00B050"/>
                </patternFill>
              </fill>
            </x14:dxf>
          </x14:cfRule>
          <x14:cfRule type="expression" priority="3568" stopIfTrue="1" id="{3103E1F9-527C-4F75-85C8-AE2B6B3CF10B}">
            <xm:f>AND(IF(AE159&lt;'F:\Users\norela.briceno\Documents\Plan de acción\Plan Accion 2018\[Plan Accion Integrado ADRES Vigencia 2018 con Cuadro de Mando V6..xlsx]Plan de Accion 2018'!#REF!,AE159&lt;&gt;"N/A"))</xm:f>
            <x14:dxf>
              <fill>
                <patternFill>
                  <bgColor indexed="10"/>
                </patternFill>
              </fill>
            </x14:dxf>
          </x14:cfRule>
          <xm:sqref>AE159</xm:sqref>
        </x14:conditionalFormatting>
        <x14:conditionalFormatting xmlns:xm="http://schemas.microsoft.com/office/excel/2006/main">
          <x14:cfRule type="expression" priority="3406" id="{E7F99BFB-0D43-430F-96DD-D785E25B536D}">
            <xm:f>AND(IF(Q269&gt;'F:\Users\norela.briceno\Documents\Plan de acción\Plan Accion 2018\[Plan Accion Integrado ADRES Vigencia 2018 con Cuadro de Mando V6..xlsx]Plan de Accion 2018'!#REF!,Q269&lt;&gt;¨N/A¨))</xm:f>
            <x14:dxf>
              <fill>
                <patternFill>
                  <bgColor theme="1" tint="0.499984740745262"/>
                </patternFill>
              </fill>
            </x14:dxf>
          </x14:cfRule>
          <x14:cfRule type="expression" priority="3407" stopIfTrue="1" id="{2FFA1D36-0A03-4FF6-8937-98FDBC05F970}">
            <xm:f>AND(IF(Q269='F:\Users\norela.briceno\Documents\Plan de acción\Plan Accion 2018\[Plan Accion Integrado ADRES Vigencia 2018 con Cuadro de Mando V6..xlsx]Plan de Accion 2018'!#REF!,Q269&lt;&gt;"N/A"))</xm:f>
            <x14:dxf>
              <fill>
                <patternFill>
                  <bgColor rgb="FF00B050"/>
                </patternFill>
              </fill>
            </x14:dxf>
          </x14:cfRule>
          <x14:cfRule type="expression" priority="3408" stopIfTrue="1" id="{CAAF237B-DD9E-4746-93DE-CD10F5214EA6}">
            <xm:f>AND(IF(Q269&lt;'F:\Users\norela.briceno\Documents\Plan de acción\Plan Accion 2018\[Plan Accion Integrado ADRES Vigencia 2018 con Cuadro de Mando V6..xlsx]Plan de Accion 2018'!#REF!,Q269&lt;&gt;"N/A"))</xm:f>
            <x14:dxf>
              <fill>
                <patternFill>
                  <bgColor indexed="10"/>
                </patternFill>
              </fill>
            </x14:dxf>
          </x14:cfRule>
          <xm:sqref>Q269</xm:sqref>
        </x14:conditionalFormatting>
        <x14:conditionalFormatting xmlns:xm="http://schemas.microsoft.com/office/excel/2006/main">
          <x14:cfRule type="expression" priority="3403" id="{EDAC4777-7DAC-4021-9E27-5EB85E7CE618}">
            <xm:f>AND(IF(X269&gt;'F:\Users\norela.briceno\Documents\Plan de acción\Plan Accion 2018\[Plan Accion Integrado ADRES Vigencia 2018 con Cuadro de Mando V6..xlsx]Plan de Accion 2018'!#REF!,X269&lt;&gt;¨N/A¨))</xm:f>
            <x14:dxf>
              <fill>
                <patternFill>
                  <bgColor theme="1" tint="0.499984740745262"/>
                </patternFill>
              </fill>
            </x14:dxf>
          </x14:cfRule>
          <x14:cfRule type="expression" priority="3404" stopIfTrue="1" id="{20B27D53-DFFB-4865-BCFE-7D9450193453}">
            <xm:f>AND(IF(X269='F:\Users\norela.briceno\Documents\Plan de acción\Plan Accion 2018\[Plan Accion Integrado ADRES Vigencia 2018 con Cuadro de Mando V6..xlsx]Plan de Accion 2018'!#REF!,X269&lt;&gt;"N/A"))</xm:f>
            <x14:dxf>
              <fill>
                <patternFill>
                  <bgColor rgb="FF00B050"/>
                </patternFill>
              </fill>
            </x14:dxf>
          </x14:cfRule>
          <x14:cfRule type="expression" priority="3405" stopIfTrue="1" id="{CDB8720E-2244-4F16-8833-7F17B2005B8F}">
            <xm:f>AND(IF(X269&lt;'F:\Users\norela.briceno\Documents\Plan de acción\Plan Accion 2018\[Plan Accion Integrado ADRES Vigencia 2018 con Cuadro de Mando V6..xlsx]Plan de Accion 2018'!#REF!,X269&lt;&gt;"N/A"))</xm:f>
            <x14:dxf>
              <fill>
                <patternFill>
                  <bgColor indexed="10"/>
                </patternFill>
              </fill>
            </x14:dxf>
          </x14:cfRule>
          <xm:sqref>X269</xm:sqref>
        </x14:conditionalFormatting>
        <x14:conditionalFormatting xmlns:xm="http://schemas.microsoft.com/office/excel/2006/main">
          <x14:cfRule type="expression" priority="3400" id="{8D553E34-7114-4A27-A195-9EBB86A76F6D}">
            <xm:f>AND(IF(AE269&gt;'F:\Users\norela.briceno\Documents\Plan de acción\Plan Accion 2018\[Plan Accion Integrado ADRES Vigencia 2018 con Cuadro de Mando V6..xlsx]Plan de Accion 2018'!#REF!,AE269&lt;&gt;¨N/A¨))</xm:f>
            <x14:dxf>
              <fill>
                <patternFill>
                  <bgColor theme="1" tint="0.499984740745262"/>
                </patternFill>
              </fill>
            </x14:dxf>
          </x14:cfRule>
          <x14:cfRule type="expression" priority="3401" stopIfTrue="1" id="{831C5B5B-0CD1-49D1-A8FE-01D07208A23C}">
            <xm:f>AND(IF(AE269='F:\Users\norela.briceno\Documents\Plan de acción\Plan Accion 2018\[Plan Accion Integrado ADRES Vigencia 2018 con Cuadro de Mando V6..xlsx]Plan de Accion 2018'!#REF!,AE269&lt;&gt;"N/A"))</xm:f>
            <x14:dxf>
              <fill>
                <patternFill>
                  <bgColor rgb="FF00B050"/>
                </patternFill>
              </fill>
            </x14:dxf>
          </x14:cfRule>
          <x14:cfRule type="expression" priority="3402" stopIfTrue="1" id="{A88DCB09-670F-44D0-952F-BE4D343780EC}">
            <xm:f>AND(IF(AE269&lt;'F:\Users\norela.briceno\Documents\Plan de acción\Plan Accion 2018\[Plan Accion Integrado ADRES Vigencia 2018 con Cuadro de Mando V6..xlsx]Plan de Accion 2018'!#REF!,AE269&lt;&gt;"N/A"))</xm:f>
            <x14:dxf>
              <fill>
                <patternFill>
                  <bgColor indexed="10"/>
                </patternFill>
              </fill>
            </x14:dxf>
          </x14:cfRule>
          <xm:sqref>AE269</xm:sqref>
        </x14:conditionalFormatting>
        <x14:conditionalFormatting xmlns:xm="http://schemas.microsoft.com/office/excel/2006/main">
          <x14:cfRule type="expression" priority="3543" id="{6751C40D-8669-48D4-B61A-244BA905C99D}">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3544" stopIfTrue="1" id="{9493F986-83B2-40FD-A063-A047C4C20108}">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3545" stopIfTrue="1" id="{35F5FD9A-8045-43C2-9E52-F05B9E6AED09}">
            <xm:f>AND(IF(J30&lt;'F:\Users\norela.briceno\Documents\Plan de acción\Plan Accion 2018\[Plan Accion Integrado ADRES Vigencia 2018 con Cuadro de Mando V6..xlsx]Plan de Accion 2018'!#REF!,J30&lt;&gt;"N/A"))</xm:f>
            <x14:dxf>
              <fill>
                <patternFill>
                  <bgColor indexed="10"/>
                </patternFill>
              </fill>
            </x14:dxf>
          </x14:cfRule>
          <xm:sqref>J30 Q30 AE30 X30</xm:sqref>
        </x14:conditionalFormatting>
        <x14:conditionalFormatting xmlns:xm="http://schemas.microsoft.com/office/excel/2006/main">
          <x14:cfRule type="expression" priority="3540" id="{F11B8569-D4F5-4A7C-B8EB-29A0825D7A93}">
            <xm:f>AND(IF(J30&gt;'F:\Users\norela.briceno\Documents\Plan de acción\Plan Accion 2018\[Plan Accion Integrado ADRES Vigencia 2018 con Cuadro de Mando V6..xlsx]Plan de Accion 2018'!#REF!,J30&lt;&gt;¨N/A¨))</xm:f>
            <x14:dxf>
              <fill>
                <patternFill>
                  <bgColor theme="1" tint="0.499984740745262"/>
                </patternFill>
              </fill>
            </x14:dxf>
          </x14:cfRule>
          <x14:cfRule type="expression" priority="3541" stopIfTrue="1" id="{32DBD465-4D39-47C0-BA8E-0C2111DA8353}">
            <xm:f>AND(IF(J30='F:\Users\norela.briceno\Documents\Plan de acción\Plan Accion 2018\[Plan Accion Integrado ADRES Vigencia 2018 con Cuadro de Mando V6..xlsx]Plan de Accion 2018'!#REF!,J30&lt;&gt;"N/A"))</xm:f>
            <x14:dxf>
              <fill>
                <patternFill>
                  <bgColor rgb="FF00B050"/>
                </patternFill>
              </fill>
            </x14:dxf>
          </x14:cfRule>
          <x14:cfRule type="expression" priority="3542" stopIfTrue="1" id="{7D9A615D-2FB5-4272-857F-CFC316C10E32}">
            <xm:f>AND(IF(J30&lt;'F:\Users\norela.briceno\Documents\Plan de acción\Plan Accion 2018\[Plan Accion Integrado ADRES Vigencia 2018 con Cuadro de Mando V6..xlsx]Plan de Accion 2018'!#REF!,J30&lt;&gt;"N/A"))</xm:f>
            <x14:dxf>
              <fill>
                <patternFill>
                  <bgColor indexed="10"/>
                </patternFill>
              </fill>
            </x14:dxf>
          </x14:cfRule>
          <xm:sqref>J30</xm:sqref>
        </x14:conditionalFormatting>
        <x14:conditionalFormatting xmlns:xm="http://schemas.microsoft.com/office/excel/2006/main">
          <x14:cfRule type="expression" priority="3537" id="{FFFC1D0D-10BE-4773-8127-39EE0662ABBC}">
            <xm:f>AND(IF(Q30&gt;'F:\Users\norela.briceno\Documents\Plan de acción\Plan Accion 2018\[Plan Accion Integrado ADRES Vigencia 2018 con Cuadro de Mando V6..xlsx]Plan de Accion 2018'!#REF!,Q30&lt;&gt;¨N/A¨))</xm:f>
            <x14:dxf>
              <fill>
                <patternFill>
                  <bgColor theme="1" tint="0.499984740745262"/>
                </patternFill>
              </fill>
            </x14:dxf>
          </x14:cfRule>
          <x14:cfRule type="expression" priority="3538" stopIfTrue="1" id="{4A51BE8F-49DD-4BF2-93ED-0C96364A439A}">
            <xm:f>AND(IF(Q30='F:\Users\norela.briceno\Documents\Plan de acción\Plan Accion 2018\[Plan Accion Integrado ADRES Vigencia 2018 con Cuadro de Mando V6..xlsx]Plan de Accion 2018'!#REF!,Q30&lt;&gt;"N/A"))</xm:f>
            <x14:dxf>
              <fill>
                <patternFill>
                  <bgColor rgb="FF00B050"/>
                </patternFill>
              </fill>
            </x14:dxf>
          </x14:cfRule>
          <x14:cfRule type="expression" priority="3539" stopIfTrue="1" id="{C5CE7576-3D91-4575-9F02-9E5FC7B60740}">
            <xm:f>AND(IF(Q30&lt;'F:\Users\norela.briceno\Documents\Plan de acción\Plan Accion 2018\[Plan Accion Integrado ADRES Vigencia 2018 con Cuadro de Mando V6..xlsx]Plan de Accion 2018'!#REF!,Q30&lt;&gt;"N/A"))</xm:f>
            <x14:dxf>
              <fill>
                <patternFill>
                  <bgColor indexed="10"/>
                </patternFill>
              </fill>
            </x14:dxf>
          </x14:cfRule>
          <xm:sqref>Q30</xm:sqref>
        </x14:conditionalFormatting>
        <x14:conditionalFormatting xmlns:xm="http://schemas.microsoft.com/office/excel/2006/main">
          <x14:cfRule type="expression" priority="3534" id="{C15FD457-6759-44B5-9CB9-5A0CA9068214}">
            <xm:f>AND(IF(X30&gt;'F:\Users\norela.briceno\Documents\Plan de acción\Plan Accion 2018\[Plan Accion Integrado ADRES Vigencia 2018 con Cuadro de Mando V6..xlsx]Plan de Accion 2018'!#REF!,X30&lt;&gt;¨N/A¨))</xm:f>
            <x14:dxf>
              <fill>
                <patternFill>
                  <bgColor theme="1" tint="0.499984740745262"/>
                </patternFill>
              </fill>
            </x14:dxf>
          </x14:cfRule>
          <x14:cfRule type="expression" priority="3535" stopIfTrue="1" id="{FEB5D436-85E7-405E-AEC7-A0240BB436F9}">
            <xm:f>AND(IF(X30='F:\Users\norela.briceno\Documents\Plan de acción\Plan Accion 2018\[Plan Accion Integrado ADRES Vigencia 2018 con Cuadro de Mando V6..xlsx]Plan de Accion 2018'!#REF!,X30&lt;&gt;"N/A"))</xm:f>
            <x14:dxf>
              <fill>
                <patternFill>
                  <bgColor rgb="FF00B050"/>
                </patternFill>
              </fill>
            </x14:dxf>
          </x14:cfRule>
          <x14:cfRule type="expression" priority="3536" stopIfTrue="1" id="{4DEFC661-C151-4625-BBAE-13ABDEB94A49}">
            <xm:f>AND(IF(X30&lt;'F:\Users\norela.briceno\Documents\Plan de acción\Plan Accion 2018\[Plan Accion Integrado ADRES Vigencia 2018 con Cuadro de Mando V6..xlsx]Plan de Accion 2018'!#REF!,X30&lt;&gt;"N/A"))</xm:f>
            <x14:dxf>
              <fill>
                <patternFill>
                  <bgColor indexed="10"/>
                </patternFill>
              </fill>
            </x14:dxf>
          </x14:cfRule>
          <xm:sqref>X30</xm:sqref>
        </x14:conditionalFormatting>
        <x14:conditionalFormatting xmlns:xm="http://schemas.microsoft.com/office/excel/2006/main">
          <x14:cfRule type="expression" priority="3531" id="{6517AC4F-0CDB-41A3-BDEB-FBB497AEAADB}">
            <xm:f>AND(IF(AE30&gt;'F:\Users\norela.briceno\Documents\Plan de acción\Plan Accion 2018\[Plan Accion Integrado ADRES Vigencia 2018 con Cuadro de Mando V6..xlsx]Plan de Accion 2018'!#REF!,AE30&lt;&gt;¨N/A¨))</xm:f>
            <x14:dxf>
              <fill>
                <patternFill>
                  <bgColor theme="1" tint="0.499984740745262"/>
                </patternFill>
              </fill>
            </x14:dxf>
          </x14:cfRule>
          <x14:cfRule type="expression" priority="3532" stopIfTrue="1" id="{FDF0A80E-4062-4C92-8A98-4FA66D763E02}">
            <xm:f>AND(IF(AE30='F:\Users\norela.briceno\Documents\Plan de acción\Plan Accion 2018\[Plan Accion Integrado ADRES Vigencia 2018 con Cuadro de Mando V6..xlsx]Plan de Accion 2018'!#REF!,AE30&lt;&gt;"N/A"))</xm:f>
            <x14:dxf>
              <fill>
                <patternFill>
                  <bgColor rgb="FF00B050"/>
                </patternFill>
              </fill>
            </x14:dxf>
          </x14:cfRule>
          <x14:cfRule type="expression" priority="3533" stopIfTrue="1" id="{5A43F19A-345B-4896-9748-360A2DB72D7D}">
            <xm:f>AND(IF(AE30&lt;'F:\Users\norela.briceno\Documents\Plan de acción\Plan Accion 2018\[Plan Accion Integrado ADRES Vigencia 2018 con Cuadro de Mando V6..xlsx]Plan de Accion 2018'!#REF!,AE30&lt;&gt;"N/A"))</xm:f>
            <x14:dxf>
              <fill>
                <patternFill>
                  <bgColor indexed="10"/>
                </patternFill>
              </fill>
            </x14:dxf>
          </x14:cfRule>
          <xm:sqref>AE30</xm:sqref>
        </x14:conditionalFormatting>
        <x14:conditionalFormatting xmlns:xm="http://schemas.microsoft.com/office/excel/2006/main">
          <x14:cfRule type="expression" priority="3453" id="{61F570B2-0934-4782-8BD3-C08F2A3DC0C1}">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3454" stopIfTrue="1" id="{01601896-10EE-4646-90F3-A410F6603D0C}">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3455" stopIfTrue="1" id="{F67F6E17-373F-4E2D-9BEC-B9D1210761C3}">
            <xm:f>AND(IF(Q169&lt;'F:\Users\norela.briceno\Documents\Plan de acción\Plan Accion 2018\[Plan Accion Integrado ADRES Vigencia 2018 con Cuadro de Mando V6..xlsx]Plan de Accion 2018'!#REF!,Q169&lt;&gt;"N/A"))</xm:f>
            <x14:dxf>
              <fill>
                <patternFill>
                  <bgColor indexed="10"/>
                </patternFill>
              </fill>
            </x14:dxf>
          </x14:cfRule>
          <xm:sqref>Q169 X169 AE169</xm:sqref>
        </x14:conditionalFormatting>
        <x14:conditionalFormatting xmlns:xm="http://schemas.microsoft.com/office/excel/2006/main">
          <x14:cfRule type="expression" priority="3447" id="{691C74E4-06BC-42ED-BCE3-BC23F94E7FFA}">
            <xm:f>AND(IF(X169&gt;'F:\Users\norela.briceno\Documents\Plan de acción\Plan Accion 2018\[Plan Accion Integrado ADRES Vigencia 2018 con Cuadro de Mando V6..xlsx]Plan de Accion 2018'!#REF!,X169&lt;&gt;¨N/A¨))</xm:f>
            <x14:dxf>
              <fill>
                <patternFill>
                  <bgColor theme="1" tint="0.499984740745262"/>
                </patternFill>
              </fill>
            </x14:dxf>
          </x14:cfRule>
          <x14:cfRule type="expression" priority="3448" stopIfTrue="1" id="{D9D3688C-44BC-4FC5-BC89-449CB2B2A01D}">
            <xm:f>AND(IF(X169='F:\Users\norela.briceno\Documents\Plan de acción\Plan Accion 2018\[Plan Accion Integrado ADRES Vigencia 2018 con Cuadro de Mando V6..xlsx]Plan de Accion 2018'!#REF!,X169&lt;&gt;"N/A"))</xm:f>
            <x14:dxf>
              <fill>
                <patternFill>
                  <bgColor rgb="FF00B050"/>
                </patternFill>
              </fill>
            </x14:dxf>
          </x14:cfRule>
          <x14:cfRule type="expression" priority="3449" stopIfTrue="1" id="{06BC77E6-E5BE-47B0-997F-003F519E3A3F}">
            <xm:f>AND(IF(X169&lt;'F:\Users\norela.briceno\Documents\Plan de acción\Plan Accion 2018\[Plan Accion Integrado ADRES Vigencia 2018 con Cuadro de Mando V6..xlsx]Plan de Accion 2018'!#REF!,X169&lt;&gt;"N/A"))</xm:f>
            <x14:dxf>
              <fill>
                <patternFill>
                  <bgColor indexed="10"/>
                </patternFill>
              </fill>
            </x14:dxf>
          </x14:cfRule>
          <xm:sqref>X169</xm:sqref>
        </x14:conditionalFormatting>
        <x14:conditionalFormatting xmlns:xm="http://schemas.microsoft.com/office/excel/2006/main">
          <x14:cfRule type="expression" priority="3444" id="{70D4C05E-5EC8-4A86-BCC0-731FFFAC683C}">
            <xm:f>AND(IF(AE169&gt;'F:\Users\norela.briceno\Documents\Plan de acción\Plan Accion 2018\[Plan Accion Integrado ADRES Vigencia 2018 con Cuadro de Mando V6..xlsx]Plan de Accion 2018'!#REF!,AE169&lt;&gt;¨N/A¨))</xm:f>
            <x14:dxf>
              <fill>
                <patternFill>
                  <bgColor theme="1" tint="0.499984740745262"/>
                </patternFill>
              </fill>
            </x14:dxf>
          </x14:cfRule>
          <x14:cfRule type="expression" priority="3445" stopIfTrue="1" id="{2023C1BB-E0F3-4DA9-8712-FDE308F29A68}">
            <xm:f>AND(IF(AE169='F:\Users\norela.briceno\Documents\Plan de acción\Plan Accion 2018\[Plan Accion Integrado ADRES Vigencia 2018 con Cuadro de Mando V6..xlsx]Plan de Accion 2018'!#REF!,AE169&lt;&gt;"N/A"))</xm:f>
            <x14:dxf>
              <fill>
                <patternFill>
                  <bgColor rgb="FF00B050"/>
                </patternFill>
              </fill>
            </x14:dxf>
          </x14:cfRule>
          <x14:cfRule type="expression" priority="3446" stopIfTrue="1" id="{D371046F-4F44-4820-A5D5-1AACD3BCCB45}">
            <xm:f>AND(IF(AE169&lt;'F:\Users\norela.briceno\Documents\Plan de acción\Plan Accion 2018\[Plan Accion Integrado ADRES Vigencia 2018 con Cuadro de Mando V6..xlsx]Plan de Accion 2018'!#REF!,AE169&lt;&gt;"N/A"))</xm:f>
            <x14:dxf>
              <fill>
                <patternFill>
                  <bgColor indexed="10"/>
                </patternFill>
              </fill>
            </x14:dxf>
          </x14:cfRule>
          <xm:sqref>AE169</xm:sqref>
        </x14:conditionalFormatting>
        <x14:conditionalFormatting xmlns:xm="http://schemas.microsoft.com/office/excel/2006/main">
          <x14:cfRule type="expression" priority="3450" id="{49E5822F-3ACE-4ACA-B2FC-D6807C39FA27}">
            <xm:f>AND(IF(Q169&gt;'F:\Users\norela.briceno\Documents\Plan de acción\Plan Accion 2018\[Plan Accion Integrado ADRES Vigencia 2018 con Cuadro de Mando V6..xlsx]Plan de Accion 2018'!#REF!,Q169&lt;&gt;¨N/A¨))</xm:f>
            <x14:dxf>
              <fill>
                <patternFill>
                  <bgColor theme="1" tint="0.499984740745262"/>
                </patternFill>
              </fill>
            </x14:dxf>
          </x14:cfRule>
          <x14:cfRule type="expression" priority="3451" stopIfTrue="1" id="{AD8FB662-3D71-4D56-9A73-CAA83C17B637}">
            <xm:f>AND(IF(Q169='F:\Users\norela.briceno\Documents\Plan de acción\Plan Accion 2018\[Plan Accion Integrado ADRES Vigencia 2018 con Cuadro de Mando V6..xlsx]Plan de Accion 2018'!#REF!,Q169&lt;&gt;"N/A"))</xm:f>
            <x14:dxf>
              <fill>
                <patternFill>
                  <bgColor rgb="FF00B050"/>
                </patternFill>
              </fill>
            </x14:dxf>
          </x14:cfRule>
          <x14:cfRule type="expression" priority="3452" stopIfTrue="1" id="{ABC758E9-75B1-4BC8-804B-F144CABD19E5}">
            <xm:f>AND(IF(Q169&lt;'F:\Users\norela.briceno\Documents\Plan de acción\Plan Accion 2018\[Plan Accion Integrado ADRES Vigencia 2018 con Cuadro de Mando V6..xlsx]Plan de Accion 2018'!#REF!,Q169&lt;&gt;"N/A"))</xm:f>
            <x14:dxf>
              <fill>
                <patternFill>
                  <bgColor indexed="10"/>
                </patternFill>
              </fill>
            </x14:dxf>
          </x14:cfRule>
          <xm:sqref>Q169</xm:sqref>
        </x14:conditionalFormatting>
        <x14:conditionalFormatting xmlns:xm="http://schemas.microsoft.com/office/excel/2006/main">
          <x14:cfRule type="expression" priority="3377" id="{D988741D-AC26-4077-9A12-AABEAFDF5B9D}">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3378" stopIfTrue="1" id="{5D6DB42E-6EFF-4E93-BAED-89958B8CCE9A}">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3379" stopIfTrue="1" id="{51FF34BE-C207-4F2F-92FA-E45FDCD9B303}">
            <xm:f>AND(IF(Q88&lt;'F:\Users\norela.briceno\Documents\Plan de acción\Plan Accion 2018\[Plan Accion Integrado ADRES Vigencia 2018 con Cuadro de Mando V6..xlsx]Plan de Accion 2018'!#REF!,Q88&lt;&gt;"N/A"))</xm:f>
            <x14:dxf>
              <fill>
                <patternFill>
                  <bgColor indexed="10"/>
                </patternFill>
              </fill>
            </x14:dxf>
          </x14:cfRule>
          <xm:sqref>Q88 AE88 X88</xm:sqref>
        </x14:conditionalFormatting>
        <x14:conditionalFormatting xmlns:xm="http://schemas.microsoft.com/office/excel/2006/main">
          <x14:cfRule type="expression" priority="3374" id="{96552F71-45F3-4D26-B6FC-1E0CDBAE42D5}">
            <xm:f>AND(IF(Q88&gt;'F:\Users\norela.briceno\Documents\Plan de acción\Plan Accion 2018\[Plan Accion Integrado ADRES Vigencia 2018 con Cuadro de Mando V6..xlsx]Plan de Accion 2018'!#REF!,Q88&lt;&gt;¨N/A¨))</xm:f>
            <x14:dxf>
              <fill>
                <patternFill>
                  <bgColor theme="1" tint="0.499984740745262"/>
                </patternFill>
              </fill>
            </x14:dxf>
          </x14:cfRule>
          <x14:cfRule type="expression" priority="3375" stopIfTrue="1" id="{584C5695-7BF8-4E95-918C-1F6CA18B7218}">
            <xm:f>AND(IF(Q88='F:\Users\norela.briceno\Documents\Plan de acción\Plan Accion 2018\[Plan Accion Integrado ADRES Vigencia 2018 con Cuadro de Mando V6..xlsx]Plan de Accion 2018'!#REF!,Q88&lt;&gt;"N/A"))</xm:f>
            <x14:dxf>
              <fill>
                <patternFill>
                  <bgColor rgb="FF00B050"/>
                </patternFill>
              </fill>
            </x14:dxf>
          </x14:cfRule>
          <x14:cfRule type="expression" priority="3376" stopIfTrue="1" id="{970D483E-371D-4BB5-B7EB-E1245A068682}">
            <xm:f>AND(IF(Q88&lt;'F:\Users\norela.briceno\Documents\Plan de acción\Plan Accion 2018\[Plan Accion Integrado ADRES Vigencia 2018 con Cuadro de Mando V6..xlsx]Plan de Accion 2018'!#REF!,Q88&lt;&gt;"N/A"))</xm:f>
            <x14:dxf>
              <fill>
                <patternFill>
                  <bgColor indexed="10"/>
                </patternFill>
              </fill>
            </x14:dxf>
          </x14:cfRule>
          <xm:sqref>Q88</xm:sqref>
        </x14:conditionalFormatting>
        <x14:conditionalFormatting xmlns:xm="http://schemas.microsoft.com/office/excel/2006/main">
          <x14:cfRule type="expression" priority="3371" id="{F564F33C-A1D3-4D39-A13D-C4E70364F2A9}">
            <xm:f>AND(IF(X88&gt;'F:\Users\norela.briceno\Documents\Plan de acción\Plan Accion 2018\[Plan Accion Integrado ADRES Vigencia 2018 con Cuadro de Mando V6..xlsx]Plan de Accion 2018'!#REF!,X88&lt;&gt;¨N/A¨))</xm:f>
            <x14:dxf>
              <fill>
                <patternFill>
                  <bgColor theme="1" tint="0.499984740745262"/>
                </patternFill>
              </fill>
            </x14:dxf>
          </x14:cfRule>
          <x14:cfRule type="expression" priority="3372" stopIfTrue="1" id="{F0E646FB-F1EA-47AE-AA73-3B4E1B31EEDA}">
            <xm:f>AND(IF(X88='F:\Users\norela.briceno\Documents\Plan de acción\Plan Accion 2018\[Plan Accion Integrado ADRES Vigencia 2018 con Cuadro de Mando V6..xlsx]Plan de Accion 2018'!#REF!,X88&lt;&gt;"N/A"))</xm:f>
            <x14:dxf>
              <fill>
                <patternFill>
                  <bgColor rgb="FF00B050"/>
                </patternFill>
              </fill>
            </x14:dxf>
          </x14:cfRule>
          <x14:cfRule type="expression" priority="3373" stopIfTrue="1" id="{7F7F2425-C801-4B22-B497-BAE76D7B4364}">
            <xm:f>AND(IF(X88&lt;'F:\Users\norela.briceno\Documents\Plan de acción\Plan Accion 2018\[Plan Accion Integrado ADRES Vigencia 2018 con Cuadro de Mando V6..xlsx]Plan de Accion 2018'!#REF!,X88&lt;&gt;"N/A"))</xm:f>
            <x14:dxf>
              <fill>
                <patternFill>
                  <bgColor indexed="10"/>
                </patternFill>
              </fill>
            </x14:dxf>
          </x14:cfRule>
          <xm:sqref>X88</xm:sqref>
        </x14:conditionalFormatting>
        <x14:conditionalFormatting xmlns:xm="http://schemas.microsoft.com/office/excel/2006/main">
          <x14:cfRule type="expression" priority="3368" id="{7C054BA0-C9FE-4E6B-88A6-038E1972D14E}">
            <xm:f>AND(IF(AE88&gt;'F:\Users\norela.briceno\Documents\Plan de acción\Plan Accion 2018\[Plan Accion Integrado ADRES Vigencia 2018 con Cuadro de Mando V6..xlsx]Plan de Accion 2018'!#REF!,AE88&lt;&gt;¨N/A¨))</xm:f>
            <x14:dxf>
              <fill>
                <patternFill>
                  <bgColor theme="1" tint="0.499984740745262"/>
                </patternFill>
              </fill>
            </x14:dxf>
          </x14:cfRule>
          <x14:cfRule type="expression" priority="3369" stopIfTrue="1" id="{EA7922E0-B3F4-48BB-A27A-5F8746EEC3E2}">
            <xm:f>AND(IF(AE88='F:\Users\norela.briceno\Documents\Plan de acción\Plan Accion 2018\[Plan Accion Integrado ADRES Vigencia 2018 con Cuadro de Mando V6..xlsx]Plan de Accion 2018'!#REF!,AE88&lt;&gt;"N/A"))</xm:f>
            <x14:dxf>
              <fill>
                <patternFill>
                  <bgColor rgb="FF00B050"/>
                </patternFill>
              </fill>
            </x14:dxf>
          </x14:cfRule>
          <x14:cfRule type="expression" priority="3370" stopIfTrue="1" id="{22F48144-5178-46B4-94D5-24D26F5A1A87}">
            <xm:f>AND(IF(AE88&lt;'F:\Users\norela.briceno\Documents\Plan de acción\Plan Accion 2018\[Plan Accion Integrado ADRES Vigencia 2018 con Cuadro de Mando V6..xlsx]Plan de Accion 2018'!#REF!,AE88&lt;&gt;"N/A"))</xm:f>
            <x14:dxf>
              <fill>
                <patternFill>
                  <bgColor indexed="10"/>
                </patternFill>
              </fill>
            </x14:dxf>
          </x14:cfRule>
          <xm:sqref>AE88</xm:sqref>
        </x14:conditionalFormatting>
        <x14:conditionalFormatting xmlns:xm="http://schemas.microsoft.com/office/excel/2006/main">
          <x14:cfRule type="expression" priority="2742" id="{302BB126-5B31-4418-9D1A-74E34DEFAB36}">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2743" stopIfTrue="1" id="{3CDC721A-D9BA-4C54-AF47-5A335EDB3C1D}">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2744" stopIfTrue="1" id="{D3933152-58EE-47C6-81DA-7646E67BE0EE}">
            <xm:f>AND(IF(Q120&lt;'F:\Users\norela.briceno\Documents\Plan de acción\Plan Accion 2018\[Plan Accion Integrado ADRES Vigencia 2018 con Cuadro de Mando V6..xlsx]Plan de Accion 2018'!#REF!,Q120&lt;&gt;"N/A"))</xm:f>
            <x14:dxf>
              <fill>
                <patternFill>
                  <bgColor indexed="10"/>
                </patternFill>
              </fill>
            </x14:dxf>
          </x14:cfRule>
          <xm:sqref>Q120 AE120 X120</xm:sqref>
        </x14:conditionalFormatting>
        <x14:conditionalFormatting xmlns:xm="http://schemas.microsoft.com/office/excel/2006/main">
          <x14:cfRule type="expression" priority="2739" id="{58833278-47E0-463E-B527-F00AC002D63B}">
            <xm:f>AND(IF(Q120&gt;'F:\Users\norela.briceno\Documents\Plan de acción\Plan Accion 2018\[Plan Accion Integrado ADRES Vigencia 2018 con Cuadro de Mando V6..xlsx]Plan de Accion 2018'!#REF!,Q120&lt;&gt;¨N/A¨))</xm:f>
            <x14:dxf>
              <fill>
                <patternFill>
                  <bgColor theme="1" tint="0.499984740745262"/>
                </patternFill>
              </fill>
            </x14:dxf>
          </x14:cfRule>
          <x14:cfRule type="expression" priority="2740" stopIfTrue="1" id="{468D2B93-76CD-4FD7-A5A7-5B01A98662DA}">
            <xm:f>AND(IF(Q120='F:\Users\norela.briceno\Documents\Plan de acción\Plan Accion 2018\[Plan Accion Integrado ADRES Vigencia 2018 con Cuadro de Mando V6..xlsx]Plan de Accion 2018'!#REF!,Q120&lt;&gt;"N/A"))</xm:f>
            <x14:dxf>
              <fill>
                <patternFill>
                  <bgColor rgb="FF00B050"/>
                </patternFill>
              </fill>
            </x14:dxf>
          </x14:cfRule>
          <x14:cfRule type="expression" priority="2741" stopIfTrue="1" id="{73B95AED-74B8-4CA9-A0F4-8F32F2F90381}">
            <xm:f>AND(IF(Q120&lt;'F:\Users\norela.briceno\Documents\Plan de acción\Plan Accion 2018\[Plan Accion Integrado ADRES Vigencia 2018 con Cuadro de Mando V6..xlsx]Plan de Accion 2018'!#REF!,Q120&lt;&gt;"N/A"))</xm:f>
            <x14:dxf>
              <fill>
                <patternFill>
                  <bgColor indexed="10"/>
                </patternFill>
              </fill>
            </x14:dxf>
          </x14:cfRule>
          <xm:sqref>Q120</xm:sqref>
        </x14:conditionalFormatting>
        <x14:conditionalFormatting xmlns:xm="http://schemas.microsoft.com/office/excel/2006/main">
          <x14:cfRule type="expression" priority="2736" id="{ED96B3C8-D129-47AC-A209-803EE604E60D}">
            <xm:f>AND(IF(X120&gt;'F:\Users\norela.briceno\Documents\Plan de acción\Plan Accion 2018\[Plan Accion Integrado ADRES Vigencia 2018 con Cuadro de Mando V6..xlsx]Plan de Accion 2018'!#REF!,X120&lt;&gt;¨N/A¨))</xm:f>
            <x14:dxf>
              <fill>
                <patternFill>
                  <bgColor theme="1" tint="0.499984740745262"/>
                </patternFill>
              </fill>
            </x14:dxf>
          </x14:cfRule>
          <x14:cfRule type="expression" priority="2737" stopIfTrue="1" id="{91DB7D7A-C588-4D3B-BA3A-6FDDD9DA7ADC}">
            <xm:f>AND(IF(X120='F:\Users\norela.briceno\Documents\Plan de acción\Plan Accion 2018\[Plan Accion Integrado ADRES Vigencia 2018 con Cuadro de Mando V6..xlsx]Plan de Accion 2018'!#REF!,X120&lt;&gt;"N/A"))</xm:f>
            <x14:dxf>
              <fill>
                <patternFill>
                  <bgColor rgb="FF00B050"/>
                </patternFill>
              </fill>
            </x14:dxf>
          </x14:cfRule>
          <x14:cfRule type="expression" priority="2738" stopIfTrue="1" id="{1BA508A4-5721-4286-B6A4-CCD62AAD35B7}">
            <xm:f>AND(IF(X120&lt;'F:\Users\norela.briceno\Documents\Plan de acción\Plan Accion 2018\[Plan Accion Integrado ADRES Vigencia 2018 con Cuadro de Mando V6..xlsx]Plan de Accion 2018'!#REF!,X120&lt;&gt;"N/A"))</xm:f>
            <x14:dxf>
              <fill>
                <patternFill>
                  <bgColor indexed="10"/>
                </patternFill>
              </fill>
            </x14:dxf>
          </x14:cfRule>
          <xm:sqref>X120</xm:sqref>
        </x14:conditionalFormatting>
        <x14:conditionalFormatting xmlns:xm="http://schemas.microsoft.com/office/excel/2006/main">
          <x14:cfRule type="expression" priority="2733" id="{F6031405-C29E-4144-8A34-2980A9C9593F}">
            <xm:f>AND(IF(AE120&gt;'F:\Users\norela.briceno\Documents\Plan de acción\Plan Accion 2018\[Plan Accion Integrado ADRES Vigencia 2018 con Cuadro de Mando V6..xlsx]Plan de Accion 2018'!#REF!,AE120&lt;&gt;¨N/A¨))</xm:f>
            <x14:dxf>
              <fill>
                <patternFill>
                  <bgColor theme="1" tint="0.499984740745262"/>
                </patternFill>
              </fill>
            </x14:dxf>
          </x14:cfRule>
          <x14:cfRule type="expression" priority="2734" stopIfTrue="1" id="{3318C041-3F21-4CC6-B9D7-3109D6811973}">
            <xm:f>AND(IF(AE120='F:\Users\norela.briceno\Documents\Plan de acción\Plan Accion 2018\[Plan Accion Integrado ADRES Vigencia 2018 con Cuadro de Mando V6..xlsx]Plan de Accion 2018'!#REF!,AE120&lt;&gt;"N/A"))</xm:f>
            <x14:dxf>
              <fill>
                <patternFill>
                  <bgColor rgb="FF00B050"/>
                </patternFill>
              </fill>
            </x14:dxf>
          </x14:cfRule>
          <x14:cfRule type="expression" priority="2735" stopIfTrue="1" id="{9A4A1AD9-82DB-4E93-A46B-49EF7D55EF07}">
            <xm:f>AND(IF(AE120&lt;'F:\Users\norela.briceno\Documents\Plan de acción\Plan Accion 2018\[Plan Accion Integrado ADRES Vigencia 2018 con Cuadro de Mando V6..xlsx]Plan de Accion 2018'!#REF!,AE120&lt;&gt;"N/A"))</xm:f>
            <x14:dxf>
              <fill>
                <patternFill>
                  <bgColor indexed="10"/>
                </patternFill>
              </fill>
            </x14:dxf>
          </x14:cfRule>
          <xm:sqref>AE120</xm:sqref>
        </x14:conditionalFormatting>
        <x14:conditionalFormatting xmlns:xm="http://schemas.microsoft.com/office/excel/2006/main">
          <x14:cfRule type="expression" priority="2907" id="{BA219B8F-000D-4B15-B3AC-3D6A2312F30C}">
            <xm:f>AND(IF(Q354&gt;'F:\Users\norela.briceno\Documents\Plan de acción\Plan Accion 2018\[Plan Accion Integrado ADRES Vigencia 2018 con Cuadro de Mando V6..xlsx]Plan de Accion 2018'!#REF!,Q354&lt;&gt;¨N/A¨))</xm:f>
            <x14:dxf>
              <fill>
                <patternFill>
                  <bgColor theme="1" tint="0.499984740745262"/>
                </patternFill>
              </fill>
            </x14:dxf>
          </x14:cfRule>
          <x14:cfRule type="expression" priority="2908" stopIfTrue="1" id="{B8750500-46D8-49AE-9BFE-4082EDA09F65}">
            <xm:f>AND(IF(Q354='F:\Users\norela.briceno\Documents\Plan de acción\Plan Accion 2018\[Plan Accion Integrado ADRES Vigencia 2018 con Cuadro de Mando V6..xlsx]Plan de Accion 2018'!#REF!,Q354&lt;&gt;"N/A"))</xm:f>
            <x14:dxf>
              <fill>
                <patternFill>
                  <bgColor rgb="FF00B050"/>
                </patternFill>
              </fill>
            </x14:dxf>
          </x14:cfRule>
          <x14:cfRule type="expression" priority="2909" stopIfTrue="1" id="{5D038064-3BF8-4B5B-80EE-DEFDD2C7BC1C}">
            <xm:f>AND(IF(Q354&lt;'F:\Users\norela.briceno\Documents\Plan de acción\Plan Accion 2018\[Plan Accion Integrado ADRES Vigencia 2018 con Cuadro de Mando V6..xlsx]Plan de Accion 2018'!#REF!,Q354&lt;&gt;"N/A"))</xm:f>
            <x14:dxf>
              <fill>
                <patternFill>
                  <bgColor indexed="10"/>
                </patternFill>
              </fill>
            </x14:dxf>
          </x14:cfRule>
          <xm:sqref>Q354</xm:sqref>
        </x14:conditionalFormatting>
        <x14:conditionalFormatting xmlns:xm="http://schemas.microsoft.com/office/excel/2006/main">
          <x14:cfRule type="expression" priority="2904" id="{3653D81E-216E-436A-BA61-A759D7C06A20}">
            <xm:f>AND(IF(X354&gt;'F:\Users\norela.briceno\Documents\Plan de acción\Plan Accion 2018\[Plan Accion Integrado ADRES Vigencia 2018 con Cuadro de Mando V6..xlsx]Plan de Accion 2018'!#REF!,X354&lt;&gt;¨N/A¨))</xm:f>
            <x14:dxf>
              <fill>
                <patternFill>
                  <bgColor theme="1" tint="0.499984740745262"/>
                </patternFill>
              </fill>
            </x14:dxf>
          </x14:cfRule>
          <x14:cfRule type="expression" priority="2905" stopIfTrue="1" id="{53A37E02-350D-4717-AAB9-7CCD99FD2E64}">
            <xm:f>AND(IF(X354='F:\Users\norela.briceno\Documents\Plan de acción\Plan Accion 2018\[Plan Accion Integrado ADRES Vigencia 2018 con Cuadro de Mando V6..xlsx]Plan de Accion 2018'!#REF!,X354&lt;&gt;"N/A"))</xm:f>
            <x14:dxf>
              <fill>
                <patternFill>
                  <bgColor rgb="FF00B050"/>
                </patternFill>
              </fill>
            </x14:dxf>
          </x14:cfRule>
          <x14:cfRule type="expression" priority="2906" stopIfTrue="1" id="{A97A96E7-DD31-4688-88C8-EEC00A477ED8}">
            <xm:f>AND(IF(X354&lt;'F:\Users\norela.briceno\Documents\Plan de acción\Plan Accion 2018\[Plan Accion Integrado ADRES Vigencia 2018 con Cuadro de Mando V6..xlsx]Plan de Accion 2018'!#REF!,X354&lt;&gt;"N/A"))</xm:f>
            <x14:dxf>
              <fill>
                <patternFill>
                  <bgColor indexed="10"/>
                </patternFill>
              </fill>
            </x14:dxf>
          </x14:cfRule>
          <xm:sqref>X354</xm:sqref>
        </x14:conditionalFormatting>
        <x14:conditionalFormatting xmlns:xm="http://schemas.microsoft.com/office/excel/2006/main">
          <x14:cfRule type="expression" priority="2901" id="{BA1589B9-3A47-44D6-B9F0-75415E01DA6F}">
            <xm:f>AND(IF(AE354&gt;'F:\Users\norela.briceno\Documents\Plan de acción\Plan Accion 2018\[Plan Accion Integrado ADRES Vigencia 2018 con Cuadro de Mando V6..xlsx]Plan de Accion 2018'!#REF!,AE354&lt;&gt;¨N/A¨))</xm:f>
            <x14:dxf>
              <fill>
                <patternFill>
                  <bgColor theme="1" tint="0.499984740745262"/>
                </patternFill>
              </fill>
            </x14:dxf>
          </x14:cfRule>
          <x14:cfRule type="expression" priority="2902" stopIfTrue="1" id="{C17A611F-322E-45FC-B9F3-A5F6C84DEA62}">
            <xm:f>AND(IF(AE354='F:\Users\norela.briceno\Documents\Plan de acción\Plan Accion 2018\[Plan Accion Integrado ADRES Vigencia 2018 con Cuadro de Mando V6..xlsx]Plan de Accion 2018'!#REF!,AE354&lt;&gt;"N/A"))</xm:f>
            <x14:dxf>
              <fill>
                <patternFill>
                  <bgColor rgb="FF00B050"/>
                </patternFill>
              </fill>
            </x14:dxf>
          </x14:cfRule>
          <x14:cfRule type="expression" priority="2903" stopIfTrue="1" id="{867E8A44-88A8-4E6B-8AAF-F7CA3463DE36}">
            <xm:f>AND(IF(AE354&lt;'F:\Users\norela.briceno\Documents\Plan de acción\Plan Accion 2018\[Plan Accion Integrado ADRES Vigencia 2018 con Cuadro de Mando V6..xlsx]Plan de Accion 2018'!#REF!,AE354&lt;&gt;"N/A"))</xm:f>
            <x14:dxf>
              <fill>
                <patternFill>
                  <bgColor indexed="10"/>
                </patternFill>
              </fill>
            </x14:dxf>
          </x14:cfRule>
          <xm:sqref>AE354</xm:sqref>
        </x14:conditionalFormatting>
        <x14:conditionalFormatting xmlns:xm="http://schemas.microsoft.com/office/excel/2006/main">
          <x14:cfRule type="expression" priority="2828" id="{B4728FAA-C203-4B69-9713-0B33CBBCF94D}">
            <xm:f>AND(IF(Q355&gt;'F:\Users\norela.briceno\Documents\Plan de acción\Plan Accion 2018\[Plan Accion Integrado ADRES Vigencia 2018 con Cuadro de Mando V6..xlsx]Plan de Accion 2018'!#REF!,Q355&lt;&gt;¨N/A¨))</xm:f>
            <x14:dxf>
              <fill>
                <patternFill>
                  <bgColor theme="1" tint="0.499984740745262"/>
                </patternFill>
              </fill>
            </x14:dxf>
          </x14:cfRule>
          <x14:cfRule type="expression" priority="2829" stopIfTrue="1" id="{79DAF3F8-4B9B-4ABF-B2F7-8C78BD4199D3}">
            <xm:f>AND(IF(Q355='F:\Users\norela.briceno\Documents\Plan de acción\Plan Accion 2018\[Plan Accion Integrado ADRES Vigencia 2018 con Cuadro de Mando V6..xlsx]Plan de Accion 2018'!#REF!,Q355&lt;&gt;"N/A"))</xm:f>
            <x14:dxf>
              <fill>
                <patternFill>
                  <bgColor rgb="FF00B050"/>
                </patternFill>
              </fill>
            </x14:dxf>
          </x14:cfRule>
          <x14:cfRule type="expression" priority="2830" stopIfTrue="1" id="{AAF32BEB-3D2D-4D1E-A8F9-DC74B1AEAD58}">
            <xm:f>AND(IF(Q355&lt;'F:\Users\norela.briceno\Documents\Plan de acción\Plan Accion 2018\[Plan Accion Integrado ADRES Vigencia 2018 con Cuadro de Mando V6..xlsx]Plan de Accion 2018'!#REF!,Q355&lt;&gt;"N/A"))</xm:f>
            <x14:dxf>
              <fill>
                <patternFill>
                  <bgColor indexed="10"/>
                </patternFill>
              </fill>
            </x14:dxf>
          </x14:cfRule>
          <xm:sqref>Q355</xm:sqref>
        </x14:conditionalFormatting>
        <x14:conditionalFormatting xmlns:xm="http://schemas.microsoft.com/office/excel/2006/main">
          <x14:cfRule type="expression" priority="2825" id="{B2B64C03-A449-45BD-8D27-4C3D69E0BFA6}">
            <xm:f>AND(IF(X355&gt;'F:\Users\norela.briceno\Documents\Plan de acción\Plan Accion 2018\[Plan Accion Integrado ADRES Vigencia 2018 con Cuadro de Mando V6..xlsx]Plan de Accion 2018'!#REF!,X355&lt;&gt;¨N/A¨))</xm:f>
            <x14:dxf>
              <fill>
                <patternFill>
                  <bgColor theme="1" tint="0.499984740745262"/>
                </patternFill>
              </fill>
            </x14:dxf>
          </x14:cfRule>
          <x14:cfRule type="expression" priority="2826" stopIfTrue="1" id="{828C7571-3D0D-4830-A639-FAEAEC47E0B5}">
            <xm:f>AND(IF(X355='F:\Users\norela.briceno\Documents\Plan de acción\Plan Accion 2018\[Plan Accion Integrado ADRES Vigencia 2018 con Cuadro de Mando V6..xlsx]Plan de Accion 2018'!#REF!,X355&lt;&gt;"N/A"))</xm:f>
            <x14:dxf>
              <fill>
                <patternFill>
                  <bgColor rgb="FF00B050"/>
                </patternFill>
              </fill>
            </x14:dxf>
          </x14:cfRule>
          <x14:cfRule type="expression" priority="2827" stopIfTrue="1" id="{7DCAD0D6-E364-4B2F-8181-E294873122D4}">
            <xm:f>AND(IF(X355&lt;'F:\Users\norela.briceno\Documents\Plan de acción\Plan Accion 2018\[Plan Accion Integrado ADRES Vigencia 2018 con Cuadro de Mando V6..xlsx]Plan de Accion 2018'!#REF!,X355&lt;&gt;"N/A"))</xm:f>
            <x14:dxf>
              <fill>
                <patternFill>
                  <bgColor indexed="10"/>
                </patternFill>
              </fill>
            </x14:dxf>
          </x14:cfRule>
          <xm:sqref>X355</xm:sqref>
        </x14:conditionalFormatting>
        <x14:conditionalFormatting xmlns:xm="http://schemas.microsoft.com/office/excel/2006/main">
          <x14:cfRule type="expression" priority="2822" id="{1C1949C2-CCF2-4D98-8B17-988F4D3F17CE}">
            <xm:f>AND(IF(AE355&gt;'F:\Users\norela.briceno\Documents\Plan de acción\Plan Accion 2018\[Plan Accion Integrado ADRES Vigencia 2018 con Cuadro de Mando V6..xlsx]Plan de Accion 2018'!#REF!,AE355&lt;&gt;¨N/A¨))</xm:f>
            <x14:dxf>
              <fill>
                <patternFill>
                  <bgColor theme="1" tint="0.499984740745262"/>
                </patternFill>
              </fill>
            </x14:dxf>
          </x14:cfRule>
          <x14:cfRule type="expression" priority="2823" stopIfTrue="1" id="{59F73F53-1231-4E38-A7AA-F451D7864D8C}">
            <xm:f>AND(IF(AE355='F:\Users\norela.briceno\Documents\Plan de acción\Plan Accion 2018\[Plan Accion Integrado ADRES Vigencia 2018 con Cuadro de Mando V6..xlsx]Plan de Accion 2018'!#REF!,AE355&lt;&gt;"N/A"))</xm:f>
            <x14:dxf>
              <fill>
                <patternFill>
                  <bgColor rgb="FF00B050"/>
                </patternFill>
              </fill>
            </x14:dxf>
          </x14:cfRule>
          <x14:cfRule type="expression" priority="2824" stopIfTrue="1" id="{7F44870A-D97C-49F7-8E73-FF654DD1131F}">
            <xm:f>AND(IF(AE355&lt;'F:\Users\norela.briceno\Documents\Plan de acción\Plan Accion 2018\[Plan Accion Integrado ADRES Vigencia 2018 con Cuadro de Mando V6..xlsx]Plan de Accion 2018'!#REF!,AE355&lt;&gt;"N/A"))</xm:f>
            <x14:dxf>
              <fill>
                <patternFill>
                  <bgColor indexed="10"/>
                </patternFill>
              </fill>
            </x14:dxf>
          </x14:cfRule>
          <xm:sqref>AE355</xm:sqref>
        </x14:conditionalFormatting>
        <x14:conditionalFormatting xmlns:xm="http://schemas.microsoft.com/office/excel/2006/main">
          <x14:cfRule type="expression" priority="2799" id="{3BA7FC9F-C9F1-475A-A9E3-85BCA1D4542D}">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800" stopIfTrue="1" id="{7BD2C0D7-CA4F-4EBA-BCA5-543E2DCA4666}">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801" stopIfTrue="1" id="{088510B5-3896-456A-AC23-DBC1D8E633CB}">
            <xm:f>AND(IF(Q119&lt;'F:\Users\norela.briceno\Documents\Plan de acción\Plan Accion 2018\[Plan Accion Integrado ADRES Vigencia 2018 con Cuadro de Mando V6..xlsx]Plan de Accion 2018'!#REF!,Q119&lt;&gt;"N/A"))</xm:f>
            <x14:dxf>
              <fill>
                <patternFill>
                  <bgColor indexed="10"/>
                </patternFill>
              </fill>
            </x14:dxf>
          </x14:cfRule>
          <xm:sqref>Q119 AE119 X119</xm:sqref>
        </x14:conditionalFormatting>
        <x14:conditionalFormatting xmlns:xm="http://schemas.microsoft.com/office/excel/2006/main">
          <x14:cfRule type="expression" priority="2796" id="{9CF82B6D-4F98-4B90-BB70-9128399732D2}">
            <xm:f>AND(IF(Q119&gt;'F:\Users\norela.briceno\Documents\Plan de acción\Plan Accion 2018\[Plan Accion Integrado ADRES Vigencia 2018 con Cuadro de Mando V6..xlsx]Plan de Accion 2018'!#REF!,Q119&lt;&gt;¨N/A¨))</xm:f>
            <x14:dxf>
              <fill>
                <patternFill>
                  <bgColor theme="1" tint="0.499984740745262"/>
                </patternFill>
              </fill>
            </x14:dxf>
          </x14:cfRule>
          <x14:cfRule type="expression" priority="2797" stopIfTrue="1" id="{2E238034-8059-41F4-A13D-A0BDD6B471F3}">
            <xm:f>AND(IF(Q119='F:\Users\norela.briceno\Documents\Plan de acción\Plan Accion 2018\[Plan Accion Integrado ADRES Vigencia 2018 con Cuadro de Mando V6..xlsx]Plan de Accion 2018'!#REF!,Q119&lt;&gt;"N/A"))</xm:f>
            <x14:dxf>
              <fill>
                <patternFill>
                  <bgColor rgb="FF00B050"/>
                </patternFill>
              </fill>
            </x14:dxf>
          </x14:cfRule>
          <x14:cfRule type="expression" priority="2798" stopIfTrue="1" id="{B71FB041-85D2-4335-9C50-525DFD41C908}">
            <xm:f>AND(IF(Q119&lt;'F:\Users\norela.briceno\Documents\Plan de acción\Plan Accion 2018\[Plan Accion Integrado ADRES Vigencia 2018 con Cuadro de Mando V6..xlsx]Plan de Accion 2018'!#REF!,Q119&lt;&gt;"N/A"))</xm:f>
            <x14:dxf>
              <fill>
                <patternFill>
                  <bgColor indexed="10"/>
                </patternFill>
              </fill>
            </x14:dxf>
          </x14:cfRule>
          <xm:sqref>Q119</xm:sqref>
        </x14:conditionalFormatting>
        <x14:conditionalFormatting xmlns:xm="http://schemas.microsoft.com/office/excel/2006/main">
          <x14:cfRule type="expression" priority="2793" id="{F726D26D-06FE-434E-A66E-A5A100A2BC3C}">
            <xm:f>AND(IF(X119&gt;'F:\Users\norela.briceno\Documents\Plan de acción\Plan Accion 2018\[Plan Accion Integrado ADRES Vigencia 2018 con Cuadro de Mando V6..xlsx]Plan de Accion 2018'!#REF!,X119&lt;&gt;¨N/A¨))</xm:f>
            <x14:dxf>
              <fill>
                <patternFill>
                  <bgColor theme="1" tint="0.499984740745262"/>
                </patternFill>
              </fill>
            </x14:dxf>
          </x14:cfRule>
          <x14:cfRule type="expression" priority="2794" stopIfTrue="1" id="{6E5124F9-B2D7-468F-AC9A-8EA10A13AEF7}">
            <xm:f>AND(IF(X119='F:\Users\norela.briceno\Documents\Plan de acción\Plan Accion 2018\[Plan Accion Integrado ADRES Vigencia 2018 con Cuadro de Mando V6..xlsx]Plan de Accion 2018'!#REF!,X119&lt;&gt;"N/A"))</xm:f>
            <x14:dxf>
              <fill>
                <patternFill>
                  <bgColor rgb="FF00B050"/>
                </patternFill>
              </fill>
            </x14:dxf>
          </x14:cfRule>
          <x14:cfRule type="expression" priority="2795" stopIfTrue="1" id="{856501DF-3B3C-4717-B2C6-6413FEB83D1F}">
            <xm:f>AND(IF(X119&lt;'F:\Users\norela.briceno\Documents\Plan de acción\Plan Accion 2018\[Plan Accion Integrado ADRES Vigencia 2018 con Cuadro de Mando V6..xlsx]Plan de Accion 2018'!#REF!,X119&lt;&gt;"N/A"))</xm:f>
            <x14:dxf>
              <fill>
                <patternFill>
                  <bgColor indexed="10"/>
                </patternFill>
              </fill>
            </x14:dxf>
          </x14:cfRule>
          <xm:sqref>X119</xm:sqref>
        </x14:conditionalFormatting>
        <x14:conditionalFormatting xmlns:xm="http://schemas.microsoft.com/office/excel/2006/main">
          <x14:cfRule type="expression" priority="2790" id="{97A496E7-455E-439D-B5E6-276CC7C8A9E3}">
            <xm:f>AND(IF(AE119&gt;'F:\Users\norela.briceno\Documents\Plan de acción\Plan Accion 2018\[Plan Accion Integrado ADRES Vigencia 2018 con Cuadro de Mando V6..xlsx]Plan de Accion 2018'!#REF!,AE119&lt;&gt;¨N/A¨))</xm:f>
            <x14:dxf>
              <fill>
                <patternFill>
                  <bgColor theme="1" tint="0.499984740745262"/>
                </patternFill>
              </fill>
            </x14:dxf>
          </x14:cfRule>
          <x14:cfRule type="expression" priority="2791" stopIfTrue="1" id="{FF0954CE-3A86-44B0-AA92-16D97EABA41D}">
            <xm:f>AND(IF(AE119='F:\Users\norela.briceno\Documents\Plan de acción\Plan Accion 2018\[Plan Accion Integrado ADRES Vigencia 2018 con Cuadro de Mando V6..xlsx]Plan de Accion 2018'!#REF!,AE119&lt;&gt;"N/A"))</xm:f>
            <x14:dxf>
              <fill>
                <patternFill>
                  <bgColor rgb="FF00B050"/>
                </patternFill>
              </fill>
            </x14:dxf>
          </x14:cfRule>
          <x14:cfRule type="expression" priority="2792" stopIfTrue="1" id="{1BF117C0-CD20-49DB-9C30-1EEEC7ED4C58}">
            <xm:f>AND(IF(AE119&lt;'F:\Users\norela.briceno\Documents\Plan de acción\Plan Accion 2018\[Plan Accion Integrado ADRES Vigencia 2018 con Cuadro de Mando V6..xlsx]Plan de Accion 2018'!#REF!,AE119&lt;&gt;"N/A"))</xm:f>
            <x14:dxf>
              <fill>
                <patternFill>
                  <bgColor indexed="10"/>
                </patternFill>
              </fill>
            </x14:dxf>
          </x14:cfRule>
          <xm:sqref>AE119</xm:sqref>
        </x14:conditionalFormatting>
        <x14:conditionalFormatting xmlns:xm="http://schemas.microsoft.com/office/excel/2006/main">
          <x14:cfRule type="expression" priority="2440" id="{602CD7E8-BC32-498D-BE1F-890CF96958E3}">
            <xm:f>AND(IF(J352&gt;'F:\Users\norela.briceno\Documents\Plan de acción\Plan Accion 2018\[Plan Accion Integrado ADRES Vigencia 2018 con Cuadro de Mando V6..xlsx]Plan de Accion 2018'!#REF!,J352&lt;&gt;¨N/A¨))</xm:f>
            <x14:dxf>
              <fill>
                <patternFill>
                  <bgColor theme="1" tint="0.499984740745262"/>
                </patternFill>
              </fill>
            </x14:dxf>
          </x14:cfRule>
          <x14:cfRule type="expression" priority="2441" stopIfTrue="1" id="{887E1487-EF02-4A16-8983-FA7F1012523A}">
            <xm:f>AND(IF(J352='F:\Users\norela.briceno\Documents\Plan de acción\Plan Accion 2018\[Plan Accion Integrado ADRES Vigencia 2018 con Cuadro de Mando V6..xlsx]Plan de Accion 2018'!#REF!,J352&lt;&gt;"N/A"))</xm:f>
            <x14:dxf>
              <fill>
                <patternFill>
                  <bgColor rgb="FF00B050"/>
                </patternFill>
              </fill>
            </x14:dxf>
          </x14:cfRule>
          <x14:cfRule type="expression" priority="2442" stopIfTrue="1" id="{556A4987-359E-433C-97B7-363D84E30291}">
            <xm:f>AND(IF(J352&lt;'F:\Users\norela.briceno\Documents\Plan de acción\Plan Accion 2018\[Plan Accion Integrado ADRES Vigencia 2018 con Cuadro de Mando V6..xlsx]Plan de Accion 2018'!#REF!,J352&lt;&gt;"N/A"))</xm:f>
            <x14:dxf>
              <fill>
                <patternFill>
                  <bgColor indexed="10"/>
                </patternFill>
              </fill>
            </x14:dxf>
          </x14:cfRule>
          <xm:sqref>J352</xm:sqref>
        </x14:conditionalFormatting>
        <x14:conditionalFormatting xmlns:xm="http://schemas.microsoft.com/office/excel/2006/main">
          <x14:cfRule type="expression" priority="2437" id="{496FAE81-DC68-47EE-9658-8F9E70BC3B95}">
            <xm:f>AND(IF(Q352&gt;'F:\Users\norela.briceno\Documents\Plan de acción\Plan Accion 2018\[Plan Accion Integrado ADRES Vigencia 2018 con Cuadro de Mando V6..xlsx]Plan de Accion 2018'!#REF!,Q352&lt;&gt;¨N/A¨))</xm:f>
            <x14:dxf>
              <fill>
                <patternFill>
                  <bgColor theme="1" tint="0.499984740745262"/>
                </patternFill>
              </fill>
            </x14:dxf>
          </x14:cfRule>
          <x14:cfRule type="expression" priority="2438" stopIfTrue="1" id="{1ECDFB26-5B87-4A7B-87F0-3E7CDEE3B698}">
            <xm:f>AND(IF(Q352='F:\Users\norela.briceno\Documents\Plan de acción\Plan Accion 2018\[Plan Accion Integrado ADRES Vigencia 2018 con Cuadro de Mando V6..xlsx]Plan de Accion 2018'!#REF!,Q352&lt;&gt;"N/A"))</xm:f>
            <x14:dxf>
              <fill>
                <patternFill>
                  <bgColor rgb="FF00B050"/>
                </patternFill>
              </fill>
            </x14:dxf>
          </x14:cfRule>
          <x14:cfRule type="expression" priority="2439" stopIfTrue="1" id="{1E7C88D9-1189-409F-8990-CA8F14E7339A}">
            <xm:f>AND(IF(Q352&lt;'F:\Users\norela.briceno\Documents\Plan de acción\Plan Accion 2018\[Plan Accion Integrado ADRES Vigencia 2018 con Cuadro de Mando V6..xlsx]Plan de Accion 2018'!#REF!,Q352&lt;&gt;"N/A"))</xm:f>
            <x14:dxf>
              <fill>
                <patternFill>
                  <bgColor indexed="10"/>
                </patternFill>
              </fill>
            </x14:dxf>
          </x14:cfRule>
          <xm:sqref>Q352</xm:sqref>
        </x14:conditionalFormatting>
        <x14:conditionalFormatting xmlns:xm="http://schemas.microsoft.com/office/excel/2006/main">
          <x14:cfRule type="expression" priority="2434" id="{40A9D0E4-BFC4-4665-951C-00D902A5F1B3}">
            <xm:f>AND(IF(X352&gt;'F:\Users\norela.briceno\Documents\Plan de acción\Plan Accion 2018\[Plan Accion Integrado ADRES Vigencia 2018 con Cuadro de Mando V6..xlsx]Plan de Accion 2018'!#REF!,X352&lt;&gt;¨N/A¨))</xm:f>
            <x14:dxf>
              <fill>
                <patternFill>
                  <bgColor theme="1" tint="0.499984740745262"/>
                </patternFill>
              </fill>
            </x14:dxf>
          </x14:cfRule>
          <x14:cfRule type="expression" priority="2435" stopIfTrue="1" id="{0E6877D6-D240-4912-825B-6AEFCA22F22D}">
            <xm:f>AND(IF(X352='F:\Users\norela.briceno\Documents\Plan de acción\Plan Accion 2018\[Plan Accion Integrado ADRES Vigencia 2018 con Cuadro de Mando V6..xlsx]Plan de Accion 2018'!#REF!,X352&lt;&gt;"N/A"))</xm:f>
            <x14:dxf>
              <fill>
                <patternFill>
                  <bgColor rgb="FF00B050"/>
                </patternFill>
              </fill>
            </x14:dxf>
          </x14:cfRule>
          <x14:cfRule type="expression" priority="2436" stopIfTrue="1" id="{CBEACE43-FAAC-45CB-98AC-A831C43938AA}">
            <xm:f>AND(IF(X352&lt;'F:\Users\norela.briceno\Documents\Plan de acción\Plan Accion 2018\[Plan Accion Integrado ADRES Vigencia 2018 con Cuadro de Mando V6..xlsx]Plan de Accion 2018'!#REF!,X352&lt;&gt;"N/A"))</xm:f>
            <x14:dxf>
              <fill>
                <patternFill>
                  <bgColor indexed="10"/>
                </patternFill>
              </fill>
            </x14:dxf>
          </x14:cfRule>
          <xm:sqref>X352</xm:sqref>
        </x14:conditionalFormatting>
        <x14:conditionalFormatting xmlns:xm="http://schemas.microsoft.com/office/excel/2006/main">
          <x14:cfRule type="expression" priority="2431" id="{945D6640-1410-40C4-9D1B-F9E3BE33BB1D}">
            <xm:f>AND(IF(AE352&gt;'F:\Users\norela.briceno\Documents\Plan de acción\Plan Accion 2018\[Plan Accion Integrado ADRES Vigencia 2018 con Cuadro de Mando V6..xlsx]Plan de Accion 2018'!#REF!,AE352&lt;&gt;¨N/A¨))</xm:f>
            <x14:dxf>
              <fill>
                <patternFill>
                  <bgColor theme="1" tint="0.499984740745262"/>
                </patternFill>
              </fill>
            </x14:dxf>
          </x14:cfRule>
          <x14:cfRule type="expression" priority="2432" stopIfTrue="1" id="{65DBE290-6133-4FA2-8AB5-74E4942BAC84}">
            <xm:f>AND(IF(AE352='F:\Users\norela.briceno\Documents\Plan de acción\Plan Accion 2018\[Plan Accion Integrado ADRES Vigencia 2018 con Cuadro de Mando V6..xlsx]Plan de Accion 2018'!#REF!,AE352&lt;&gt;"N/A"))</xm:f>
            <x14:dxf>
              <fill>
                <patternFill>
                  <bgColor rgb="FF00B050"/>
                </patternFill>
              </fill>
            </x14:dxf>
          </x14:cfRule>
          <x14:cfRule type="expression" priority="2433" stopIfTrue="1" id="{BA00C218-6E0A-4F51-80B0-973F5AC7BC79}">
            <xm:f>AND(IF(AE352&lt;'F:\Users\norela.briceno\Documents\Plan de acción\Plan Accion 2018\[Plan Accion Integrado ADRES Vigencia 2018 con Cuadro de Mando V6..xlsx]Plan de Accion 2018'!#REF!,AE352&lt;&gt;"N/A"))</xm:f>
            <x14:dxf>
              <fill>
                <patternFill>
                  <bgColor indexed="10"/>
                </patternFill>
              </fill>
            </x14:dxf>
          </x14:cfRule>
          <xm:sqref>AE352</xm:sqref>
        </x14:conditionalFormatting>
        <x14:conditionalFormatting xmlns:xm="http://schemas.microsoft.com/office/excel/2006/main">
          <x14:cfRule type="expression" priority="2378" id="{2D2BA442-D9BD-4EC1-9E5A-0E09BC42FFCC}">
            <xm:f>AND(IF(J304&gt;'F:\Users\norela.briceno\Documents\Plan de acción\Plan Accion 2018\[Plan Accion Integrado ADRES Vigencia 2018 con Cuadro de Mando V6..xlsx]Plan de Accion 2018'!#REF!,J304&lt;&gt;¨N/A¨))</xm:f>
            <x14:dxf>
              <fill>
                <patternFill>
                  <bgColor theme="1" tint="0.499984740745262"/>
                </patternFill>
              </fill>
            </x14:dxf>
          </x14:cfRule>
          <x14:cfRule type="expression" priority="2379" stopIfTrue="1" id="{1ECF91F8-55D9-4209-95E5-6E6D91BAC30D}">
            <xm:f>AND(IF(J304='F:\Users\norela.briceno\Documents\Plan de acción\Plan Accion 2018\[Plan Accion Integrado ADRES Vigencia 2018 con Cuadro de Mando V6..xlsx]Plan de Accion 2018'!#REF!,J304&lt;&gt;"N/A"))</xm:f>
            <x14:dxf>
              <fill>
                <patternFill>
                  <bgColor rgb="FF00B050"/>
                </patternFill>
              </fill>
            </x14:dxf>
          </x14:cfRule>
          <x14:cfRule type="expression" priority="2380" stopIfTrue="1" id="{22DA0E9A-5E6A-4C4C-ACBE-01C1E095FA5D}">
            <xm:f>AND(IF(J304&lt;'F:\Users\norela.briceno\Documents\Plan de acción\Plan Accion 2018\[Plan Accion Integrado ADRES Vigencia 2018 con Cuadro de Mando V6..xlsx]Plan de Accion 2018'!#REF!,J304&lt;&gt;"N/A"))</xm:f>
            <x14:dxf>
              <fill>
                <patternFill>
                  <bgColor indexed="10"/>
                </patternFill>
              </fill>
            </x14:dxf>
          </x14:cfRule>
          <xm:sqref>J304 Q304 X304 AE304</xm:sqref>
        </x14:conditionalFormatting>
        <x14:conditionalFormatting xmlns:xm="http://schemas.microsoft.com/office/excel/2006/main">
          <x14:cfRule type="expression" priority="2285" id="{AE1F9C77-FDD5-4CD4-AEE0-C7F00EFFAA1C}">
            <xm:f>AND(IF(J134&gt;'F:\Users\norela.briceno\Documents\Plan de acción\Plan Accion 2018\[Plan Accion Integrado ADRES Vigencia 2018 con Cuadro de Mando V6..xlsx]Plan de Accion 2018'!#REF!,J134&lt;&gt;¨N/A¨))</xm:f>
            <x14:dxf>
              <fill>
                <patternFill>
                  <bgColor theme="1" tint="0.499984740745262"/>
                </patternFill>
              </fill>
            </x14:dxf>
          </x14:cfRule>
          <x14:cfRule type="expression" priority="2286" stopIfTrue="1" id="{17E93CC0-C63B-4475-98ED-EE079CB4BADF}">
            <xm:f>AND(IF(J134='F:\Users\norela.briceno\Documents\Plan de acción\Plan Accion 2018\[Plan Accion Integrado ADRES Vigencia 2018 con Cuadro de Mando V6..xlsx]Plan de Accion 2018'!#REF!,J134&lt;&gt;"N/A"))</xm:f>
            <x14:dxf>
              <fill>
                <patternFill>
                  <bgColor rgb="FF00B050"/>
                </patternFill>
              </fill>
            </x14:dxf>
          </x14:cfRule>
          <x14:cfRule type="expression" priority="2287" stopIfTrue="1" id="{E8ACF788-C6ED-4EC4-975A-BB7F0928B196}">
            <xm:f>AND(IF(J134&lt;'F:\Users\norela.briceno\Documents\Plan de acción\Plan Accion 2018\[Plan Accion Integrado ADRES Vigencia 2018 con Cuadro de Mando V6..xlsx]Plan de Accion 2018'!#REF!,J134&lt;&gt;"N/A"))</xm:f>
            <x14:dxf>
              <fill>
                <patternFill>
                  <bgColor indexed="10"/>
                </patternFill>
              </fill>
            </x14:dxf>
          </x14:cfRule>
          <xm:sqref>J134:J135</xm:sqref>
        </x14:conditionalFormatting>
        <x14:conditionalFormatting xmlns:xm="http://schemas.microsoft.com/office/excel/2006/main">
          <x14:cfRule type="expression" priority="2282" id="{265BC92A-C283-40E6-B4D8-C460BB7A3FD2}">
            <xm:f>AND(IF(Q134&gt;'F:\Users\norela.briceno\Documents\Plan de acción\Plan Accion 2018\[Plan Accion Integrado ADRES Vigencia 2018 con Cuadro de Mando V6..xlsx]Plan de Accion 2018'!#REF!,Q134&lt;&gt;¨N/A¨))</xm:f>
            <x14:dxf>
              <fill>
                <patternFill>
                  <bgColor theme="1" tint="0.499984740745262"/>
                </patternFill>
              </fill>
            </x14:dxf>
          </x14:cfRule>
          <x14:cfRule type="expression" priority="2283" stopIfTrue="1" id="{206441FC-9BCF-44F0-8352-C5CE2F376672}">
            <xm:f>AND(IF(Q134='F:\Users\norela.briceno\Documents\Plan de acción\Plan Accion 2018\[Plan Accion Integrado ADRES Vigencia 2018 con Cuadro de Mando V6..xlsx]Plan de Accion 2018'!#REF!,Q134&lt;&gt;"N/A"))</xm:f>
            <x14:dxf>
              <fill>
                <patternFill>
                  <bgColor rgb="FF00B050"/>
                </patternFill>
              </fill>
            </x14:dxf>
          </x14:cfRule>
          <x14:cfRule type="expression" priority="2284" stopIfTrue="1" id="{AE04547A-1923-434C-BBDD-D8F79E2BB5E7}">
            <xm:f>AND(IF(Q134&lt;'F:\Users\norela.briceno\Documents\Plan de acción\Plan Accion 2018\[Plan Accion Integrado ADRES Vigencia 2018 con Cuadro de Mando V6..xlsx]Plan de Accion 2018'!#REF!,Q134&lt;&gt;"N/A"))</xm:f>
            <x14:dxf>
              <fill>
                <patternFill>
                  <bgColor indexed="10"/>
                </patternFill>
              </fill>
            </x14:dxf>
          </x14:cfRule>
          <xm:sqref>Q134:Q135</xm:sqref>
        </x14:conditionalFormatting>
        <x14:conditionalFormatting xmlns:xm="http://schemas.microsoft.com/office/excel/2006/main">
          <x14:cfRule type="expression" priority="2279" id="{5BCB1227-C4B9-479E-9B52-C4590E4AA0AC}">
            <xm:f>AND(IF(X134&gt;'F:\Users\norela.briceno\Documents\Plan de acción\Plan Accion 2018\[Plan Accion Integrado ADRES Vigencia 2018 con Cuadro de Mando V6..xlsx]Plan de Accion 2018'!#REF!,X134&lt;&gt;¨N/A¨))</xm:f>
            <x14:dxf>
              <fill>
                <patternFill>
                  <bgColor theme="1" tint="0.499984740745262"/>
                </patternFill>
              </fill>
            </x14:dxf>
          </x14:cfRule>
          <x14:cfRule type="expression" priority="2280" stopIfTrue="1" id="{FBE3E364-ACD4-4E50-9751-EF9BD8A8E1B5}">
            <xm:f>AND(IF(X134='F:\Users\norela.briceno\Documents\Plan de acción\Plan Accion 2018\[Plan Accion Integrado ADRES Vigencia 2018 con Cuadro de Mando V6..xlsx]Plan de Accion 2018'!#REF!,X134&lt;&gt;"N/A"))</xm:f>
            <x14:dxf>
              <fill>
                <patternFill>
                  <bgColor rgb="FF00B050"/>
                </patternFill>
              </fill>
            </x14:dxf>
          </x14:cfRule>
          <x14:cfRule type="expression" priority="2281" stopIfTrue="1" id="{6D28D3E5-F49D-455D-A53F-729B8A456766}">
            <xm:f>AND(IF(X134&lt;'F:\Users\norela.briceno\Documents\Plan de acción\Plan Accion 2018\[Plan Accion Integrado ADRES Vigencia 2018 con Cuadro de Mando V6..xlsx]Plan de Accion 2018'!#REF!,X134&lt;&gt;"N/A"))</xm:f>
            <x14:dxf>
              <fill>
                <patternFill>
                  <bgColor indexed="10"/>
                </patternFill>
              </fill>
            </x14:dxf>
          </x14:cfRule>
          <xm:sqref>X134:X135</xm:sqref>
        </x14:conditionalFormatting>
        <x14:conditionalFormatting xmlns:xm="http://schemas.microsoft.com/office/excel/2006/main">
          <x14:cfRule type="expression" priority="2276" id="{F548B498-61D9-4342-9F2A-A7561A5147C4}">
            <xm:f>AND(IF(AE134&gt;'F:\Users\norela.briceno\Documents\Plan de acción\Plan Accion 2018\[Plan Accion Integrado ADRES Vigencia 2018 con Cuadro de Mando V6..xlsx]Plan de Accion 2018'!#REF!,AE134&lt;&gt;¨N/A¨))</xm:f>
            <x14:dxf>
              <fill>
                <patternFill>
                  <bgColor theme="1" tint="0.499984740745262"/>
                </patternFill>
              </fill>
            </x14:dxf>
          </x14:cfRule>
          <x14:cfRule type="expression" priority="2277" stopIfTrue="1" id="{F0ADC9ED-35A6-4F82-BCF6-0A24EEA1B016}">
            <xm:f>AND(IF(AE134='F:\Users\norela.briceno\Documents\Plan de acción\Plan Accion 2018\[Plan Accion Integrado ADRES Vigencia 2018 con Cuadro de Mando V6..xlsx]Plan de Accion 2018'!#REF!,AE134&lt;&gt;"N/A"))</xm:f>
            <x14:dxf>
              <fill>
                <patternFill>
                  <bgColor rgb="FF00B050"/>
                </patternFill>
              </fill>
            </x14:dxf>
          </x14:cfRule>
          <x14:cfRule type="expression" priority="2278" stopIfTrue="1" id="{4C351E4E-C535-4BA7-9B0B-D8A4AFBCE771}">
            <xm:f>AND(IF(AE134&lt;'F:\Users\norela.briceno\Documents\Plan de acción\Plan Accion 2018\[Plan Accion Integrado ADRES Vigencia 2018 con Cuadro de Mando V6..xlsx]Plan de Accion 2018'!#REF!,AE134&lt;&gt;"N/A"))</xm:f>
            <x14:dxf>
              <fill>
                <patternFill>
                  <bgColor indexed="10"/>
                </patternFill>
              </fill>
            </x14:dxf>
          </x14:cfRule>
          <xm:sqref>AE134:AE135</xm:sqref>
        </x14:conditionalFormatting>
        <x14:conditionalFormatting xmlns:xm="http://schemas.microsoft.com/office/excel/2006/main">
          <x14:cfRule type="expression" priority="2213" id="{A38C7D23-21FC-42E3-BC13-086FE5CBBC30}">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2214" stopIfTrue="1" id="{60514FF1-EF50-4ED1-8FED-1CA16ABF0811}">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2215" stopIfTrue="1" id="{A1EB86BE-0A91-4172-A07D-EE2E8A7AAE8B}">
            <xm:f>AND(IF(J55&lt;'F:\Users\norela.briceno\Documents\Plan de acción\Plan Accion 2018\[Plan Accion Integrado ADRES Vigencia 2018 con Cuadro de Mando V6..xlsx]Plan de Accion 2018'!#REF!,J55&lt;&gt;"N/A"))</xm:f>
            <x14:dxf>
              <fill>
                <patternFill>
                  <bgColor indexed="10"/>
                </patternFill>
              </fill>
            </x14:dxf>
          </x14:cfRule>
          <xm:sqref>J55 Q55</xm:sqref>
        </x14:conditionalFormatting>
        <x14:conditionalFormatting xmlns:xm="http://schemas.microsoft.com/office/excel/2006/main">
          <x14:cfRule type="expression" priority="2210" id="{282FF075-EDD1-46E0-B570-ED29AE1B9C31}">
            <xm:f>AND(IF(J55&gt;'F:\Users\norela.briceno\Documents\Plan de acción\Plan Accion 2018\[Plan Accion Integrado ADRES Vigencia 2018 con Cuadro de Mando V6..xlsx]Plan de Accion 2018'!#REF!,J55&lt;&gt;¨N/A¨))</xm:f>
            <x14:dxf>
              <fill>
                <patternFill>
                  <bgColor theme="1" tint="0.499984740745262"/>
                </patternFill>
              </fill>
            </x14:dxf>
          </x14:cfRule>
          <x14:cfRule type="expression" priority="2211" stopIfTrue="1" id="{4A25C859-9FB5-4496-AB92-413FD3BAE319}">
            <xm:f>AND(IF(J55='F:\Users\norela.briceno\Documents\Plan de acción\Plan Accion 2018\[Plan Accion Integrado ADRES Vigencia 2018 con Cuadro de Mando V6..xlsx]Plan de Accion 2018'!#REF!,J55&lt;&gt;"N/A"))</xm:f>
            <x14:dxf>
              <fill>
                <patternFill>
                  <bgColor rgb="FF00B050"/>
                </patternFill>
              </fill>
            </x14:dxf>
          </x14:cfRule>
          <x14:cfRule type="expression" priority="2212" stopIfTrue="1" id="{62A58126-ABA9-42D4-B7F5-4DF12232ABDA}">
            <xm:f>AND(IF(J55&lt;'F:\Users\norela.briceno\Documents\Plan de acción\Plan Accion 2018\[Plan Accion Integrado ADRES Vigencia 2018 con Cuadro de Mando V6..xlsx]Plan de Accion 2018'!#REF!,J55&lt;&gt;"N/A"))</xm:f>
            <x14:dxf>
              <fill>
                <patternFill>
                  <bgColor indexed="10"/>
                </patternFill>
              </fill>
            </x14:dxf>
          </x14:cfRule>
          <xm:sqref>J55</xm:sqref>
        </x14:conditionalFormatting>
        <x14:conditionalFormatting xmlns:xm="http://schemas.microsoft.com/office/excel/2006/main">
          <x14:cfRule type="expression" priority="2207" id="{FE19A034-C138-4048-9FA9-5F60383D2D1D}">
            <xm:f>AND(IF(Q55&gt;'F:\Users\norela.briceno\Documents\Plan de acción\Plan Accion 2018\[Plan Accion Integrado ADRES Vigencia 2018 con Cuadro de Mando V6..xlsx]Plan de Accion 2018'!#REF!,Q55&lt;&gt;¨N/A¨))</xm:f>
            <x14:dxf>
              <fill>
                <patternFill>
                  <bgColor theme="1" tint="0.499984740745262"/>
                </patternFill>
              </fill>
            </x14:dxf>
          </x14:cfRule>
          <x14:cfRule type="expression" priority="2208" stopIfTrue="1" id="{CB6987C7-17C8-4852-A63A-88CB043BC1FC}">
            <xm:f>AND(IF(Q55='F:\Users\norela.briceno\Documents\Plan de acción\Plan Accion 2018\[Plan Accion Integrado ADRES Vigencia 2018 con Cuadro de Mando V6..xlsx]Plan de Accion 2018'!#REF!,Q55&lt;&gt;"N/A"))</xm:f>
            <x14:dxf>
              <fill>
                <patternFill>
                  <bgColor rgb="FF00B050"/>
                </patternFill>
              </fill>
            </x14:dxf>
          </x14:cfRule>
          <x14:cfRule type="expression" priority="2209" stopIfTrue="1" id="{58CBED7D-96CA-4FDC-8BDC-9025C936CB25}">
            <xm:f>AND(IF(Q55&lt;'F:\Users\norela.briceno\Documents\Plan de acción\Plan Accion 2018\[Plan Accion Integrado ADRES Vigencia 2018 con Cuadro de Mando V6..xlsx]Plan de Accion 2018'!#REF!,Q55&lt;&gt;"N/A"))</xm:f>
            <x14:dxf>
              <fill>
                <patternFill>
                  <bgColor indexed="10"/>
                </patternFill>
              </fill>
            </x14:dxf>
          </x14:cfRule>
          <xm:sqref>Q55</xm:sqref>
        </x14:conditionalFormatting>
        <x14:conditionalFormatting xmlns:xm="http://schemas.microsoft.com/office/excel/2006/main">
          <x14:cfRule type="expression" priority="2093" id="{840DBA37-6C30-481D-AFAD-9667498F2D26}">
            <xm:f>AND(IF(J232&gt;'F:\Users\norela.briceno\Documents\Plan de acción\Plan Accion 2018\[Plan Accion Integrado ADRES Vigencia 2018 con Cuadro de Mando V6..xlsx]Plan de Accion 2018'!#REF!,J232&lt;&gt;¨N/A¨))</xm:f>
            <x14:dxf>
              <fill>
                <patternFill>
                  <bgColor theme="1" tint="0.499984740745262"/>
                </patternFill>
              </fill>
            </x14:dxf>
          </x14:cfRule>
          <x14:cfRule type="expression" priority="2094" stopIfTrue="1" id="{3AE5F2D1-523F-4169-B6A4-4506FAB45EA8}">
            <xm:f>AND(IF(J232='F:\Users\norela.briceno\Documents\Plan de acción\Plan Accion 2018\[Plan Accion Integrado ADRES Vigencia 2018 con Cuadro de Mando V6..xlsx]Plan de Accion 2018'!#REF!,J232&lt;&gt;"N/A"))</xm:f>
            <x14:dxf>
              <fill>
                <patternFill>
                  <bgColor rgb="FF00B050"/>
                </patternFill>
              </fill>
            </x14:dxf>
          </x14:cfRule>
          <x14:cfRule type="expression" priority="2095" stopIfTrue="1" id="{E9A91ACA-4811-432E-9B21-ADC017D46330}">
            <xm:f>AND(IF(J232&lt;'F:\Users\norela.briceno\Documents\Plan de acción\Plan Accion 2018\[Plan Accion Integrado ADRES Vigencia 2018 con Cuadro de Mando V6..xlsx]Plan de Accion 2018'!#REF!,J232&lt;&gt;"N/A"))</xm:f>
            <x14:dxf>
              <fill>
                <patternFill>
                  <bgColor indexed="10"/>
                </patternFill>
              </fill>
            </x14:dxf>
          </x14:cfRule>
          <xm:sqref>J232</xm:sqref>
        </x14:conditionalFormatting>
        <x14:conditionalFormatting xmlns:xm="http://schemas.microsoft.com/office/excel/2006/main">
          <x14:cfRule type="expression" priority="2090" id="{5EBA3657-85BA-4745-9B5D-0388C0E51572}">
            <xm:f>AND(IF(Q232&gt;'F:\Users\norela.briceno\Documents\Plan de acción\Plan Accion 2018\[Plan Accion Integrado ADRES Vigencia 2018 con Cuadro de Mando V6..xlsx]Plan de Accion 2018'!#REF!,Q232&lt;&gt;¨N/A¨))</xm:f>
            <x14:dxf>
              <fill>
                <patternFill>
                  <bgColor theme="1" tint="0.499984740745262"/>
                </patternFill>
              </fill>
            </x14:dxf>
          </x14:cfRule>
          <x14:cfRule type="expression" priority="2091" stopIfTrue="1" id="{D3226073-BD3D-4524-B39F-FF585E3619FB}">
            <xm:f>AND(IF(Q232='F:\Users\norela.briceno\Documents\Plan de acción\Plan Accion 2018\[Plan Accion Integrado ADRES Vigencia 2018 con Cuadro de Mando V6..xlsx]Plan de Accion 2018'!#REF!,Q232&lt;&gt;"N/A"))</xm:f>
            <x14:dxf>
              <fill>
                <patternFill>
                  <bgColor rgb="FF00B050"/>
                </patternFill>
              </fill>
            </x14:dxf>
          </x14:cfRule>
          <x14:cfRule type="expression" priority="2092" stopIfTrue="1" id="{044304B6-CAC2-4A07-B9F9-EBF7E37BCC9D}">
            <xm:f>AND(IF(Q232&lt;'F:\Users\norela.briceno\Documents\Plan de acción\Plan Accion 2018\[Plan Accion Integrado ADRES Vigencia 2018 con Cuadro de Mando V6..xlsx]Plan de Accion 2018'!#REF!,Q232&lt;&gt;"N/A"))</xm:f>
            <x14:dxf>
              <fill>
                <patternFill>
                  <bgColor indexed="10"/>
                </patternFill>
              </fill>
            </x14:dxf>
          </x14:cfRule>
          <xm:sqref>Q232</xm:sqref>
        </x14:conditionalFormatting>
        <x14:conditionalFormatting xmlns:xm="http://schemas.microsoft.com/office/excel/2006/main">
          <x14:cfRule type="expression" priority="2087" id="{91ACDC5D-88E6-4F01-ABBD-8E50A71BD3EC}">
            <xm:f>AND(IF(X232&gt;'F:\Users\norela.briceno\Documents\Plan de acción\Plan Accion 2018\[Plan Accion Integrado ADRES Vigencia 2018 con Cuadro de Mando V6..xlsx]Plan de Accion 2018'!#REF!,X232&lt;&gt;¨N/A¨))</xm:f>
            <x14:dxf>
              <fill>
                <patternFill>
                  <bgColor theme="1" tint="0.499984740745262"/>
                </patternFill>
              </fill>
            </x14:dxf>
          </x14:cfRule>
          <x14:cfRule type="expression" priority="2088" stopIfTrue="1" id="{365CB766-BB38-4E41-A973-6CD8C428F64F}">
            <xm:f>AND(IF(X232='F:\Users\norela.briceno\Documents\Plan de acción\Plan Accion 2018\[Plan Accion Integrado ADRES Vigencia 2018 con Cuadro de Mando V6..xlsx]Plan de Accion 2018'!#REF!,X232&lt;&gt;"N/A"))</xm:f>
            <x14:dxf>
              <fill>
                <patternFill>
                  <bgColor rgb="FF00B050"/>
                </patternFill>
              </fill>
            </x14:dxf>
          </x14:cfRule>
          <x14:cfRule type="expression" priority="2089" stopIfTrue="1" id="{FA27FC7D-C3E2-4178-A0BF-E721B50E9935}">
            <xm:f>AND(IF(X232&lt;'F:\Users\norela.briceno\Documents\Plan de acción\Plan Accion 2018\[Plan Accion Integrado ADRES Vigencia 2018 con Cuadro de Mando V6..xlsx]Plan de Accion 2018'!#REF!,X232&lt;&gt;"N/A"))</xm:f>
            <x14:dxf>
              <fill>
                <patternFill>
                  <bgColor indexed="10"/>
                </patternFill>
              </fill>
            </x14:dxf>
          </x14:cfRule>
          <xm:sqref>X232</xm:sqref>
        </x14:conditionalFormatting>
        <x14:conditionalFormatting xmlns:xm="http://schemas.microsoft.com/office/excel/2006/main">
          <x14:cfRule type="expression" priority="2084" id="{5DD083DE-44C4-4C9B-9580-88E77B557D8D}">
            <xm:f>AND(IF(AE232&gt;'F:\Users\norela.briceno\Documents\Plan de acción\Plan Accion 2018\[Plan Accion Integrado ADRES Vigencia 2018 con Cuadro de Mando V6..xlsx]Plan de Accion 2018'!#REF!,AE232&lt;&gt;¨N/A¨))</xm:f>
            <x14:dxf>
              <fill>
                <patternFill>
                  <bgColor theme="1" tint="0.499984740745262"/>
                </patternFill>
              </fill>
            </x14:dxf>
          </x14:cfRule>
          <x14:cfRule type="expression" priority="2085" stopIfTrue="1" id="{2F00E5EC-DE5D-477A-BCF0-387F0253BD0E}">
            <xm:f>AND(IF(AE232='F:\Users\norela.briceno\Documents\Plan de acción\Plan Accion 2018\[Plan Accion Integrado ADRES Vigencia 2018 con Cuadro de Mando V6..xlsx]Plan de Accion 2018'!#REF!,AE232&lt;&gt;"N/A"))</xm:f>
            <x14:dxf>
              <fill>
                <patternFill>
                  <bgColor rgb="FF00B050"/>
                </patternFill>
              </fill>
            </x14:dxf>
          </x14:cfRule>
          <x14:cfRule type="expression" priority="2086" stopIfTrue="1" id="{584F9515-EB8A-4E80-BCE2-CA9422D3C242}">
            <xm:f>AND(IF(AE232&lt;'F:\Users\norela.briceno\Documents\Plan de acción\Plan Accion 2018\[Plan Accion Integrado ADRES Vigencia 2018 con Cuadro de Mando V6..xlsx]Plan de Accion 2018'!#REF!,AE232&lt;&gt;"N/A"))</xm:f>
            <x14:dxf>
              <fill>
                <patternFill>
                  <bgColor indexed="10"/>
                </patternFill>
              </fill>
            </x14:dxf>
          </x14:cfRule>
          <xm:sqref>AE232</xm:sqref>
        </x14:conditionalFormatting>
        <x14:conditionalFormatting xmlns:xm="http://schemas.microsoft.com/office/excel/2006/main">
          <x14:cfRule type="expression" priority="2041" id="{5AE349D5-8FEF-4E8F-9DD6-BB8BF0673F69}">
            <xm:f>AND(IF(X55&gt;'F:\Users\norela.briceno\Documents\Plan de acción\Plan Accion 2018\[Plan Accion Integrado ADRES Vigencia 2018 con Cuadro de Mando V6..xlsx]Plan de Accion 2018'!#REF!,X55&lt;&gt;¨N/A¨))</xm:f>
            <x14:dxf>
              <fill>
                <patternFill>
                  <bgColor theme="1" tint="0.499984740745262"/>
                </patternFill>
              </fill>
            </x14:dxf>
          </x14:cfRule>
          <x14:cfRule type="expression" priority="2042" stopIfTrue="1" id="{B3013F19-0546-4CA9-A7B4-E4C9CA48B0D2}">
            <xm:f>AND(IF(X55='F:\Users\norela.briceno\Documents\Plan de acción\Plan Accion 2018\[Plan Accion Integrado ADRES Vigencia 2018 con Cuadro de Mando V6..xlsx]Plan de Accion 2018'!#REF!,X55&lt;&gt;"N/A"))</xm:f>
            <x14:dxf>
              <fill>
                <patternFill>
                  <bgColor rgb="FF00B050"/>
                </patternFill>
              </fill>
            </x14:dxf>
          </x14:cfRule>
          <x14:cfRule type="expression" priority="2043" stopIfTrue="1" id="{8D0BFDD9-1EEA-4DC1-986F-57478431DF91}">
            <xm:f>AND(IF(X55&lt;'F:\Users\norela.briceno\Documents\Plan de acción\Plan Accion 2018\[Plan Accion Integrado ADRES Vigencia 2018 con Cuadro de Mando V6..xlsx]Plan de Accion 2018'!#REF!,X55&lt;&gt;"N/A"))</xm:f>
            <x14:dxf>
              <fill>
                <patternFill>
                  <bgColor indexed="10"/>
                </patternFill>
              </fill>
            </x14:dxf>
          </x14:cfRule>
          <xm:sqref>X55 AE55</xm:sqref>
        </x14:conditionalFormatting>
        <x14:conditionalFormatting xmlns:xm="http://schemas.microsoft.com/office/excel/2006/main">
          <x14:cfRule type="expression" priority="1873" id="{800322B1-2AD2-403B-9472-11850BD5FBF6}">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874" stopIfTrue="1" id="{78A372DF-952F-476D-B559-EEAADCE3A314}">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875" stopIfTrue="1" id="{C8EADEC5-05C8-4916-9E51-9B9ABB4BFD53}">
            <xm:f>AND(IF(J64&lt;'F:\Users\norela.briceno\Documents\Plan de acción\Plan Accion 2018\[Plan Accion Integrado ADRES Vigencia 2018 con Cuadro de Mando V6..xlsx]Plan de Accion 2018'!#REF!,J64&lt;&gt;"N/A"))</xm:f>
            <x14:dxf>
              <fill>
                <patternFill>
                  <bgColor indexed="10"/>
                </patternFill>
              </fill>
            </x14:dxf>
          </x14:cfRule>
          <xm:sqref>J64 Q64 AE64 X64</xm:sqref>
        </x14:conditionalFormatting>
        <x14:conditionalFormatting xmlns:xm="http://schemas.microsoft.com/office/excel/2006/main">
          <x14:cfRule type="expression" priority="1870" id="{E636E4D7-21B8-43F0-B960-0A0AA27C0DF5}">
            <xm:f>AND(IF(J64&gt;'F:\Users\norela.briceno\Documents\Plan de acción\Plan Accion 2018\[Plan Accion Integrado ADRES Vigencia 2018 con Cuadro de Mando V6..xlsx]Plan de Accion 2018'!#REF!,J64&lt;&gt;¨N/A¨))</xm:f>
            <x14:dxf>
              <fill>
                <patternFill>
                  <bgColor theme="1" tint="0.499984740745262"/>
                </patternFill>
              </fill>
            </x14:dxf>
          </x14:cfRule>
          <x14:cfRule type="expression" priority="1871" stopIfTrue="1" id="{0C0DFA1A-940F-41AB-9558-51A30EEED6C0}">
            <xm:f>AND(IF(J64='F:\Users\norela.briceno\Documents\Plan de acción\Plan Accion 2018\[Plan Accion Integrado ADRES Vigencia 2018 con Cuadro de Mando V6..xlsx]Plan de Accion 2018'!#REF!,J64&lt;&gt;"N/A"))</xm:f>
            <x14:dxf>
              <fill>
                <patternFill>
                  <bgColor rgb="FF00B050"/>
                </patternFill>
              </fill>
            </x14:dxf>
          </x14:cfRule>
          <x14:cfRule type="expression" priority="1872" stopIfTrue="1" id="{A6CD7433-7773-4432-B6CD-93EE0E66B248}">
            <xm:f>AND(IF(J64&lt;'F:\Users\norela.briceno\Documents\Plan de acción\Plan Accion 2018\[Plan Accion Integrado ADRES Vigencia 2018 con Cuadro de Mando V6..xlsx]Plan de Accion 2018'!#REF!,J64&lt;&gt;"N/A"))</xm:f>
            <x14:dxf>
              <fill>
                <patternFill>
                  <bgColor indexed="10"/>
                </patternFill>
              </fill>
            </x14:dxf>
          </x14:cfRule>
          <xm:sqref>J64</xm:sqref>
        </x14:conditionalFormatting>
        <x14:conditionalFormatting xmlns:xm="http://schemas.microsoft.com/office/excel/2006/main">
          <x14:cfRule type="expression" priority="1867" id="{D67DF87B-ECC3-4B5B-B3AC-0AE9B0671B63}">
            <xm:f>AND(IF(Q64&gt;'F:\Users\norela.briceno\Documents\Plan de acción\Plan Accion 2018\[Plan Accion Integrado ADRES Vigencia 2018 con Cuadro de Mando V6..xlsx]Plan de Accion 2018'!#REF!,Q64&lt;&gt;¨N/A¨))</xm:f>
            <x14:dxf>
              <fill>
                <patternFill>
                  <bgColor theme="1" tint="0.499984740745262"/>
                </patternFill>
              </fill>
            </x14:dxf>
          </x14:cfRule>
          <x14:cfRule type="expression" priority="1868" stopIfTrue="1" id="{0FC75A90-A530-4F09-A6E6-79FDA55EAE93}">
            <xm:f>AND(IF(Q64='F:\Users\norela.briceno\Documents\Plan de acción\Plan Accion 2018\[Plan Accion Integrado ADRES Vigencia 2018 con Cuadro de Mando V6..xlsx]Plan de Accion 2018'!#REF!,Q64&lt;&gt;"N/A"))</xm:f>
            <x14:dxf>
              <fill>
                <patternFill>
                  <bgColor rgb="FF00B050"/>
                </patternFill>
              </fill>
            </x14:dxf>
          </x14:cfRule>
          <x14:cfRule type="expression" priority="1869" stopIfTrue="1" id="{BD1DA7A8-29D0-4E88-BC7E-D2E3BCAFAA2C}">
            <xm:f>AND(IF(Q64&lt;'F:\Users\norela.briceno\Documents\Plan de acción\Plan Accion 2018\[Plan Accion Integrado ADRES Vigencia 2018 con Cuadro de Mando V6..xlsx]Plan de Accion 2018'!#REF!,Q64&lt;&gt;"N/A"))</xm:f>
            <x14:dxf>
              <fill>
                <patternFill>
                  <bgColor indexed="10"/>
                </patternFill>
              </fill>
            </x14:dxf>
          </x14:cfRule>
          <xm:sqref>Q64</xm:sqref>
        </x14:conditionalFormatting>
        <x14:conditionalFormatting xmlns:xm="http://schemas.microsoft.com/office/excel/2006/main">
          <x14:cfRule type="expression" priority="1864" id="{A4277784-BEB0-4EAE-B535-80E310D8344C}">
            <xm:f>AND(IF(X64&gt;'F:\Users\norela.briceno\Documents\Plan de acción\Plan Accion 2018\[Plan Accion Integrado ADRES Vigencia 2018 con Cuadro de Mando V6..xlsx]Plan de Accion 2018'!#REF!,X64&lt;&gt;¨N/A¨))</xm:f>
            <x14:dxf>
              <fill>
                <patternFill>
                  <bgColor theme="1" tint="0.499984740745262"/>
                </patternFill>
              </fill>
            </x14:dxf>
          </x14:cfRule>
          <x14:cfRule type="expression" priority="1865" stopIfTrue="1" id="{65B84A2D-1BFB-404D-9E53-CBD9711305CA}">
            <xm:f>AND(IF(X64='F:\Users\norela.briceno\Documents\Plan de acción\Plan Accion 2018\[Plan Accion Integrado ADRES Vigencia 2018 con Cuadro de Mando V6..xlsx]Plan de Accion 2018'!#REF!,X64&lt;&gt;"N/A"))</xm:f>
            <x14:dxf>
              <fill>
                <patternFill>
                  <bgColor rgb="FF00B050"/>
                </patternFill>
              </fill>
            </x14:dxf>
          </x14:cfRule>
          <x14:cfRule type="expression" priority="1866" stopIfTrue="1" id="{D279B7CF-0991-414A-B6EC-603E728A2DE8}">
            <xm:f>AND(IF(X64&lt;'F:\Users\norela.briceno\Documents\Plan de acción\Plan Accion 2018\[Plan Accion Integrado ADRES Vigencia 2018 con Cuadro de Mando V6..xlsx]Plan de Accion 2018'!#REF!,X64&lt;&gt;"N/A"))</xm:f>
            <x14:dxf>
              <fill>
                <patternFill>
                  <bgColor indexed="10"/>
                </patternFill>
              </fill>
            </x14:dxf>
          </x14:cfRule>
          <xm:sqref>X64</xm:sqref>
        </x14:conditionalFormatting>
        <x14:conditionalFormatting xmlns:xm="http://schemas.microsoft.com/office/excel/2006/main">
          <x14:cfRule type="expression" priority="1861" id="{2B3A6881-6498-4DF2-9277-9260D273C4C2}">
            <xm:f>AND(IF(AE64&gt;'F:\Users\norela.briceno\Documents\Plan de acción\Plan Accion 2018\[Plan Accion Integrado ADRES Vigencia 2018 con Cuadro de Mando V6..xlsx]Plan de Accion 2018'!#REF!,AE64&lt;&gt;¨N/A¨))</xm:f>
            <x14:dxf>
              <fill>
                <patternFill>
                  <bgColor theme="1" tint="0.499984740745262"/>
                </patternFill>
              </fill>
            </x14:dxf>
          </x14:cfRule>
          <x14:cfRule type="expression" priority="1862" stopIfTrue="1" id="{83307F71-0BCC-4AC9-992A-46E7322E6EA1}">
            <xm:f>AND(IF(AE64='F:\Users\norela.briceno\Documents\Plan de acción\Plan Accion 2018\[Plan Accion Integrado ADRES Vigencia 2018 con Cuadro de Mando V6..xlsx]Plan de Accion 2018'!#REF!,AE64&lt;&gt;"N/A"))</xm:f>
            <x14:dxf>
              <fill>
                <patternFill>
                  <bgColor rgb="FF00B050"/>
                </patternFill>
              </fill>
            </x14:dxf>
          </x14:cfRule>
          <x14:cfRule type="expression" priority="1863" stopIfTrue="1" id="{766BC5E5-86F6-410F-A0C2-0D7FF40ECC8A}">
            <xm:f>AND(IF(AE64&lt;'F:\Users\norela.briceno\Documents\Plan de acción\Plan Accion 2018\[Plan Accion Integrado ADRES Vigencia 2018 con Cuadro de Mando V6..xlsx]Plan de Accion 2018'!#REF!,AE64&lt;&gt;"N/A"))</xm:f>
            <x14:dxf>
              <fill>
                <patternFill>
                  <bgColor indexed="10"/>
                </patternFill>
              </fill>
            </x14:dxf>
          </x14:cfRule>
          <xm:sqref>AE64</xm:sqref>
        </x14:conditionalFormatting>
        <x14:conditionalFormatting xmlns:xm="http://schemas.microsoft.com/office/excel/2006/main">
          <x14:cfRule type="expression" priority="1778" id="{01BD01AB-AB97-401D-AA0C-AF053BFFB0A7}">
            <xm:f>AND(IF(J356&gt;'F:\Users\norela.briceno\Documents\Plan de acción\Plan Accion 2018\[Plan Accion Integrado ADRES Vigencia 2018 con Cuadro de Mando V6..xlsx]Plan de Accion 2018'!#REF!,J356&lt;&gt;¨N/A¨))</xm:f>
            <x14:dxf>
              <fill>
                <patternFill>
                  <bgColor theme="1" tint="0.499984740745262"/>
                </patternFill>
              </fill>
            </x14:dxf>
          </x14:cfRule>
          <x14:cfRule type="expression" priority="1779" stopIfTrue="1" id="{6A760AD4-2DD0-4058-BF25-241124174528}">
            <xm:f>AND(IF(J356='F:\Users\norela.briceno\Documents\Plan de acción\Plan Accion 2018\[Plan Accion Integrado ADRES Vigencia 2018 con Cuadro de Mando V6..xlsx]Plan de Accion 2018'!#REF!,J356&lt;&gt;"N/A"))</xm:f>
            <x14:dxf>
              <fill>
                <patternFill>
                  <bgColor rgb="FF00B050"/>
                </patternFill>
              </fill>
            </x14:dxf>
          </x14:cfRule>
          <x14:cfRule type="expression" priority="1780" stopIfTrue="1" id="{C2120111-F412-4B58-B65E-87E2D2366CDF}">
            <xm:f>AND(IF(J356&lt;'F:\Users\norela.briceno\Documents\Plan de acción\Plan Accion 2018\[Plan Accion Integrado ADRES Vigencia 2018 con Cuadro de Mando V6..xlsx]Plan de Accion 2018'!#REF!,J356&lt;&gt;"N/A"))</xm:f>
            <x14:dxf>
              <fill>
                <patternFill>
                  <bgColor indexed="10"/>
                </patternFill>
              </fill>
            </x14:dxf>
          </x14:cfRule>
          <xm:sqref>J356</xm:sqref>
        </x14:conditionalFormatting>
        <x14:conditionalFormatting xmlns:xm="http://schemas.microsoft.com/office/excel/2006/main">
          <x14:cfRule type="expression" priority="1696" id="{8F0FA9A4-3F1A-4F59-83A7-2A27251A29DB}">
            <xm:f>AND(IF(Q356&gt;'F:\Users\norela.briceno\Documents\Plan de acción\Plan Accion 2018\[Plan Accion Integrado ADRES Vigencia 2018 con Cuadro de Mando V6..xlsx]Plan de Accion 2018'!#REF!,Q356&lt;&gt;¨N/A¨))</xm:f>
            <x14:dxf>
              <fill>
                <patternFill>
                  <bgColor theme="1" tint="0.499984740745262"/>
                </patternFill>
              </fill>
            </x14:dxf>
          </x14:cfRule>
          <x14:cfRule type="expression" priority="1697" stopIfTrue="1" id="{75A286E9-7328-4904-AE66-C29A9860E4C7}">
            <xm:f>AND(IF(Q356='F:\Users\norela.briceno\Documents\Plan de acción\Plan Accion 2018\[Plan Accion Integrado ADRES Vigencia 2018 con Cuadro de Mando V6..xlsx]Plan de Accion 2018'!#REF!,Q356&lt;&gt;"N/A"))</xm:f>
            <x14:dxf>
              <fill>
                <patternFill>
                  <bgColor rgb="FF00B050"/>
                </patternFill>
              </fill>
            </x14:dxf>
          </x14:cfRule>
          <x14:cfRule type="expression" priority="1698" stopIfTrue="1" id="{8F783FC7-FF8F-4306-8812-1354B0B5F547}">
            <xm:f>AND(IF(Q356&lt;'F:\Users\norela.briceno\Documents\Plan de acción\Plan Accion 2018\[Plan Accion Integrado ADRES Vigencia 2018 con Cuadro de Mando V6..xlsx]Plan de Accion 2018'!#REF!,Q356&lt;&gt;"N/A"))</xm:f>
            <x14:dxf>
              <fill>
                <patternFill>
                  <bgColor indexed="10"/>
                </patternFill>
              </fill>
            </x14:dxf>
          </x14:cfRule>
          <xm:sqref>Q356</xm:sqref>
        </x14:conditionalFormatting>
        <x14:conditionalFormatting xmlns:xm="http://schemas.microsoft.com/office/excel/2006/main">
          <x14:cfRule type="expression" priority="1623" id="{6F59AD7B-FA33-4C89-85A4-9001EADFE1F5}">
            <xm:f>AND(IF(X356&gt;'F:\Users\norela.briceno\Documents\Plan de acción\Plan Accion 2018\[Plan Accion Integrado ADRES Vigencia 2018 con Cuadro de Mando V6..xlsx]Plan de Accion 2018'!#REF!,X356&lt;&gt;¨N/A¨))</xm:f>
            <x14:dxf>
              <fill>
                <patternFill>
                  <bgColor theme="1" tint="0.499984740745262"/>
                </patternFill>
              </fill>
            </x14:dxf>
          </x14:cfRule>
          <x14:cfRule type="expression" priority="1624" stopIfTrue="1" id="{2BDA1826-05DC-4BB8-9B4D-4DFC517EB481}">
            <xm:f>AND(IF(X356='F:\Users\norela.briceno\Documents\Plan de acción\Plan Accion 2018\[Plan Accion Integrado ADRES Vigencia 2018 con Cuadro de Mando V6..xlsx]Plan de Accion 2018'!#REF!,X356&lt;&gt;"N/A"))</xm:f>
            <x14:dxf>
              <fill>
                <patternFill>
                  <bgColor rgb="FF00B050"/>
                </patternFill>
              </fill>
            </x14:dxf>
          </x14:cfRule>
          <x14:cfRule type="expression" priority="1625" stopIfTrue="1" id="{059279B0-4702-437A-9CA5-C4BCE7063514}">
            <xm:f>AND(IF(X356&lt;'F:\Users\norela.briceno\Documents\Plan de acción\Plan Accion 2018\[Plan Accion Integrado ADRES Vigencia 2018 con Cuadro de Mando V6..xlsx]Plan de Accion 2018'!#REF!,X356&lt;&gt;"N/A"))</xm:f>
            <x14:dxf>
              <fill>
                <patternFill>
                  <bgColor indexed="10"/>
                </patternFill>
              </fill>
            </x14:dxf>
          </x14:cfRule>
          <xm:sqref>X356</xm:sqref>
        </x14:conditionalFormatting>
        <x14:conditionalFormatting xmlns:xm="http://schemas.microsoft.com/office/excel/2006/main">
          <x14:cfRule type="expression" priority="1620" id="{1EC42934-15EC-4C4B-9178-897B51337A00}">
            <xm:f>AND(IF(AE356&gt;'F:\Users\norela.briceno\Documents\Plan de acción\Plan Accion 2018\[Plan Accion Integrado ADRES Vigencia 2018 con Cuadro de Mando V6..xlsx]Plan de Accion 2018'!#REF!,AE356&lt;&gt;¨N/A¨))</xm:f>
            <x14:dxf>
              <fill>
                <patternFill>
                  <bgColor theme="1" tint="0.499984740745262"/>
                </patternFill>
              </fill>
            </x14:dxf>
          </x14:cfRule>
          <x14:cfRule type="expression" priority="1621" stopIfTrue="1" id="{F29E128A-06C3-4B6B-B1E1-63748059E027}">
            <xm:f>AND(IF(AE356='F:\Users\norela.briceno\Documents\Plan de acción\Plan Accion 2018\[Plan Accion Integrado ADRES Vigencia 2018 con Cuadro de Mando V6..xlsx]Plan de Accion 2018'!#REF!,AE356&lt;&gt;"N/A"))</xm:f>
            <x14:dxf>
              <fill>
                <patternFill>
                  <bgColor rgb="FF00B050"/>
                </patternFill>
              </fill>
            </x14:dxf>
          </x14:cfRule>
          <x14:cfRule type="expression" priority="1622" stopIfTrue="1" id="{89B55203-D037-486A-B1FC-CEF00A8AB4EB}">
            <xm:f>AND(IF(AE356&lt;'F:\Users\norela.briceno\Documents\Plan de acción\Plan Accion 2018\[Plan Accion Integrado ADRES Vigencia 2018 con Cuadro de Mando V6..xlsx]Plan de Accion 2018'!#REF!,AE356&lt;&gt;"N/A"))</xm:f>
            <x14:dxf>
              <fill>
                <patternFill>
                  <bgColor indexed="10"/>
                </patternFill>
              </fill>
            </x14:dxf>
          </x14:cfRule>
          <xm:sqref>AE356</xm:sqref>
        </x14:conditionalFormatting>
        <x14:conditionalFormatting xmlns:xm="http://schemas.microsoft.com/office/excel/2006/main">
          <x14:cfRule type="expression" priority="1452" id="{789CB4A6-2E3F-4AA5-8F0D-EFA726E21279}">
            <xm:f>AND(IF(J286&gt;'F:\Users\norela.briceno\Documents\Plan de acción\Plan Accion 2018\[Plan Accion Integrado ADRES Vigencia 2018 con Cuadro de Mando V6..xlsx]Plan de Accion 2018'!#REF!,J286&lt;&gt;¨N/A¨))</xm:f>
            <x14:dxf>
              <fill>
                <patternFill>
                  <bgColor theme="1" tint="0.499984740745262"/>
                </patternFill>
              </fill>
            </x14:dxf>
          </x14:cfRule>
          <x14:cfRule type="expression" priority="1453" stopIfTrue="1" id="{6F409A15-B6F9-433F-9055-1D7FDFEFF8DB}">
            <xm:f>AND(IF(J286='F:\Users\norela.briceno\Documents\Plan de acción\Plan Accion 2018\[Plan Accion Integrado ADRES Vigencia 2018 con Cuadro de Mando V6..xlsx]Plan de Accion 2018'!#REF!,J286&lt;&gt;"N/A"))</xm:f>
            <x14:dxf>
              <fill>
                <patternFill>
                  <bgColor rgb="FF00B050"/>
                </patternFill>
              </fill>
            </x14:dxf>
          </x14:cfRule>
          <x14:cfRule type="expression" priority="1454" stopIfTrue="1" id="{6EA42FF7-9F95-4D78-8A5F-5CD94EB4A1CA}">
            <xm:f>AND(IF(J286&lt;'F:\Users\norela.briceno\Documents\Plan de acción\Plan Accion 2018\[Plan Accion Integrado ADRES Vigencia 2018 con Cuadro de Mando V6..xlsx]Plan de Accion 2018'!#REF!,J286&lt;&gt;"N/A"))</xm:f>
            <x14:dxf>
              <fill>
                <patternFill>
                  <bgColor indexed="10"/>
                </patternFill>
              </fill>
            </x14:dxf>
          </x14:cfRule>
          <xm:sqref>AE286 X286 Q286 J286</xm:sqref>
        </x14:conditionalFormatting>
        <x14:conditionalFormatting xmlns:xm="http://schemas.microsoft.com/office/excel/2006/main">
          <x14:cfRule type="expression" priority="1374" id="{10806B3D-A517-4572-A4D3-DFBB682C886D}">
            <xm:f>AND(IF(X227&gt;'F:\Users\norela.briceno\Documents\Plan de acción\Plan Accion 2018\[Plan Accion Integrado ADRES Vigencia 2018 con Cuadro de Mando V6..xlsx]Plan de Accion 2018'!#REF!,X227&lt;&gt;¨N/A¨))</xm:f>
            <x14:dxf>
              <fill>
                <patternFill>
                  <bgColor theme="1" tint="0.499984740745262"/>
                </patternFill>
              </fill>
            </x14:dxf>
          </x14:cfRule>
          <x14:cfRule type="expression" priority="1375" stopIfTrue="1" id="{53E856AC-6971-48C0-9D78-E2798053EB51}">
            <xm:f>AND(IF(X227='F:\Users\norela.briceno\Documents\Plan de acción\Plan Accion 2018\[Plan Accion Integrado ADRES Vigencia 2018 con Cuadro de Mando V6..xlsx]Plan de Accion 2018'!#REF!,X227&lt;&gt;"N/A"))</xm:f>
            <x14:dxf>
              <fill>
                <patternFill>
                  <bgColor rgb="FF00B050"/>
                </patternFill>
              </fill>
            </x14:dxf>
          </x14:cfRule>
          <x14:cfRule type="expression" priority="1376" stopIfTrue="1" id="{B132E29B-8A8F-43DC-8303-7D1D0692283E}">
            <xm:f>AND(IF(X227&lt;'F:\Users\norela.briceno\Documents\Plan de acción\Plan Accion 2018\[Plan Accion Integrado ADRES Vigencia 2018 con Cuadro de Mando V6..xlsx]Plan de Accion 2018'!#REF!,X227&lt;&gt;"N/A"))</xm:f>
            <x14:dxf>
              <fill>
                <patternFill>
                  <bgColor indexed="10"/>
                </patternFill>
              </fill>
            </x14:dxf>
          </x14:cfRule>
          <xm:sqref>X227</xm:sqref>
        </x14:conditionalFormatting>
        <x14:conditionalFormatting xmlns:xm="http://schemas.microsoft.com/office/excel/2006/main">
          <x14:cfRule type="expression" priority="1371" id="{C13C26B5-10FB-4AF3-B88A-3153729D7656}">
            <xm:f>AND(IF(AE227&gt;'F:\Users\norela.briceno\Documents\Plan de acción\Plan Accion 2018\[Plan Accion Integrado ADRES Vigencia 2018 con Cuadro de Mando V6..xlsx]Plan de Accion 2018'!#REF!,AE227&lt;&gt;¨N/A¨))</xm:f>
            <x14:dxf>
              <fill>
                <patternFill>
                  <bgColor theme="1" tint="0.499984740745262"/>
                </patternFill>
              </fill>
            </x14:dxf>
          </x14:cfRule>
          <x14:cfRule type="expression" priority="1372" stopIfTrue="1" id="{6B97EC98-1A84-4354-91A1-0CFF0823A93E}">
            <xm:f>AND(IF(AE227='F:\Users\norela.briceno\Documents\Plan de acción\Plan Accion 2018\[Plan Accion Integrado ADRES Vigencia 2018 con Cuadro de Mando V6..xlsx]Plan de Accion 2018'!#REF!,AE227&lt;&gt;"N/A"))</xm:f>
            <x14:dxf>
              <fill>
                <patternFill>
                  <bgColor rgb="FF00B050"/>
                </patternFill>
              </fill>
            </x14:dxf>
          </x14:cfRule>
          <x14:cfRule type="expression" priority="1373" stopIfTrue="1" id="{6C5E78D5-F10F-4581-BAF5-DD2952D88DC9}">
            <xm:f>AND(IF(AE227&lt;'F:\Users\norela.briceno\Documents\Plan de acción\Plan Accion 2018\[Plan Accion Integrado ADRES Vigencia 2018 con Cuadro de Mando V6..xlsx]Plan de Accion 2018'!#REF!,AE227&lt;&gt;"N/A"))</xm:f>
            <x14:dxf>
              <fill>
                <patternFill>
                  <bgColor indexed="10"/>
                </patternFill>
              </fill>
            </x14:dxf>
          </x14:cfRule>
          <xm:sqref>AE227</xm:sqref>
        </x14:conditionalFormatting>
        <x14:conditionalFormatting xmlns:xm="http://schemas.microsoft.com/office/excel/2006/main">
          <x14:cfRule type="expression" priority="773" id="{2EB0916D-7FE7-4046-AE0F-471ACF0F8909}">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774" stopIfTrue="1" id="{95465A60-0927-4C18-AF6B-5F5CB46F4573}">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775" stopIfTrue="1" id="{A9EA05F7-B5A3-46F8-8E34-FB9BD6483883}">
            <xm:f>AND(IF(J89&lt;'F:\Users\norela.briceno\Documents\Plan de acción\Plan Accion 2018\[Plan Accion Integrado ADRES Vigencia 2018 con Cuadro de Mando V6..xlsx]Plan de Accion 2018'!#REF!,J89&lt;&gt;"N/A"))</xm:f>
            <x14:dxf>
              <fill>
                <patternFill>
                  <bgColor indexed="10"/>
                </patternFill>
              </fill>
            </x14:dxf>
          </x14:cfRule>
          <xm:sqref>J89:J90</xm:sqref>
        </x14:conditionalFormatting>
        <x14:conditionalFormatting xmlns:xm="http://schemas.microsoft.com/office/excel/2006/main">
          <x14:cfRule type="expression" priority="770" id="{09417E44-5993-4491-B55A-7BB5CD6714C7}">
            <xm:f>AND(IF(J89&gt;'F:\Users\norela.briceno\Documents\Plan de acción\Plan Accion 2018\[Plan Accion Integrado ADRES Vigencia 2018 con Cuadro de Mando V6..xlsx]Plan de Accion 2018'!#REF!,J89&lt;&gt;¨N/A¨))</xm:f>
            <x14:dxf>
              <fill>
                <patternFill>
                  <bgColor theme="1" tint="0.499984740745262"/>
                </patternFill>
              </fill>
            </x14:dxf>
          </x14:cfRule>
          <x14:cfRule type="expression" priority="771" stopIfTrue="1" id="{51E7807E-8274-4AFF-9ED9-6A844832FDB5}">
            <xm:f>AND(IF(J89='F:\Users\norela.briceno\Documents\Plan de acción\Plan Accion 2018\[Plan Accion Integrado ADRES Vigencia 2018 con Cuadro de Mando V6..xlsx]Plan de Accion 2018'!#REF!,J89&lt;&gt;"N/A"))</xm:f>
            <x14:dxf>
              <fill>
                <patternFill>
                  <bgColor rgb="FF00B050"/>
                </patternFill>
              </fill>
            </x14:dxf>
          </x14:cfRule>
          <x14:cfRule type="expression" priority="772" stopIfTrue="1" id="{10DDDF53-9548-4CC6-8CD1-FA9F04E16B4B}">
            <xm:f>AND(IF(J89&lt;'F:\Users\norela.briceno\Documents\Plan de acción\Plan Accion 2018\[Plan Accion Integrado ADRES Vigencia 2018 con Cuadro de Mando V6..xlsx]Plan de Accion 2018'!#REF!,J89&lt;&gt;"N/A"))</xm:f>
            <x14:dxf>
              <fill>
                <patternFill>
                  <bgColor indexed="10"/>
                </patternFill>
              </fill>
            </x14:dxf>
          </x14:cfRule>
          <xm:sqref>J89:J90</xm:sqref>
        </x14:conditionalFormatting>
        <x14:conditionalFormatting xmlns:xm="http://schemas.microsoft.com/office/excel/2006/main">
          <x14:cfRule type="expression" priority="722" id="{9A2058FE-5F50-4888-82BE-197016C65C43}">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723" stopIfTrue="1" id="{99A30C0A-22A5-4A05-8F86-F0EA82FEBFD5}">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724" stopIfTrue="1" id="{9A703706-507E-486E-A9EB-26B0D40B6F45}">
            <xm:f>AND(IF(Q89&lt;'F:\Users\norela.briceno\Documents\Plan de acción\Plan Accion 2018\[Plan Accion Integrado ADRES Vigencia 2018 con Cuadro de Mando V6..xlsx]Plan de Accion 2018'!#REF!,Q89&lt;&gt;"N/A"))</xm:f>
            <x14:dxf>
              <fill>
                <patternFill>
                  <bgColor indexed="10"/>
                </patternFill>
              </fill>
            </x14:dxf>
          </x14:cfRule>
          <xm:sqref>Q89:Q90 AE89:AE90 X89:X90</xm:sqref>
        </x14:conditionalFormatting>
        <x14:conditionalFormatting xmlns:xm="http://schemas.microsoft.com/office/excel/2006/main">
          <x14:cfRule type="expression" priority="719" id="{452F9CCB-7A10-4340-9E63-6C955C27AE1A}">
            <xm:f>AND(IF(Q89&gt;'F:\Users\norela.briceno\Documents\Plan de acción\Plan Accion 2018\[Plan Accion Integrado ADRES Vigencia 2018 con Cuadro de Mando V6..xlsx]Plan de Accion 2018'!#REF!,Q89&lt;&gt;¨N/A¨))</xm:f>
            <x14:dxf>
              <fill>
                <patternFill>
                  <bgColor theme="1" tint="0.499984740745262"/>
                </patternFill>
              </fill>
            </x14:dxf>
          </x14:cfRule>
          <x14:cfRule type="expression" priority="720" stopIfTrue="1" id="{C360B52B-32C1-4B2C-9E11-3D04C432D196}">
            <xm:f>AND(IF(Q89='F:\Users\norela.briceno\Documents\Plan de acción\Plan Accion 2018\[Plan Accion Integrado ADRES Vigencia 2018 con Cuadro de Mando V6..xlsx]Plan de Accion 2018'!#REF!,Q89&lt;&gt;"N/A"))</xm:f>
            <x14:dxf>
              <fill>
                <patternFill>
                  <bgColor rgb="FF00B050"/>
                </patternFill>
              </fill>
            </x14:dxf>
          </x14:cfRule>
          <x14:cfRule type="expression" priority="721" stopIfTrue="1" id="{7CF9F781-30E7-459D-BD0A-D1ED2D7CE2E7}">
            <xm:f>AND(IF(Q89&lt;'F:\Users\norela.briceno\Documents\Plan de acción\Plan Accion 2018\[Plan Accion Integrado ADRES Vigencia 2018 con Cuadro de Mando V6..xlsx]Plan de Accion 2018'!#REF!,Q89&lt;&gt;"N/A"))</xm:f>
            <x14:dxf>
              <fill>
                <patternFill>
                  <bgColor indexed="10"/>
                </patternFill>
              </fill>
            </x14:dxf>
          </x14:cfRule>
          <xm:sqref>Q89:Q90</xm:sqref>
        </x14:conditionalFormatting>
        <x14:conditionalFormatting xmlns:xm="http://schemas.microsoft.com/office/excel/2006/main">
          <x14:cfRule type="expression" priority="716" id="{15A9B208-1BD8-4FFD-B5D2-BCB816112F18}">
            <xm:f>AND(IF(X89&gt;'F:\Users\norela.briceno\Documents\Plan de acción\Plan Accion 2018\[Plan Accion Integrado ADRES Vigencia 2018 con Cuadro de Mando V6..xlsx]Plan de Accion 2018'!#REF!,X89&lt;&gt;¨N/A¨))</xm:f>
            <x14:dxf>
              <fill>
                <patternFill>
                  <bgColor theme="1" tint="0.499984740745262"/>
                </patternFill>
              </fill>
            </x14:dxf>
          </x14:cfRule>
          <x14:cfRule type="expression" priority="717" stopIfTrue="1" id="{46D31EDB-83E2-44FA-88E6-4A60B0FEC3E7}">
            <xm:f>AND(IF(X89='F:\Users\norela.briceno\Documents\Plan de acción\Plan Accion 2018\[Plan Accion Integrado ADRES Vigencia 2018 con Cuadro de Mando V6..xlsx]Plan de Accion 2018'!#REF!,X89&lt;&gt;"N/A"))</xm:f>
            <x14:dxf>
              <fill>
                <patternFill>
                  <bgColor rgb="FF00B050"/>
                </patternFill>
              </fill>
            </x14:dxf>
          </x14:cfRule>
          <x14:cfRule type="expression" priority="718" stopIfTrue="1" id="{C2AFF670-6B0B-4B6E-ACB4-7278B8B835A0}">
            <xm:f>AND(IF(X89&lt;'F:\Users\norela.briceno\Documents\Plan de acción\Plan Accion 2018\[Plan Accion Integrado ADRES Vigencia 2018 con Cuadro de Mando V6..xlsx]Plan de Accion 2018'!#REF!,X89&lt;&gt;"N/A"))</xm:f>
            <x14:dxf>
              <fill>
                <patternFill>
                  <bgColor indexed="10"/>
                </patternFill>
              </fill>
            </x14:dxf>
          </x14:cfRule>
          <xm:sqref>X89:X90</xm:sqref>
        </x14:conditionalFormatting>
        <x14:conditionalFormatting xmlns:xm="http://schemas.microsoft.com/office/excel/2006/main">
          <x14:cfRule type="expression" priority="713" id="{F88E8762-F776-46E4-963F-51FB64816531}">
            <xm:f>AND(IF(AE89&gt;'F:\Users\norela.briceno\Documents\Plan de acción\Plan Accion 2018\[Plan Accion Integrado ADRES Vigencia 2018 con Cuadro de Mando V6..xlsx]Plan de Accion 2018'!#REF!,AE89&lt;&gt;¨N/A¨))</xm:f>
            <x14:dxf>
              <fill>
                <patternFill>
                  <bgColor theme="1" tint="0.499984740745262"/>
                </patternFill>
              </fill>
            </x14:dxf>
          </x14:cfRule>
          <x14:cfRule type="expression" priority="714" stopIfTrue="1" id="{769B0E28-731F-4CA4-AD45-13BC0EFB36FB}">
            <xm:f>AND(IF(AE89='F:\Users\norela.briceno\Documents\Plan de acción\Plan Accion 2018\[Plan Accion Integrado ADRES Vigencia 2018 con Cuadro de Mando V6..xlsx]Plan de Accion 2018'!#REF!,AE89&lt;&gt;"N/A"))</xm:f>
            <x14:dxf>
              <fill>
                <patternFill>
                  <bgColor rgb="FF00B050"/>
                </patternFill>
              </fill>
            </x14:dxf>
          </x14:cfRule>
          <x14:cfRule type="expression" priority="715" stopIfTrue="1" id="{DFCE9F81-CA20-4888-9020-B11DB3A376F3}">
            <xm:f>AND(IF(AE89&lt;'F:\Users\norela.briceno\Documents\Plan de acción\Plan Accion 2018\[Plan Accion Integrado ADRES Vigencia 2018 con Cuadro de Mando V6..xlsx]Plan de Accion 2018'!#REF!,AE89&lt;&gt;"N/A"))</xm:f>
            <x14:dxf>
              <fill>
                <patternFill>
                  <bgColor indexed="10"/>
                </patternFill>
              </fill>
            </x14:dxf>
          </x14:cfRule>
          <xm:sqref>AE89:AE90</xm:sqref>
        </x14:conditionalFormatting>
        <x14:conditionalFormatting xmlns:xm="http://schemas.microsoft.com/office/excel/2006/main">
          <x14:cfRule type="expression" priority="640" id="{ADFF09F6-B4BB-49C8-BC37-2A64034F6757}">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641" stopIfTrue="1" id="{31445CE4-8D63-446A-8B3B-4B0ACB26F5DF}">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642" stopIfTrue="1" id="{48433763-CB8E-4405-89C1-61D1329879BE}">
            <xm:f>AND(IF(J153&lt;'F:\Users\norela.briceno\Documents\Plan de acción\Plan Accion 2018\[Plan Accion Integrado ADRES Vigencia 2018 con Cuadro de Mando V6..xlsx]Plan de Accion 2018'!#REF!,J153&lt;&gt;"N/A"))</xm:f>
            <x14:dxf>
              <fill>
                <patternFill>
                  <bgColor indexed="10"/>
                </patternFill>
              </fill>
            </x14:dxf>
          </x14:cfRule>
          <xm:sqref>J153 Q153 AE153 X153</xm:sqref>
        </x14:conditionalFormatting>
        <x14:conditionalFormatting xmlns:xm="http://schemas.microsoft.com/office/excel/2006/main">
          <x14:cfRule type="expression" priority="631" id="{F026F0AF-9194-40CA-A40F-E22C2139802F}">
            <xm:f>AND(IF(X153&gt;'F:\Users\norela.briceno\Documents\Plan de acción\Plan Accion 2018\[Plan Accion Integrado ADRES Vigencia 2018 con Cuadro de Mando V6..xlsx]Plan de Accion 2018'!#REF!,X153&lt;&gt;¨N/A¨))</xm:f>
            <x14:dxf>
              <fill>
                <patternFill>
                  <bgColor theme="1" tint="0.499984740745262"/>
                </patternFill>
              </fill>
            </x14:dxf>
          </x14:cfRule>
          <x14:cfRule type="expression" priority="632" stopIfTrue="1" id="{57805633-4EDE-43EF-8A1B-7C8E8FBC33BF}">
            <xm:f>AND(IF(X153='F:\Users\norela.briceno\Documents\Plan de acción\Plan Accion 2018\[Plan Accion Integrado ADRES Vigencia 2018 con Cuadro de Mando V6..xlsx]Plan de Accion 2018'!#REF!,X153&lt;&gt;"N/A"))</xm:f>
            <x14:dxf>
              <fill>
                <patternFill>
                  <bgColor rgb="FF00B050"/>
                </patternFill>
              </fill>
            </x14:dxf>
          </x14:cfRule>
          <x14:cfRule type="expression" priority="633" stopIfTrue="1" id="{FB5AF1EF-27FD-459C-8507-F1E5462DB4AB}">
            <xm:f>AND(IF(X153&lt;'F:\Users\norela.briceno\Documents\Plan de acción\Plan Accion 2018\[Plan Accion Integrado ADRES Vigencia 2018 con Cuadro de Mando V6..xlsx]Plan de Accion 2018'!#REF!,X153&lt;&gt;"N/A"))</xm:f>
            <x14:dxf>
              <fill>
                <patternFill>
                  <bgColor indexed="10"/>
                </patternFill>
              </fill>
            </x14:dxf>
          </x14:cfRule>
          <xm:sqref>X153</xm:sqref>
        </x14:conditionalFormatting>
        <x14:conditionalFormatting xmlns:xm="http://schemas.microsoft.com/office/excel/2006/main">
          <x14:cfRule type="expression" priority="628" id="{8DBD97DD-68B5-4C7F-BD9A-B040D48ABC0B}">
            <xm:f>AND(IF(AE153&gt;'F:\Users\norela.briceno\Documents\Plan de acción\Plan Accion 2018\[Plan Accion Integrado ADRES Vigencia 2018 con Cuadro de Mando V6..xlsx]Plan de Accion 2018'!#REF!,AE153&lt;&gt;¨N/A¨))</xm:f>
            <x14:dxf>
              <fill>
                <patternFill>
                  <bgColor theme="1" tint="0.499984740745262"/>
                </patternFill>
              </fill>
            </x14:dxf>
          </x14:cfRule>
          <x14:cfRule type="expression" priority="629" stopIfTrue="1" id="{A7B2E974-82CD-4F0C-84E7-CA3FDCDD471F}">
            <xm:f>AND(IF(AE153='F:\Users\norela.briceno\Documents\Plan de acción\Plan Accion 2018\[Plan Accion Integrado ADRES Vigencia 2018 con Cuadro de Mando V6..xlsx]Plan de Accion 2018'!#REF!,AE153&lt;&gt;"N/A"))</xm:f>
            <x14:dxf>
              <fill>
                <patternFill>
                  <bgColor rgb="FF00B050"/>
                </patternFill>
              </fill>
            </x14:dxf>
          </x14:cfRule>
          <x14:cfRule type="expression" priority="630" stopIfTrue="1" id="{899769C5-033C-436F-B38E-26355DD679D1}">
            <xm:f>AND(IF(AE153&lt;'F:\Users\norela.briceno\Documents\Plan de acción\Plan Accion 2018\[Plan Accion Integrado ADRES Vigencia 2018 con Cuadro de Mando V6..xlsx]Plan de Accion 2018'!#REF!,AE153&lt;&gt;"N/A"))</xm:f>
            <x14:dxf>
              <fill>
                <patternFill>
                  <bgColor indexed="10"/>
                </patternFill>
              </fill>
            </x14:dxf>
          </x14:cfRule>
          <xm:sqref>AE153</xm:sqref>
        </x14:conditionalFormatting>
        <x14:conditionalFormatting xmlns:xm="http://schemas.microsoft.com/office/excel/2006/main">
          <x14:cfRule type="expression" priority="637" id="{32B9D3D7-A4C2-42C9-ACFD-0DD19515AC66}">
            <xm:f>AND(IF(J153&gt;'F:\Users\norela.briceno\Documents\Plan de acción\Plan Accion 2018\[Plan Accion Integrado ADRES Vigencia 2018 con Cuadro de Mando V6..xlsx]Plan de Accion 2018'!#REF!,J153&lt;&gt;¨N/A¨))</xm:f>
            <x14:dxf>
              <fill>
                <patternFill>
                  <bgColor theme="1" tint="0.499984740745262"/>
                </patternFill>
              </fill>
            </x14:dxf>
          </x14:cfRule>
          <x14:cfRule type="expression" priority="638" stopIfTrue="1" id="{F6DDA8AF-03EB-4A9D-83FC-73B6B14B6559}">
            <xm:f>AND(IF(J153='F:\Users\norela.briceno\Documents\Plan de acción\Plan Accion 2018\[Plan Accion Integrado ADRES Vigencia 2018 con Cuadro de Mando V6..xlsx]Plan de Accion 2018'!#REF!,J153&lt;&gt;"N/A"))</xm:f>
            <x14:dxf>
              <fill>
                <patternFill>
                  <bgColor rgb="FF00B050"/>
                </patternFill>
              </fill>
            </x14:dxf>
          </x14:cfRule>
          <x14:cfRule type="expression" priority="639" stopIfTrue="1" id="{F6FA0E8C-DB26-4EBF-AD51-E4AAD884896F}">
            <xm:f>AND(IF(J153&lt;'F:\Users\norela.briceno\Documents\Plan de acción\Plan Accion 2018\[Plan Accion Integrado ADRES Vigencia 2018 con Cuadro de Mando V6..xlsx]Plan de Accion 2018'!#REF!,J153&lt;&gt;"N/A"))</xm:f>
            <x14:dxf>
              <fill>
                <patternFill>
                  <bgColor indexed="10"/>
                </patternFill>
              </fill>
            </x14:dxf>
          </x14:cfRule>
          <xm:sqref>J153</xm:sqref>
        </x14:conditionalFormatting>
        <x14:conditionalFormatting xmlns:xm="http://schemas.microsoft.com/office/excel/2006/main">
          <x14:cfRule type="expression" priority="634" id="{C8683B1C-68AF-4E57-809D-0C9FD4CC8EEA}">
            <xm:f>AND(IF(Q153&gt;'F:\Users\norela.briceno\Documents\Plan de acción\Plan Accion 2018\[Plan Accion Integrado ADRES Vigencia 2018 con Cuadro de Mando V6..xlsx]Plan de Accion 2018'!#REF!,Q153&lt;&gt;¨N/A¨))</xm:f>
            <x14:dxf>
              <fill>
                <patternFill>
                  <bgColor theme="1" tint="0.499984740745262"/>
                </patternFill>
              </fill>
            </x14:dxf>
          </x14:cfRule>
          <x14:cfRule type="expression" priority="635" stopIfTrue="1" id="{D4C88D25-E743-4C0E-93C1-EB18E890D40F}">
            <xm:f>AND(IF(Q153='F:\Users\norela.briceno\Documents\Plan de acción\Plan Accion 2018\[Plan Accion Integrado ADRES Vigencia 2018 con Cuadro de Mando V6..xlsx]Plan de Accion 2018'!#REF!,Q153&lt;&gt;"N/A"))</xm:f>
            <x14:dxf>
              <fill>
                <patternFill>
                  <bgColor rgb="FF00B050"/>
                </patternFill>
              </fill>
            </x14:dxf>
          </x14:cfRule>
          <x14:cfRule type="expression" priority="636" stopIfTrue="1" id="{24F2DB23-B92D-439F-9426-10A1DB0EFF9D}">
            <xm:f>AND(IF(Q153&lt;'F:\Users\norela.briceno\Documents\Plan de acción\Plan Accion 2018\[Plan Accion Integrado ADRES Vigencia 2018 con Cuadro de Mando V6..xlsx]Plan de Accion 2018'!#REF!,Q153&lt;&gt;"N/A"))</xm:f>
            <x14:dxf>
              <fill>
                <patternFill>
                  <bgColor indexed="10"/>
                </patternFill>
              </fill>
            </x14:dxf>
          </x14:cfRule>
          <xm:sqref>Q153</xm:sqref>
        </x14:conditionalFormatting>
        <x14:conditionalFormatting xmlns:xm="http://schemas.microsoft.com/office/excel/2006/main">
          <x14:cfRule type="expression" priority="570" id="{A18C899B-7266-4FB1-8D50-B82C50F86B9D}">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571" stopIfTrue="1" id="{B9FDA9AB-84A7-42C1-BDFD-899209289B09}">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572" stopIfTrue="1" id="{BB949DE6-0C7B-4F0A-9A2E-2964CF9F4707}">
            <xm:f>AND(IF(J154&lt;'F:\Users\norela.briceno\Documents\Plan de acción\Plan Accion 2018\[Plan Accion Integrado ADRES Vigencia 2018 con Cuadro de Mando V6..xlsx]Plan de Accion 2018'!#REF!,J154&lt;&gt;"N/A"))</xm:f>
            <x14:dxf>
              <fill>
                <patternFill>
                  <bgColor indexed="10"/>
                </patternFill>
              </fill>
            </x14:dxf>
          </x14:cfRule>
          <xm:sqref>J154:J156 Q154:Q156 AE154:AE156 X154:X156</xm:sqref>
        </x14:conditionalFormatting>
        <x14:conditionalFormatting xmlns:xm="http://schemas.microsoft.com/office/excel/2006/main">
          <x14:cfRule type="expression" priority="561" id="{477C11E2-CD01-469A-A0EE-D2326E80E42F}">
            <xm:f>AND(IF(X154&gt;'F:\Users\norela.briceno\Documents\Plan de acción\Plan Accion 2018\[Plan Accion Integrado ADRES Vigencia 2018 con Cuadro de Mando V6..xlsx]Plan de Accion 2018'!#REF!,X154&lt;&gt;¨N/A¨))</xm:f>
            <x14:dxf>
              <fill>
                <patternFill>
                  <bgColor theme="1" tint="0.499984740745262"/>
                </patternFill>
              </fill>
            </x14:dxf>
          </x14:cfRule>
          <x14:cfRule type="expression" priority="562" stopIfTrue="1" id="{11A5C989-5845-4149-888D-F3C4611147A4}">
            <xm:f>AND(IF(X154='F:\Users\norela.briceno\Documents\Plan de acción\Plan Accion 2018\[Plan Accion Integrado ADRES Vigencia 2018 con Cuadro de Mando V6..xlsx]Plan de Accion 2018'!#REF!,X154&lt;&gt;"N/A"))</xm:f>
            <x14:dxf>
              <fill>
                <patternFill>
                  <bgColor rgb="FF00B050"/>
                </patternFill>
              </fill>
            </x14:dxf>
          </x14:cfRule>
          <x14:cfRule type="expression" priority="563" stopIfTrue="1" id="{C0F6A3E6-B1D9-4A30-8E4D-163A11240349}">
            <xm:f>AND(IF(X154&lt;'F:\Users\norela.briceno\Documents\Plan de acción\Plan Accion 2018\[Plan Accion Integrado ADRES Vigencia 2018 con Cuadro de Mando V6..xlsx]Plan de Accion 2018'!#REF!,X154&lt;&gt;"N/A"))</xm:f>
            <x14:dxf>
              <fill>
                <patternFill>
                  <bgColor indexed="10"/>
                </patternFill>
              </fill>
            </x14:dxf>
          </x14:cfRule>
          <xm:sqref>X154:X156</xm:sqref>
        </x14:conditionalFormatting>
        <x14:conditionalFormatting xmlns:xm="http://schemas.microsoft.com/office/excel/2006/main">
          <x14:cfRule type="expression" priority="558" id="{4D0CC6C0-9694-42A9-A0A2-526F4E6F75B0}">
            <xm:f>AND(IF(AE154&gt;'F:\Users\norela.briceno\Documents\Plan de acción\Plan Accion 2018\[Plan Accion Integrado ADRES Vigencia 2018 con Cuadro de Mando V6..xlsx]Plan de Accion 2018'!#REF!,AE154&lt;&gt;¨N/A¨))</xm:f>
            <x14:dxf>
              <fill>
                <patternFill>
                  <bgColor theme="1" tint="0.499984740745262"/>
                </patternFill>
              </fill>
            </x14:dxf>
          </x14:cfRule>
          <x14:cfRule type="expression" priority="559" stopIfTrue="1" id="{CF46CD72-C429-4C7C-A9CA-F16134BE74BA}">
            <xm:f>AND(IF(AE154='F:\Users\norela.briceno\Documents\Plan de acción\Plan Accion 2018\[Plan Accion Integrado ADRES Vigencia 2018 con Cuadro de Mando V6..xlsx]Plan de Accion 2018'!#REF!,AE154&lt;&gt;"N/A"))</xm:f>
            <x14:dxf>
              <fill>
                <patternFill>
                  <bgColor rgb="FF00B050"/>
                </patternFill>
              </fill>
            </x14:dxf>
          </x14:cfRule>
          <x14:cfRule type="expression" priority="560" stopIfTrue="1" id="{92E1FD42-515D-4333-8489-228E6D2845AD}">
            <xm:f>AND(IF(AE154&lt;'F:\Users\norela.briceno\Documents\Plan de acción\Plan Accion 2018\[Plan Accion Integrado ADRES Vigencia 2018 con Cuadro de Mando V6..xlsx]Plan de Accion 2018'!#REF!,AE154&lt;&gt;"N/A"))</xm:f>
            <x14:dxf>
              <fill>
                <patternFill>
                  <bgColor indexed="10"/>
                </patternFill>
              </fill>
            </x14:dxf>
          </x14:cfRule>
          <xm:sqref>AE154:AE156</xm:sqref>
        </x14:conditionalFormatting>
        <x14:conditionalFormatting xmlns:xm="http://schemas.microsoft.com/office/excel/2006/main">
          <x14:cfRule type="expression" priority="567" id="{4CB2BCE4-7991-40F0-A3C8-C136AE648FEF}">
            <xm:f>AND(IF(J154&gt;'F:\Users\norela.briceno\Documents\Plan de acción\Plan Accion 2018\[Plan Accion Integrado ADRES Vigencia 2018 con Cuadro de Mando V6..xlsx]Plan de Accion 2018'!#REF!,J154&lt;&gt;¨N/A¨))</xm:f>
            <x14:dxf>
              <fill>
                <patternFill>
                  <bgColor theme="1" tint="0.499984740745262"/>
                </patternFill>
              </fill>
            </x14:dxf>
          </x14:cfRule>
          <x14:cfRule type="expression" priority="568" stopIfTrue="1" id="{BF4200A0-0502-4B63-85F1-59CC3582D607}">
            <xm:f>AND(IF(J154='F:\Users\norela.briceno\Documents\Plan de acción\Plan Accion 2018\[Plan Accion Integrado ADRES Vigencia 2018 con Cuadro de Mando V6..xlsx]Plan de Accion 2018'!#REF!,J154&lt;&gt;"N/A"))</xm:f>
            <x14:dxf>
              <fill>
                <patternFill>
                  <bgColor rgb="FF00B050"/>
                </patternFill>
              </fill>
            </x14:dxf>
          </x14:cfRule>
          <x14:cfRule type="expression" priority="569" stopIfTrue="1" id="{5846F8BA-75C2-41AF-BC8D-2595211ABD9D}">
            <xm:f>AND(IF(J154&lt;'F:\Users\norela.briceno\Documents\Plan de acción\Plan Accion 2018\[Plan Accion Integrado ADRES Vigencia 2018 con Cuadro de Mando V6..xlsx]Plan de Accion 2018'!#REF!,J154&lt;&gt;"N/A"))</xm:f>
            <x14:dxf>
              <fill>
                <patternFill>
                  <bgColor indexed="10"/>
                </patternFill>
              </fill>
            </x14:dxf>
          </x14:cfRule>
          <xm:sqref>J154:J156</xm:sqref>
        </x14:conditionalFormatting>
        <x14:conditionalFormatting xmlns:xm="http://schemas.microsoft.com/office/excel/2006/main">
          <x14:cfRule type="expression" priority="564" id="{BE637FD8-C031-4587-9AC7-DB74CC836506}">
            <xm:f>AND(IF(Q154&gt;'F:\Users\norela.briceno\Documents\Plan de acción\Plan Accion 2018\[Plan Accion Integrado ADRES Vigencia 2018 con Cuadro de Mando V6..xlsx]Plan de Accion 2018'!#REF!,Q154&lt;&gt;¨N/A¨))</xm:f>
            <x14:dxf>
              <fill>
                <patternFill>
                  <bgColor theme="1" tint="0.499984740745262"/>
                </patternFill>
              </fill>
            </x14:dxf>
          </x14:cfRule>
          <x14:cfRule type="expression" priority="565" stopIfTrue="1" id="{13BB819B-796A-49B8-AEF5-CD3ECD7E61CC}">
            <xm:f>AND(IF(Q154='F:\Users\norela.briceno\Documents\Plan de acción\Plan Accion 2018\[Plan Accion Integrado ADRES Vigencia 2018 con Cuadro de Mando V6..xlsx]Plan de Accion 2018'!#REF!,Q154&lt;&gt;"N/A"))</xm:f>
            <x14:dxf>
              <fill>
                <patternFill>
                  <bgColor rgb="FF00B050"/>
                </patternFill>
              </fill>
            </x14:dxf>
          </x14:cfRule>
          <x14:cfRule type="expression" priority="566" stopIfTrue="1" id="{EA812E43-C4D7-4514-B5D5-E5356B36A3D3}">
            <xm:f>AND(IF(Q154&lt;'F:\Users\norela.briceno\Documents\Plan de acción\Plan Accion 2018\[Plan Accion Integrado ADRES Vigencia 2018 con Cuadro de Mando V6..xlsx]Plan de Accion 2018'!#REF!,Q154&lt;&gt;"N/A"))</xm:f>
            <x14:dxf>
              <fill>
                <patternFill>
                  <bgColor indexed="10"/>
                </patternFill>
              </fill>
            </x14:dxf>
          </x14:cfRule>
          <xm:sqref>Q154:Q156</xm:sqref>
        </x14:conditionalFormatting>
        <x14:conditionalFormatting xmlns:xm="http://schemas.microsoft.com/office/excel/2006/main">
          <x14:cfRule type="expression" priority="373" id="{AC17B82F-F94C-4419-B14E-330B54A82A9B}">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374" stopIfTrue="1" id="{0582588C-BCE1-4A83-91D7-6A137B7B08B4}">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375" stopIfTrue="1" id="{6F0BE3A9-68FB-4EE4-8F9B-2CD86D8F5454}">
            <xm:f>AND(IF(J123&lt;'F:\Users\norela.briceno\Documents\Plan de acción\Plan Accion 2018\[Plan Accion Integrado ADRES Vigencia 2018 con Cuadro de Mando V6..xlsx]Plan de Accion 2018'!#REF!,J123&lt;&gt;"N/A"))</xm:f>
            <x14:dxf>
              <fill>
                <patternFill>
                  <bgColor indexed="10"/>
                </patternFill>
              </fill>
            </x14:dxf>
          </x14:cfRule>
          <xm:sqref>J123 Q123 AE123 X123</xm:sqref>
        </x14:conditionalFormatting>
        <x14:conditionalFormatting xmlns:xm="http://schemas.microsoft.com/office/excel/2006/main">
          <x14:cfRule type="expression" priority="370" id="{EAF2783E-182E-44A8-87C1-0B9B04700978}">
            <xm:f>AND(IF(J123&gt;'F:\Users\norela.briceno\Documents\Plan de acción\Plan Accion 2018\[Plan Accion Integrado ADRES Vigencia 2018 con Cuadro de Mando V6..xlsx]Plan de Accion 2018'!#REF!,J123&lt;&gt;¨N/A¨))</xm:f>
            <x14:dxf>
              <fill>
                <patternFill>
                  <bgColor theme="1" tint="0.499984740745262"/>
                </patternFill>
              </fill>
            </x14:dxf>
          </x14:cfRule>
          <x14:cfRule type="expression" priority="371" stopIfTrue="1" id="{FF6C2A3C-17A7-4B7A-ABC9-10FA6FF63D44}">
            <xm:f>AND(IF(J123='F:\Users\norela.briceno\Documents\Plan de acción\Plan Accion 2018\[Plan Accion Integrado ADRES Vigencia 2018 con Cuadro de Mando V6..xlsx]Plan de Accion 2018'!#REF!,J123&lt;&gt;"N/A"))</xm:f>
            <x14:dxf>
              <fill>
                <patternFill>
                  <bgColor rgb="FF00B050"/>
                </patternFill>
              </fill>
            </x14:dxf>
          </x14:cfRule>
          <x14:cfRule type="expression" priority="372" stopIfTrue="1" id="{38E3D0D8-9108-4FBF-A75A-51401B8DD399}">
            <xm:f>AND(IF(J123&lt;'F:\Users\norela.briceno\Documents\Plan de acción\Plan Accion 2018\[Plan Accion Integrado ADRES Vigencia 2018 con Cuadro de Mando V6..xlsx]Plan de Accion 2018'!#REF!,J123&lt;&gt;"N/A"))</xm:f>
            <x14:dxf>
              <fill>
                <patternFill>
                  <bgColor indexed="10"/>
                </patternFill>
              </fill>
            </x14:dxf>
          </x14:cfRule>
          <xm:sqref>J123</xm:sqref>
        </x14:conditionalFormatting>
        <x14:conditionalFormatting xmlns:xm="http://schemas.microsoft.com/office/excel/2006/main">
          <x14:cfRule type="expression" priority="367" id="{52EDCEA0-EFF7-4D8D-B928-211A24F1C9E1}">
            <xm:f>AND(IF(Q123&gt;'F:\Users\norela.briceno\Documents\Plan de acción\Plan Accion 2018\[Plan Accion Integrado ADRES Vigencia 2018 con Cuadro de Mando V6..xlsx]Plan de Accion 2018'!#REF!,Q123&lt;&gt;¨N/A¨))</xm:f>
            <x14:dxf>
              <fill>
                <patternFill>
                  <bgColor theme="1" tint="0.499984740745262"/>
                </patternFill>
              </fill>
            </x14:dxf>
          </x14:cfRule>
          <x14:cfRule type="expression" priority="368" stopIfTrue="1" id="{46B1DAA4-699D-447C-B7A1-E765822C9846}">
            <xm:f>AND(IF(Q123='F:\Users\norela.briceno\Documents\Plan de acción\Plan Accion 2018\[Plan Accion Integrado ADRES Vigencia 2018 con Cuadro de Mando V6..xlsx]Plan de Accion 2018'!#REF!,Q123&lt;&gt;"N/A"))</xm:f>
            <x14:dxf>
              <fill>
                <patternFill>
                  <bgColor rgb="FF00B050"/>
                </patternFill>
              </fill>
            </x14:dxf>
          </x14:cfRule>
          <x14:cfRule type="expression" priority="369" stopIfTrue="1" id="{536675B9-12F2-4F95-BCC3-07A5F044D996}">
            <xm:f>AND(IF(Q123&lt;'F:\Users\norela.briceno\Documents\Plan de acción\Plan Accion 2018\[Plan Accion Integrado ADRES Vigencia 2018 con Cuadro de Mando V6..xlsx]Plan de Accion 2018'!#REF!,Q123&lt;&gt;"N/A"))</xm:f>
            <x14:dxf>
              <fill>
                <patternFill>
                  <bgColor indexed="10"/>
                </patternFill>
              </fill>
            </x14:dxf>
          </x14:cfRule>
          <xm:sqref>Q123</xm:sqref>
        </x14:conditionalFormatting>
        <x14:conditionalFormatting xmlns:xm="http://schemas.microsoft.com/office/excel/2006/main">
          <x14:cfRule type="expression" priority="364" id="{726CA400-6C51-49B6-8750-4D69FF104BA7}">
            <xm:f>AND(IF(X123&gt;'F:\Users\norela.briceno\Documents\Plan de acción\Plan Accion 2018\[Plan Accion Integrado ADRES Vigencia 2018 con Cuadro de Mando V6..xlsx]Plan de Accion 2018'!#REF!,X123&lt;&gt;¨N/A¨))</xm:f>
            <x14:dxf>
              <fill>
                <patternFill>
                  <bgColor theme="1" tint="0.499984740745262"/>
                </patternFill>
              </fill>
            </x14:dxf>
          </x14:cfRule>
          <x14:cfRule type="expression" priority="365" stopIfTrue="1" id="{E4D3E7DF-2D0C-4525-8BFD-0A7D071EDCEF}">
            <xm:f>AND(IF(X123='F:\Users\norela.briceno\Documents\Plan de acción\Plan Accion 2018\[Plan Accion Integrado ADRES Vigencia 2018 con Cuadro de Mando V6..xlsx]Plan de Accion 2018'!#REF!,X123&lt;&gt;"N/A"))</xm:f>
            <x14:dxf>
              <fill>
                <patternFill>
                  <bgColor rgb="FF00B050"/>
                </patternFill>
              </fill>
            </x14:dxf>
          </x14:cfRule>
          <x14:cfRule type="expression" priority="366" stopIfTrue="1" id="{3B863073-DE62-4069-A3DF-FEBDE6E2599F}">
            <xm:f>AND(IF(X123&lt;'F:\Users\norela.briceno\Documents\Plan de acción\Plan Accion 2018\[Plan Accion Integrado ADRES Vigencia 2018 con Cuadro de Mando V6..xlsx]Plan de Accion 2018'!#REF!,X123&lt;&gt;"N/A"))</xm:f>
            <x14:dxf>
              <fill>
                <patternFill>
                  <bgColor indexed="10"/>
                </patternFill>
              </fill>
            </x14:dxf>
          </x14:cfRule>
          <xm:sqref>X123</xm:sqref>
        </x14:conditionalFormatting>
        <x14:conditionalFormatting xmlns:xm="http://schemas.microsoft.com/office/excel/2006/main">
          <x14:cfRule type="expression" priority="361" id="{7CB90E80-1001-48FC-92D9-CA287DA73920}">
            <xm:f>AND(IF(AE123&gt;'F:\Users\norela.briceno\Documents\Plan de acción\Plan Accion 2018\[Plan Accion Integrado ADRES Vigencia 2018 con Cuadro de Mando V6..xlsx]Plan de Accion 2018'!#REF!,AE123&lt;&gt;¨N/A¨))</xm:f>
            <x14:dxf>
              <fill>
                <patternFill>
                  <bgColor theme="1" tint="0.499984740745262"/>
                </patternFill>
              </fill>
            </x14:dxf>
          </x14:cfRule>
          <x14:cfRule type="expression" priority="362" stopIfTrue="1" id="{86AB0B3A-38D1-4DCD-BFB0-6CFA11EC0CEB}">
            <xm:f>AND(IF(AE123='F:\Users\norela.briceno\Documents\Plan de acción\Plan Accion 2018\[Plan Accion Integrado ADRES Vigencia 2018 con Cuadro de Mando V6..xlsx]Plan de Accion 2018'!#REF!,AE123&lt;&gt;"N/A"))</xm:f>
            <x14:dxf>
              <fill>
                <patternFill>
                  <bgColor rgb="FF00B050"/>
                </patternFill>
              </fill>
            </x14:dxf>
          </x14:cfRule>
          <x14:cfRule type="expression" priority="363" stopIfTrue="1" id="{F2DA7AC0-1D86-4822-B81E-6AC56641B6D2}">
            <xm:f>AND(IF(AE123&lt;'F:\Users\norela.briceno\Documents\Plan de acción\Plan Accion 2018\[Plan Accion Integrado ADRES Vigencia 2018 con Cuadro de Mando V6..xlsx]Plan de Accion 2018'!#REF!,AE123&lt;&gt;"N/A"))</xm:f>
            <x14:dxf>
              <fill>
                <patternFill>
                  <bgColor indexed="10"/>
                </patternFill>
              </fill>
            </x14:dxf>
          </x14:cfRule>
          <xm:sqref>AE123</xm:sqref>
        </x14:conditionalFormatting>
        <x14:conditionalFormatting xmlns:xm="http://schemas.microsoft.com/office/excel/2006/main">
          <x14:cfRule type="expression" priority="298" id="{211B02E2-A25B-4409-852B-552E2CEABBE2}">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299" stopIfTrue="1" id="{8DD22798-2BE0-42A9-894C-736C8E8F2671}">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300" stopIfTrue="1" id="{BA9627F6-A6DA-411B-BC62-089A7FA7E94E}">
            <xm:f>AND(IF(J124&lt;'F:\Users\norela.briceno\Documents\Plan de acción\Plan Accion 2018\[Plan Accion Integrado ADRES Vigencia 2018 con Cuadro de Mando V6..xlsx]Plan de Accion 2018'!#REF!,J124&lt;&gt;"N/A"))</xm:f>
            <x14:dxf>
              <fill>
                <patternFill>
                  <bgColor indexed="10"/>
                </patternFill>
              </fill>
            </x14:dxf>
          </x14:cfRule>
          <xm:sqref>J124 Q124 AE124 X124</xm:sqref>
        </x14:conditionalFormatting>
        <x14:conditionalFormatting xmlns:xm="http://schemas.microsoft.com/office/excel/2006/main">
          <x14:cfRule type="expression" priority="295" id="{8644104A-B3B0-4E2B-A600-8671A611D907}">
            <xm:f>AND(IF(J124&gt;'F:\Users\norela.briceno\Documents\Plan de acción\Plan Accion 2018\[Plan Accion Integrado ADRES Vigencia 2018 con Cuadro de Mando V6..xlsx]Plan de Accion 2018'!#REF!,J124&lt;&gt;¨N/A¨))</xm:f>
            <x14:dxf>
              <fill>
                <patternFill>
                  <bgColor theme="1" tint="0.499984740745262"/>
                </patternFill>
              </fill>
            </x14:dxf>
          </x14:cfRule>
          <x14:cfRule type="expression" priority="296" stopIfTrue="1" id="{4A3D52BF-D975-4445-B7D7-FCF7474CCB6A}">
            <xm:f>AND(IF(J124='F:\Users\norela.briceno\Documents\Plan de acción\Plan Accion 2018\[Plan Accion Integrado ADRES Vigencia 2018 con Cuadro de Mando V6..xlsx]Plan de Accion 2018'!#REF!,J124&lt;&gt;"N/A"))</xm:f>
            <x14:dxf>
              <fill>
                <patternFill>
                  <bgColor rgb="FF00B050"/>
                </patternFill>
              </fill>
            </x14:dxf>
          </x14:cfRule>
          <x14:cfRule type="expression" priority="297" stopIfTrue="1" id="{4ACEF2A3-B360-45AE-9A75-7E50C4A8AC87}">
            <xm:f>AND(IF(J124&lt;'F:\Users\norela.briceno\Documents\Plan de acción\Plan Accion 2018\[Plan Accion Integrado ADRES Vigencia 2018 con Cuadro de Mando V6..xlsx]Plan de Accion 2018'!#REF!,J124&lt;&gt;"N/A"))</xm:f>
            <x14:dxf>
              <fill>
                <patternFill>
                  <bgColor indexed="10"/>
                </patternFill>
              </fill>
            </x14:dxf>
          </x14:cfRule>
          <xm:sqref>J124</xm:sqref>
        </x14:conditionalFormatting>
        <x14:conditionalFormatting xmlns:xm="http://schemas.microsoft.com/office/excel/2006/main">
          <x14:cfRule type="expression" priority="292" id="{95FB0332-EE9C-4426-9B23-A4C0999AA867}">
            <xm:f>AND(IF(Q124&gt;'F:\Users\norela.briceno\Documents\Plan de acción\Plan Accion 2018\[Plan Accion Integrado ADRES Vigencia 2018 con Cuadro de Mando V6..xlsx]Plan de Accion 2018'!#REF!,Q124&lt;&gt;¨N/A¨))</xm:f>
            <x14:dxf>
              <fill>
                <patternFill>
                  <bgColor theme="1" tint="0.499984740745262"/>
                </patternFill>
              </fill>
            </x14:dxf>
          </x14:cfRule>
          <x14:cfRule type="expression" priority="293" stopIfTrue="1" id="{89F10187-68CE-403D-884D-37871635BC74}">
            <xm:f>AND(IF(Q124='F:\Users\norela.briceno\Documents\Plan de acción\Plan Accion 2018\[Plan Accion Integrado ADRES Vigencia 2018 con Cuadro de Mando V6..xlsx]Plan de Accion 2018'!#REF!,Q124&lt;&gt;"N/A"))</xm:f>
            <x14:dxf>
              <fill>
                <patternFill>
                  <bgColor rgb="FF00B050"/>
                </patternFill>
              </fill>
            </x14:dxf>
          </x14:cfRule>
          <x14:cfRule type="expression" priority="294" stopIfTrue="1" id="{F64E3364-8CFC-4B33-81AE-1A98CFEFC6EF}">
            <xm:f>AND(IF(Q124&lt;'F:\Users\norela.briceno\Documents\Plan de acción\Plan Accion 2018\[Plan Accion Integrado ADRES Vigencia 2018 con Cuadro de Mando V6..xlsx]Plan de Accion 2018'!#REF!,Q124&lt;&gt;"N/A"))</xm:f>
            <x14:dxf>
              <fill>
                <patternFill>
                  <bgColor indexed="10"/>
                </patternFill>
              </fill>
            </x14:dxf>
          </x14:cfRule>
          <xm:sqref>Q124</xm:sqref>
        </x14:conditionalFormatting>
        <x14:conditionalFormatting xmlns:xm="http://schemas.microsoft.com/office/excel/2006/main">
          <x14:cfRule type="expression" priority="289" id="{A512DC26-828C-4D53-91C4-3A73759BAF49}">
            <xm:f>AND(IF(X124&gt;'F:\Users\norela.briceno\Documents\Plan de acción\Plan Accion 2018\[Plan Accion Integrado ADRES Vigencia 2018 con Cuadro de Mando V6..xlsx]Plan de Accion 2018'!#REF!,X124&lt;&gt;¨N/A¨))</xm:f>
            <x14:dxf>
              <fill>
                <patternFill>
                  <bgColor theme="1" tint="0.499984740745262"/>
                </patternFill>
              </fill>
            </x14:dxf>
          </x14:cfRule>
          <x14:cfRule type="expression" priority="290" stopIfTrue="1" id="{797A5D76-2127-4AA4-BCE7-4809D7E33657}">
            <xm:f>AND(IF(X124='F:\Users\norela.briceno\Documents\Plan de acción\Plan Accion 2018\[Plan Accion Integrado ADRES Vigencia 2018 con Cuadro de Mando V6..xlsx]Plan de Accion 2018'!#REF!,X124&lt;&gt;"N/A"))</xm:f>
            <x14:dxf>
              <fill>
                <patternFill>
                  <bgColor rgb="FF00B050"/>
                </patternFill>
              </fill>
            </x14:dxf>
          </x14:cfRule>
          <x14:cfRule type="expression" priority="291" stopIfTrue="1" id="{CF02B5DB-568E-4229-AF65-72BBD1DF532E}">
            <xm:f>AND(IF(X124&lt;'F:\Users\norela.briceno\Documents\Plan de acción\Plan Accion 2018\[Plan Accion Integrado ADRES Vigencia 2018 con Cuadro de Mando V6..xlsx]Plan de Accion 2018'!#REF!,X124&lt;&gt;"N/A"))</xm:f>
            <x14:dxf>
              <fill>
                <patternFill>
                  <bgColor indexed="10"/>
                </patternFill>
              </fill>
            </x14:dxf>
          </x14:cfRule>
          <xm:sqref>X124</xm:sqref>
        </x14:conditionalFormatting>
        <x14:conditionalFormatting xmlns:xm="http://schemas.microsoft.com/office/excel/2006/main">
          <x14:cfRule type="expression" priority="286" id="{5308439E-3749-462A-A97C-C666D945C552}">
            <xm:f>AND(IF(AE124&gt;'F:\Users\norela.briceno\Documents\Plan de acción\Plan Accion 2018\[Plan Accion Integrado ADRES Vigencia 2018 con Cuadro de Mando V6..xlsx]Plan de Accion 2018'!#REF!,AE124&lt;&gt;¨N/A¨))</xm:f>
            <x14:dxf>
              <fill>
                <patternFill>
                  <bgColor theme="1" tint="0.499984740745262"/>
                </patternFill>
              </fill>
            </x14:dxf>
          </x14:cfRule>
          <x14:cfRule type="expression" priority="287" stopIfTrue="1" id="{04AD47A7-E8B6-4DF3-966F-4940C6A01E74}">
            <xm:f>AND(IF(AE124='F:\Users\norela.briceno\Documents\Plan de acción\Plan Accion 2018\[Plan Accion Integrado ADRES Vigencia 2018 con Cuadro de Mando V6..xlsx]Plan de Accion 2018'!#REF!,AE124&lt;&gt;"N/A"))</xm:f>
            <x14:dxf>
              <fill>
                <patternFill>
                  <bgColor rgb="FF00B050"/>
                </patternFill>
              </fill>
            </x14:dxf>
          </x14:cfRule>
          <x14:cfRule type="expression" priority="288" stopIfTrue="1" id="{20D58135-D2CE-4CD7-9122-C0E0D8E06BFB}">
            <xm:f>AND(IF(AE124&lt;'F:\Users\norela.briceno\Documents\Plan de acción\Plan Accion 2018\[Plan Accion Integrado ADRES Vigencia 2018 con Cuadro de Mando V6..xlsx]Plan de Accion 2018'!#REF!,AE124&lt;&gt;"N/A"))</xm:f>
            <x14:dxf>
              <fill>
                <patternFill>
                  <bgColor indexed="10"/>
                </patternFill>
              </fill>
            </x14:dxf>
          </x14:cfRule>
          <xm:sqref>AE124</xm:sqref>
        </x14:conditionalFormatting>
        <x14:conditionalFormatting xmlns:xm="http://schemas.microsoft.com/office/excel/2006/main">
          <x14:cfRule type="expression" priority="223" id="{CD78F3C7-6B74-454D-AC79-D65CFC55D4F3}">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224" stopIfTrue="1" id="{C1912BC7-E089-482A-A3C0-F169B06FB248}">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225" stopIfTrue="1" id="{9E61CD72-03FA-4942-8C3D-20FEBF3FBB58}">
            <xm:f>AND(IF(J125&lt;'F:\Users\norela.briceno\Documents\Plan de acción\Plan Accion 2018\[Plan Accion Integrado ADRES Vigencia 2018 con Cuadro de Mando V6..xlsx]Plan de Accion 2018'!#REF!,J125&lt;&gt;"N/A"))</xm:f>
            <x14:dxf>
              <fill>
                <patternFill>
                  <bgColor indexed="10"/>
                </patternFill>
              </fill>
            </x14:dxf>
          </x14:cfRule>
          <xm:sqref>J125 Q125 AE125 X125</xm:sqref>
        </x14:conditionalFormatting>
        <x14:conditionalFormatting xmlns:xm="http://schemas.microsoft.com/office/excel/2006/main">
          <x14:cfRule type="expression" priority="220" id="{1142F8A4-FE64-48E5-B0B3-68E0B97DBB7E}">
            <xm:f>AND(IF(J125&gt;'F:\Users\norela.briceno\Documents\Plan de acción\Plan Accion 2018\[Plan Accion Integrado ADRES Vigencia 2018 con Cuadro de Mando V6..xlsx]Plan de Accion 2018'!#REF!,J125&lt;&gt;¨N/A¨))</xm:f>
            <x14:dxf>
              <fill>
                <patternFill>
                  <bgColor theme="1" tint="0.499984740745262"/>
                </patternFill>
              </fill>
            </x14:dxf>
          </x14:cfRule>
          <x14:cfRule type="expression" priority="221" stopIfTrue="1" id="{01F0DA7A-D119-4316-97B3-D35F71AC1905}">
            <xm:f>AND(IF(J125='F:\Users\norela.briceno\Documents\Plan de acción\Plan Accion 2018\[Plan Accion Integrado ADRES Vigencia 2018 con Cuadro de Mando V6..xlsx]Plan de Accion 2018'!#REF!,J125&lt;&gt;"N/A"))</xm:f>
            <x14:dxf>
              <fill>
                <patternFill>
                  <bgColor rgb="FF00B050"/>
                </patternFill>
              </fill>
            </x14:dxf>
          </x14:cfRule>
          <x14:cfRule type="expression" priority="222" stopIfTrue="1" id="{07BAC4BF-2739-4501-99FF-7B1AA507B728}">
            <xm:f>AND(IF(J125&lt;'F:\Users\norela.briceno\Documents\Plan de acción\Plan Accion 2018\[Plan Accion Integrado ADRES Vigencia 2018 con Cuadro de Mando V6..xlsx]Plan de Accion 2018'!#REF!,J125&lt;&gt;"N/A"))</xm:f>
            <x14:dxf>
              <fill>
                <patternFill>
                  <bgColor indexed="10"/>
                </patternFill>
              </fill>
            </x14:dxf>
          </x14:cfRule>
          <xm:sqref>J125</xm:sqref>
        </x14:conditionalFormatting>
        <x14:conditionalFormatting xmlns:xm="http://schemas.microsoft.com/office/excel/2006/main">
          <x14:cfRule type="expression" priority="217" id="{20B2A9D6-B5E2-4151-9B35-C800113A704A}">
            <xm:f>AND(IF(Q125&gt;'F:\Users\norela.briceno\Documents\Plan de acción\Plan Accion 2018\[Plan Accion Integrado ADRES Vigencia 2018 con Cuadro de Mando V6..xlsx]Plan de Accion 2018'!#REF!,Q125&lt;&gt;¨N/A¨))</xm:f>
            <x14:dxf>
              <fill>
                <patternFill>
                  <bgColor theme="1" tint="0.499984740745262"/>
                </patternFill>
              </fill>
            </x14:dxf>
          </x14:cfRule>
          <x14:cfRule type="expression" priority="218" stopIfTrue="1" id="{437AE93E-DD21-4408-B488-44135364FE47}">
            <xm:f>AND(IF(Q125='F:\Users\norela.briceno\Documents\Plan de acción\Plan Accion 2018\[Plan Accion Integrado ADRES Vigencia 2018 con Cuadro de Mando V6..xlsx]Plan de Accion 2018'!#REF!,Q125&lt;&gt;"N/A"))</xm:f>
            <x14:dxf>
              <fill>
                <patternFill>
                  <bgColor rgb="FF00B050"/>
                </patternFill>
              </fill>
            </x14:dxf>
          </x14:cfRule>
          <x14:cfRule type="expression" priority="219" stopIfTrue="1" id="{FB3B52D2-9775-4FBF-ACB8-94D97AA2C445}">
            <xm:f>AND(IF(Q125&lt;'F:\Users\norela.briceno\Documents\Plan de acción\Plan Accion 2018\[Plan Accion Integrado ADRES Vigencia 2018 con Cuadro de Mando V6..xlsx]Plan de Accion 2018'!#REF!,Q125&lt;&gt;"N/A"))</xm:f>
            <x14:dxf>
              <fill>
                <patternFill>
                  <bgColor indexed="10"/>
                </patternFill>
              </fill>
            </x14:dxf>
          </x14:cfRule>
          <xm:sqref>Q125</xm:sqref>
        </x14:conditionalFormatting>
        <x14:conditionalFormatting xmlns:xm="http://schemas.microsoft.com/office/excel/2006/main">
          <x14:cfRule type="expression" priority="214" id="{88E0F037-8E80-4662-AB9E-EA7865CC2725}">
            <xm:f>AND(IF(X125&gt;'F:\Users\norela.briceno\Documents\Plan de acción\Plan Accion 2018\[Plan Accion Integrado ADRES Vigencia 2018 con Cuadro de Mando V6..xlsx]Plan de Accion 2018'!#REF!,X125&lt;&gt;¨N/A¨))</xm:f>
            <x14:dxf>
              <fill>
                <patternFill>
                  <bgColor theme="1" tint="0.499984740745262"/>
                </patternFill>
              </fill>
            </x14:dxf>
          </x14:cfRule>
          <x14:cfRule type="expression" priority="215" stopIfTrue="1" id="{8B45C678-E6FC-43D6-8FBC-654E26277B21}">
            <xm:f>AND(IF(X125='F:\Users\norela.briceno\Documents\Plan de acción\Plan Accion 2018\[Plan Accion Integrado ADRES Vigencia 2018 con Cuadro de Mando V6..xlsx]Plan de Accion 2018'!#REF!,X125&lt;&gt;"N/A"))</xm:f>
            <x14:dxf>
              <fill>
                <patternFill>
                  <bgColor rgb="FF00B050"/>
                </patternFill>
              </fill>
            </x14:dxf>
          </x14:cfRule>
          <x14:cfRule type="expression" priority="216" stopIfTrue="1" id="{3A27E75D-DA8C-4972-9774-FBB8B3A88F75}">
            <xm:f>AND(IF(X125&lt;'F:\Users\norela.briceno\Documents\Plan de acción\Plan Accion 2018\[Plan Accion Integrado ADRES Vigencia 2018 con Cuadro de Mando V6..xlsx]Plan de Accion 2018'!#REF!,X125&lt;&gt;"N/A"))</xm:f>
            <x14:dxf>
              <fill>
                <patternFill>
                  <bgColor indexed="10"/>
                </patternFill>
              </fill>
            </x14:dxf>
          </x14:cfRule>
          <xm:sqref>X125</xm:sqref>
        </x14:conditionalFormatting>
        <x14:conditionalFormatting xmlns:xm="http://schemas.microsoft.com/office/excel/2006/main">
          <x14:cfRule type="expression" priority="211" id="{C45D1A30-8AF1-46CA-A0F1-02BABECB3173}">
            <xm:f>AND(IF(AE125&gt;'F:\Users\norela.briceno\Documents\Plan de acción\Plan Accion 2018\[Plan Accion Integrado ADRES Vigencia 2018 con Cuadro de Mando V6..xlsx]Plan de Accion 2018'!#REF!,AE125&lt;&gt;¨N/A¨))</xm:f>
            <x14:dxf>
              <fill>
                <patternFill>
                  <bgColor theme="1" tint="0.499984740745262"/>
                </patternFill>
              </fill>
            </x14:dxf>
          </x14:cfRule>
          <x14:cfRule type="expression" priority="212" stopIfTrue="1" id="{95641DB7-0BCA-4053-8122-FEAE6419E343}">
            <xm:f>AND(IF(AE125='F:\Users\norela.briceno\Documents\Plan de acción\Plan Accion 2018\[Plan Accion Integrado ADRES Vigencia 2018 con Cuadro de Mando V6..xlsx]Plan de Accion 2018'!#REF!,AE125&lt;&gt;"N/A"))</xm:f>
            <x14:dxf>
              <fill>
                <patternFill>
                  <bgColor rgb="FF00B050"/>
                </patternFill>
              </fill>
            </x14:dxf>
          </x14:cfRule>
          <x14:cfRule type="expression" priority="213" stopIfTrue="1" id="{5AB36708-4137-4DC1-AD0B-1B174F6F168C}">
            <xm:f>AND(IF(AE125&lt;'F:\Users\norela.briceno\Documents\Plan de acción\Plan Accion 2018\[Plan Accion Integrado ADRES Vigencia 2018 con Cuadro de Mando V6..xlsx]Plan de Accion 2018'!#REF!,AE125&lt;&gt;"N/A"))</xm:f>
            <x14:dxf>
              <fill>
                <patternFill>
                  <bgColor indexed="10"/>
                </patternFill>
              </fill>
            </x14:dxf>
          </x14:cfRule>
          <xm:sqref>AE125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1EF0-7DAB-4198-823A-4ED1369DCC8C}">
  <dimension ref="A1:BH20"/>
  <sheetViews>
    <sheetView showGridLines="0" zoomScale="80" zoomScaleNormal="80" workbookViewId="0">
      <selection activeCell="AE21" sqref="AE21"/>
    </sheetView>
  </sheetViews>
  <sheetFormatPr baseColWidth="10" defaultRowHeight="15" x14ac:dyDescent="0.25"/>
  <cols>
    <col min="1" max="1" width="65.7109375" customWidth="1"/>
    <col min="2" max="2" width="2.28515625" customWidth="1"/>
    <col min="3" max="3" width="21.7109375" customWidth="1"/>
    <col min="4" max="8" width="3.28515625" customWidth="1"/>
    <col min="9" max="9" width="11.7109375" customWidth="1"/>
    <col min="10" max="14" width="3.28515625" customWidth="1"/>
    <col min="15" max="15" width="28.7109375" customWidth="1"/>
    <col min="16" max="16" width="2.7109375" customWidth="1"/>
    <col min="17" max="17" width="11.7109375" customWidth="1"/>
    <col min="18" max="22" width="3.28515625" customWidth="1"/>
    <col min="23" max="23" width="11.7109375" customWidth="1"/>
    <col min="24" max="28" width="3.28515625" customWidth="1"/>
    <col min="29" max="29" width="29.5703125" customWidth="1"/>
    <col min="30" max="30" width="3.140625" customWidth="1"/>
    <col min="31" max="31" width="11.7109375" customWidth="1"/>
    <col min="32" max="36" width="3.28515625" customWidth="1"/>
    <col min="37" max="37" width="11.7109375" customWidth="1"/>
    <col min="38" max="42" width="3.28515625" customWidth="1"/>
    <col min="43" max="43" width="28.5703125" customWidth="1"/>
    <col min="44" max="44" width="3.140625" customWidth="1"/>
    <col min="45" max="45" width="11.7109375" hidden="1" customWidth="1"/>
    <col min="46" max="50" width="3.28515625" hidden="1" customWidth="1"/>
    <col min="51" max="51" width="12.140625" hidden="1" customWidth="1"/>
    <col min="52" max="56" width="3.28515625" hidden="1" customWidth="1"/>
    <col min="57" max="57" width="28.5703125" hidden="1" customWidth="1"/>
  </cols>
  <sheetData>
    <row r="1" spans="1:60" ht="15" customHeight="1" x14ac:dyDescent="0.25">
      <c r="A1" s="1466"/>
      <c r="B1" s="1469" t="s">
        <v>246</v>
      </c>
      <c r="C1" s="1470"/>
      <c r="D1" s="1470"/>
      <c r="E1" s="1470"/>
      <c r="F1" s="1470"/>
      <c r="G1" s="1470"/>
      <c r="H1" s="1376"/>
      <c r="I1" s="1377" t="s">
        <v>247</v>
      </c>
      <c r="J1" s="1377"/>
      <c r="K1" s="1377"/>
      <c r="L1" s="1377"/>
      <c r="M1" s="1377"/>
      <c r="N1" s="1377"/>
      <c r="O1" s="1377"/>
      <c r="P1" s="1377"/>
      <c r="Q1" s="1377"/>
      <c r="R1" s="1377"/>
      <c r="S1" s="1377"/>
      <c r="T1" s="1377"/>
      <c r="U1" s="1377"/>
      <c r="V1" s="1377"/>
      <c r="W1" s="1377"/>
      <c r="X1" s="1377"/>
      <c r="Y1" s="1377"/>
      <c r="Z1" s="1377"/>
      <c r="AA1" s="1377"/>
      <c r="AB1" s="1377"/>
      <c r="AC1" s="1377"/>
      <c r="AD1" s="1377"/>
      <c r="AE1" s="1377"/>
      <c r="AF1" s="1377"/>
      <c r="AG1" s="1377"/>
      <c r="AH1" s="1377"/>
      <c r="AI1" s="1377"/>
      <c r="AJ1" s="1377"/>
      <c r="AK1" s="1377"/>
      <c r="AL1" s="1378"/>
      <c r="AM1" s="1378"/>
      <c r="AN1" s="1378"/>
      <c r="AO1" s="1378"/>
      <c r="AP1" s="1378"/>
      <c r="AQ1" s="1378"/>
      <c r="AR1" s="1378"/>
      <c r="AS1" s="1471"/>
      <c r="AT1" s="1472"/>
      <c r="AU1" s="1472"/>
      <c r="AV1" s="1472"/>
      <c r="AW1" s="1472"/>
      <c r="AX1" s="1472"/>
      <c r="AY1" s="1472"/>
      <c r="AZ1" s="1472"/>
      <c r="BA1" s="1472"/>
      <c r="BB1" s="1472"/>
      <c r="BC1" s="1472"/>
      <c r="BD1" s="1473"/>
      <c r="BE1" s="19"/>
      <c r="BF1" s="19"/>
      <c r="BG1" s="19"/>
      <c r="BH1" s="19"/>
    </row>
    <row r="2" spans="1:60" ht="15" customHeight="1" x14ac:dyDescent="0.25">
      <c r="A2" s="1467"/>
      <c r="B2" s="1480" t="s">
        <v>248</v>
      </c>
      <c r="C2" s="1481"/>
      <c r="D2" s="1481"/>
      <c r="E2" s="1481"/>
      <c r="F2" s="1481"/>
      <c r="G2" s="1481"/>
      <c r="H2" s="1381"/>
      <c r="I2" s="1382" t="s">
        <v>209</v>
      </c>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3"/>
      <c r="AM2" s="1383"/>
      <c r="AN2" s="1383"/>
      <c r="AO2" s="1383"/>
      <c r="AP2" s="1383"/>
      <c r="AQ2" s="1383"/>
      <c r="AR2" s="1383"/>
      <c r="AS2" s="1474"/>
      <c r="AT2" s="1475"/>
      <c r="AU2" s="1475"/>
      <c r="AV2" s="1475"/>
      <c r="AW2" s="1475"/>
      <c r="AX2" s="1475"/>
      <c r="AY2" s="1475"/>
      <c r="AZ2" s="1475"/>
      <c r="BA2" s="1475"/>
      <c r="BB2" s="1475"/>
      <c r="BC2" s="1475"/>
      <c r="BD2" s="1476"/>
      <c r="BE2" s="19"/>
      <c r="BF2" s="19"/>
      <c r="BG2" s="19"/>
      <c r="BH2" s="19"/>
    </row>
    <row r="3" spans="1:60" ht="15.75" customHeight="1" thickBot="1" x14ac:dyDescent="0.3">
      <c r="A3" s="1468"/>
      <c r="B3" s="1482" t="s">
        <v>242</v>
      </c>
      <c r="C3" s="1391"/>
      <c r="D3" s="1391"/>
      <c r="E3" s="1391"/>
      <c r="F3" s="1391"/>
      <c r="G3" s="1391"/>
      <c r="H3" s="1386"/>
      <c r="I3" s="1388" t="s">
        <v>251</v>
      </c>
      <c r="J3" s="1391"/>
      <c r="K3" s="1391"/>
      <c r="L3" s="1391"/>
      <c r="M3" s="1391"/>
      <c r="N3" s="1386"/>
      <c r="O3" s="328"/>
      <c r="P3" s="1483" t="s">
        <v>224</v>
      </c>
      <c r="Q3" s="1484"/>
      <c r="R3" s="1484"/>
      <c r="S3" s="1484"/>
      <c r="T3" s="1484"/>
      <c r="U3" s="1484"/>
      <c r="V3" s="1484"/>
      <c r="W3" s="1484"/>
      <c r="X3" s="1484"/>
      <c r="Y3" s="1484"/>
      <c r="Z3" s="1484"/>
      <c r="AA3" s="1484"/>
      <c r="AB3" s="1484"/>
      <c r="AC3" s="1484"/>
      <c r="AD3" s="1484"/>
      <c r="AE3" s="1484"/>
      <c r="AF3" s="1484"/>
      <c r="AG3" s="1484"/>
      <c r="AH3" s="1484"/>
      <c r="AI3" s="1484"/>
      <c r="AJ3" s="1485"/>
      <c r="AK3" s="327" t="s">
        <v>249</v>
      </c>
      <c r="AL3" s="1388">
        <v>1</v>
      </c>
      <c r="AM3" s="1391"/>
      <c r="AN3" s="1391"/>
      <c r="AO3" s="1391"/>
      <c r="AP3" s="1391"/>
      <c r="AQ3" s="1391"/>
      <c r="AR3" s="1391"/>
      <c r="AS3" s="1477"/>
      <c r="AT3" s="1478"/>
      <c r="AU3" s="1478"/>
      <c r="AV3" s="1478"/>
      <c r="AW3" s="1478"/>
      <c r="AX3" s="1478"/>
      <c r="AY3" s="1478"/>
      <c r="AZ3" s="1478"/>
      <c r="BA3" s="1478"/>
      <c r="BB3" s="1478"/>
      <c r="BC3" s="1478"/>
      <c r="BD3" s="1479"/>
      <c r="BE3" s="19"/>
      <c r="BF3" s="19"/>
      <c r="BG3" s="19"/>
      <c r="BH3" s="19"/>
    </row>
    <row r="4" spans="1:60" ht="15.75" thickBot="1" x14ac:dyDescent="0.3"/>
    <row r="5" spans="1:60" ht="55.5" customHeight="1" thickBot="1" x14ac:dyDescent="0.3">
      <c r="A5" s="358" t="s">
        <v>203</v>
      </c>
      <c r="B5" s="359"/>
      <c r="C5" s="1462" t="s">
        <v>1191</v>
      </c>
      <c r="D5" s="1463"/>
      <c r="E5" s="1463"/>
      <c r="F5" s="1463"/>
      <c r="G5" s="1463"/>
      <c r="H5" s="1464"/>
      <c r="I5" s="1465" t="s">
        <v>1192</v>
      </c>
      <c r="J5" s="1461"/>
      <c r="K5" s="1461"/>
      <c r="L5" s="1461"/>
      <c r="M5" s="1461"/>
      <c r="N5" s="1461"/>
      <c r="O5" s="360" t="s">
        <v>1418</v>
      </c>
      <c r="P5" s="12"/>
      <c r="Q5" s="1462" t="s">
        <v>1194</v>
      </c>
      <c r="R5" s="1463"/>
      <c r="S5" s="1463"/>
      <c r="T5" s="1463"/>
      <c r="U5" s="1463"/>
      <c r="V5" s="1464"/>
      <c r="W5" s="1462" t="s">
        <v>1195</v>
      </c>
      <c r="X5" s="1463"/>
      <c r="Y5" s="1463"/>
      <c r="Z5" s="1463"/>
      <c r="AA5" s="1463"/>
      <c r="AB5" s="1464"/>
      <c r="AC5" s="360" t="s">
        <v>1193</v>
      </c>
      <c r="AD5" s="361"/>
      <c r="AE5" s="1462" t="s">
        <v>1196</v>
      </c>
      <c r="AF5" s="1463"/>
      <c r="AG5" s="1463"/>
      <c r="AH5" s="1463"/>
      <c r="AI5" s="1463"/>
      <c r="AJ5" s="1464"/>
      <c r="AK5" s="1465" t="s">
        <v>1197</v>
      </c>
      <c r="AL5" s="1461"/>
      <c r="AM5" s="1461"/>
      <c r="AN5" s="1461"/>
      <c r="AO5" s="1461"/>
      <c r="AP5" s="1461"/>
      <c r="AQ5" s="360" t="s">
        <v>1193</v>
      </c>
      <c r="AR5" s="361"/>
      <c r="AS5" s="1457" t="s">
        <v>1198</v>
      </c>
      <c r="AT5" s="1458"/>
      <c r="AU5" s="1458"/>
      <c r="AV5" s="1458"/>
      <c r="AW5" s="1458"/>
      <c r="AX5" s="1459"/>
      <c r="AY5" s="1460" t="s">
        <v>1199</v>
      </c>
      <c r="AZ5" s="1461"/>
      <c r="BA5" s="1461"/>
      <c r="BB5" s="1461"/>
      <c r="BC5" s="1461"/>
      <c r="BD5" s="1461"/>
      <c r="BE5" s="360" t="s">
        <v>1193</v>
      </c>
    </row>
    <row r="6" spans="1:60" ht="18" x14ac:dyDescent="0.25">
      <c r="A6" s="362" t="s">
        <v>225</v>
      </c>
      <c r="B6" s="359"/>
      <c r="C6" s="363">
        <f>+'Cuadro Mando Integral Detallado'!L132</f>
        <v>0.55294976243678429</v>
      </c>
      <c r="D6" s="364">
        <f>+C6</f>
        <v>0.55294976243678429</v>
      </c>
      <c r="E6" s="365">
        <f>+C6</f>
        <v>0.55294976243678429</v>
      </c>
      <c r="F6" s="365">
        <f>+C6</f>
        <v>0.55294976243678429</v>
      </c>
      <c r="G6" s="506">
        <f>+C6</f>
        <v>0.55294976243678429</v>
      </c>
      <c r="H6" s="366">
        <f>+C6</f>
        <v>0.55294976243678429</v>
      </c>
      <c r="I6" s="367">
        <f>+'Cuadro Mando Integral Detallado'!O132</f>
        <v>0.16501417422261877</v>
      </c>
      <c r="J6" s="500">
        <f>+I6</f>
        <v>0.16501417422261877</v>
      </c>
      <c r="K6" s="501">
        <f>+I6</f>
        <v>0.16501417422261877</v>
      </c>
      <c r="L6" s="501">
        <f>+I6</f>
        <v>0.16501417422261877</v>
      </c>
      <c r="M6" s="501">
        <f>+I6</f>
        <v>0.16501417422261877</v>
      </c>
      <c r="N6" s="502">
        <f>+I6</f>
        <v>0.16501417422261877</v>
      </c>
      <c r="O6" s="543">
        <f>1/109</f>
        <v>9.1743119266055051E-3</v>
      </c>
      <c r="P6" s="14"/>
      <c r="Q6" s="363">
        <f>+'Cuadro Mando Integral Detallado'!S132</f>
        <v>0.81155373749858273</v>
      </c>
      <c r="R6" s="365">
        <f>+Q6</f>
        <v>0.81155373749858273</v>
      </c>
      <c r="S6" s="365">
        <f>+Q6</f>
        <v>0.81155373749858273</v>
      </c>
      <c r="T6" s="365">
        <f>+Q6</f>
        <v>0.81155373749858273</v>
      </c>
      <c r="U6" s="365">
        <f>+Q6</f>
        <v>0.81155373749858273</v>
      </c>
      <c r="V6" s="366">
        <f>+Q6</f>
        <v>0.81155373749858273</v>
      </c>
      <c r="W6" s="372">
        <f>+'Cuadro Mando Integral Detallado'!V132</f>
        <v>0.32852594138497565</v>
      </c>
      <c r="X6" s="368">
        <f>+W6</f>
        <v>0.32852594138497565</v>
      </c>
      <c r="Y6" s="369">
        <f>+W6</f>
        <v>0.32852594138497565</v>
      </c>
      <c r="Z6" s="369">
        <f>+W6</f>
        <v>0.32852594138497565</v>
      </c>
      <c r="AA6" s="369">
        <f>+W6</f>
        <v>0.32852594138497565</v>
      </c>
      <c r="AB6" s="373">
        <f>+W6</f>
        <v>0.32852594138497565</v>
      </c>
      <c r="AC6" s="371">
        <f>4/115</f>
        <v>3.4782608695652174E-2</v>
      </c>
      <c r="AD6" s="374"/>
      <c r="AE6" s="363">
        <f>+'Cuadro Mando Integral Detallado'!Z132</f>
        <v>0.76146533879278733</v>
      </c>
      <c r="AF6" s="364">
        <f>+AE6</f>
        <v>0.76146533879278733</v>
      </c>
      <c r="AG6" s="365">
        <f>+AE6</f>
        <v>0.76146533879278733</v>
      </c>
      <c r="AH6" s="365">
        <f>+AE6</f>
        <v>0.76146533879278733</v>
      </c>
      <c r="AI6" s="365">
        <f>+AE6</f>
        <v>0.76146533879278733</v>
      </c>
      <c r="AJ6" s="366">
        <f>+AE6</f>
        <v>0.76146533879278733</v>
      </c>
      <c r="AK6" s="363">
        <f>+'Cuadro Mando Integral Detallado'!AC132</f>
        <v>0.46675141867501913</v>
      </c>
      <c r="AL6" s="375">
        <f>+AK6</f>
        <v>0.46675141867501913</v>
      </c>
      <c r="AM6" s="369">
        <f>+AK6</f>
        <v>0.46675141867501913</v>
      </c>
      <c r="AN6" s="369">
        <f>+AK6</f>
        <v>0.46675141867501913</v>
      </c>
      <c r="AO6" s="369">
        <f>+AK6</f>
        <v>0.46675141867501913</v>
      </c>
      <c r="AP6" s="370">
        <f>+AK6</f>
        <v>0.46675141867501913</v>
      </c>
      <c r="AQ6" s="376">
        <v>9.8360655737704916E-2</v>
      </c>
      <c r="AR6" s="374"/>
      <c r="AS6" s="363">
        <f>+'Cuadro Mando Integral Detallado'!AG132</f>
        <v>0</v>
      </c>
      <c r="AT6" s="364">
        <f>+AS6</f>
        <v>0</v>
      </c>
      <c r="AU6" s="365">
        <f>+AS6</f>
        <v>0</v>
      </c>
      <c r="AV6" s="365">
        <f>+AS6</f>
        <v>0</v>
      </c>
      <c r="AW6" s="365">
        <f>+AS6</f>
        <v>0</v>
      </c>
      <c r="AX6" s="366">
        <f>+AS6</f>
        <v>0</v>
      </c>
      <c r="AY6" s="372">
        <f>+'Cuadro Mando Integral Detallado'!AI132</f>
        <v>0.45235205673333068</v>
      </c>
      <c r="AZ6" s="375">
        <f>+AY6</f>
        <v>0.45235205673333068</v>
      </c>
      <c r="BA6" s="369">
        <f>+AY6</f>
        <v>0.45235205673333068</v>
      </c>
      <c r="BB6" s="369">
        <f>+AY6</f>
        <v>0.45235205673333068</v>
      </c>
      <c r="BC6" s="369">
        <f>+AY6</f>
        <v>0.45235205673333068</v>
      </c>
      <c r="BD6" s="370">
        <f>+AY6</f>
        <v>0.45235205673333068</v>
      </c>
      <c r="BE6" s="371"/>
    </row>
    <row r="7" spans="1:60" ht="18" x14ac:dyDescent="0.25">
      <c r="A7" s="377" t="s">
        <v>226</v>
      </c>
      <c r="B7" s="359"/>
      <c r="C7" s="378">
        <f>+'Cuadro Mando Integral Detallado'!L208</f>
        <v>0.92512577569127219</v>
      </c>
      <c r="D7" s="379">
        <f>+C7</f>
        <v>0.92512577569127219</v>
      </c>
      <c r="E7" s="380">
        <f>+C7</f>
        <v>0.92512577569127219</v>
      </c>
      <c r="F7" s="380">
        <f>+C7</f>
        <v>0.92512577569127219</v>
      </c>
      <c r="G7" s="380">
        <f>+C7</f>
        <v>0.92512577569127219</v>
      </c>
      <c r="H7" s="381">
        <f>+C7</f>
        <v>0.92512577569127219</v>
      </c>
      <c r="I7" s="382">
        <f>+'Cuadro Mando Integral Detallado'!O208</f>
        <v>0.34173562233484528</v>
      </c>
      <c r="J7" s="383">
        <f>+I7</f>
        <v>0.34173562233484528</v>
      </c>
      <c r="K7" s="384">
        <f>+I7</f>
        <v>0.34173562233484528</v>
      </c>
      <c r="L7" s="384">
        <f>+I7</f>
        <v>0.34173562233484528</v>
      </c>
      <c r="M7" s="384">
        <f>+I7</f>
        <v>0.34173562233484528</v>
      </c>
      <c r="N7" s="385">
        <f>+I7</f>
        <v>0.34173562233484528</v>
      </c>
      <c r="O7" s="544">
        <v>1.6129032258064516E-2</v>
      </c>
      <c r="P7" s="15"/>
      <c r="Q7" s="378">
        <f>+'Cuadro Mando Integral Detallado'!S208</f>
        <v>0.9895068481563406</v>
      </c>
      <c r="R7" s="380">
        <f>+Q7</f>
        <v>0.9895068481563406</v>
      </c>
      <c r="S7" s="380">
        <f>+Q7</f>
        <v>0.9895068481563406</v>
      </c>
      <c r="T7" s="380">
        <f>+Q7</f>
        <v>0.9895068481563406</v>
      </c>
      <c r="U7" s="380">
        <f>+Q7</f>
        <v>0.9895068481563406</v>
      </c>
      <c r="V7" s="381">
        <f>+Q7</f>
        <v>0.9895068481563406</v>
      </c>
      <c r="W7" s="387">
        <f>+'Cuadro Mando Integral Detallado'!V208</f>
        <v>0.49483252930849786</v>
      </c>
      <c r="X7" s="383">
        <f>+W7</f>
        <v>0.49483252930849786</v>
      </c>
      <c r="Y7" s="384">
        <f>+W7</f>
        <v>0.49483252930849786</v>
      </c>
      <c r="Z7" s="384">
        <f>+W7</f>
        <v>0.49483252930849786</v>
      </c>
      <c r="AA7" s="384">
        <f>+W7</f>
        <v>0.49483252930849786</v>
      </c>
      <c r="AB7" s="388">
        <f>+W7</f>
        <v>0.49483252930849786</v>
      </c>
      <c r="AC7" s="386">
        <f>1/73</f>
        <v>1.3698630136986301E-2</v>
      </c>
      <c r="AD7" s="374"/>
      <c r="AE7" s="378">
        <f>+'Cuadro Mando Integral Detallado'!Z208</f>
        <v>0.93864889395612183</v>
      </c>
      <c r="AF7" s="379">
        <f>+AE7</f>
        <v>0.93864889395612183</v>
      </c>
      <c r="AG7" s="380">
        <f>+AE7</f>
        <v>0.93864889395612183</v>
      </c>
      <c r="AH7" s="380">
        <f>+AE7</f>
        <v>0.93864889395612183</v>
      </c>
      <c r="AI7" s="380">
        <f>+AE7</f>
        <v>0.93864889395612183</v>
      </c>
      <c r="AJ7" s="381">
        <f>+AE7</f>
        <v>0.93864889395612183</v>
      </c>
      <c r="AK7" s="378">
        <f>+'Cuadro Mando Integral Detallado'!AC208</f>
        <v>0.67681888334644824</v>
      </c>
      <c r="AL7" s="389">
        <f>+AK7</f>
        <v>0.67681888334644824</v>
      </c>
      <c r="AM7" s="384">
        <f>+AK7</f>
        <v>0.67681888334644824</v>
      </c>
      <c r="AN7" s="384">
        <f>+AK7</f>
        <v>0.67681888334644824</v>
      </c>
      <c r="AO7" s="384">
        <f>+AK7</f>
        <v>0.67681888334644824</v>
      </c>
      <c r="AP7" s="385">
        <f>+AK7</f>
        <v>0.67681888334644824</v>
      </c>
      <c r="AQ7" s="1040">
        <f>0/74</f>
        <v>0</v>
      </c>
      <c r="AR7" s="374"/>
      <c r="AS7" s="378">
        <f>+'Cuadro Mando Integral Detallado'!AA208</f>
        <v>0.60332058334490546</v>
      </c>
      <c r="AT7" s="379">
        <f>+AS7</f>
        <v>0.60332058334490546</v>
      </c>
      <c r="AU7" s="380">
        <f>+AS7</f>
        <v>0.60332058334490546</v>
      </c>
      <c r="AV7" s="380">
        <f>+AS7</f>
        <v>0.60332058334490546</v>
      </c>
      <c r="AW7" s="380">
        <f>+AS7</f>
        <v>0.60332058334490546</v>
      </c>
      <c r="AX7" s="381">
        <f>+AS7</f>
        <v>0.60332058334490546</v>
      </c>
      <c r="AY7" s="387">
        <f>+'Cuadro Mando Integral Detallado'!AI208</f>
        <v>0.57119506392507857</v>
      </c>
      <c r="AZ7" s="389">
        <f>+AY7</f>
        <v>0.57119506392507857</v>
      </c>
      <c r="BA7" s="384">
        <f>+AY7</f>
        <v>0.57119506392507857</v>
      </c>
      <c r="BB7" s="384">
        <f>+AY7</f>
        <v>0.57119506392507857</v>
      </c>
      <c r="BC7" s="384">
        <f>+AY7</f>
        <v>0.57119506392507857</v>
      </c>
      <c r="BD7" s="385">
        <f>+AY7</f>
        <v>0.57119506392507857</v>
      </c>
      <c r="BE7" s="386"/>
    </row>
    <row r="8" spans="1:60" ht="18" x14ac:dyDescent="0.25">
      <c r="A8" s="377" t="s">
        <v>227</v>
      </c>
      <c r="B8" s="359"/>
      <c r="C8" s="378">
        <f>+'Cuadro Mando Integral Detallado'!L309</f>
        <v>0.73171598401586635</v>
      </c>
      <c r="D8" s="379">
        <f>+C8</f>
        <v>0.73171598401586635</v>
      </c>
      <c r="E8" s="380">
        <f>+C8</f>
        <v>0.73171598401586635</v>
      </c>
      <c r="F8" s="380">
        <f>+C8</f>
        <v>0.73171598401586635</v>
      </c>
      <c r="G8" s="380">
        <f>+C8</f>
        <v>0.73171598401586635</v>
      </c>
      <c r="H8" s="381">
        <f>+C8</f>
        <v>0.73171598401586635</v>
      </c>
      <c r="I8" s="382">
        <f>+'Cuadro Mando Integral Detallado'!O309</f>
        <v>0.31319552583296795</v>
      </c>
      <c r="J8" s="503">
        <f>+I8</f>
        <v>0.31319552583296795</v>
      </c>
      <c r="K8" s="504">
        <f>+I8</f>
        <v>0.31319552583296795</v>
      </c>
      <c r="L8" s="504">
        <f>+I8</f>
        <v>0.31319552583296795</v>
      </c>
      <c r="M8" s="504">
        <f>+I8</f>
        <v>0.31319552583296795</v>
      </c>
      <c r="N8" s="505">
        <f>+I8</f>
        <v>0.31319552583296795</v>
      </c>
      <c r="O8" s="544">
        <v>0</v>
      </c>
      <c r="P8" s="15"/>
      <c r="Q8" s="378">
        <f>+'Cuadro Mando Integral Detallado'!S309</f>
        <v>0.98568764366951633</v>
      </c>
      <c r="R8" s="380">
        <f>+Q8</f>
        <v>0.98568764366951633</v>
      </c>
      <c r="S8" s="380">
        <f>+Q8</f>
        <v>0.98568764366951633</v>
      </c>
      <c r="T8" s="380">
        <f>+Q8</f>
        <v>0.98568764366951633</v>
      </c>
      <c r="U8" s="380">
        <f>+Q8</f>
        <v>0.98568764366951633</v>
      </c>
      <c r="V8" s="381">
        <f>+Q8</f>
        <v>0.98568764366951633</v>
      </c>
      <c r="W8" s="387">
        <f>+'Cuadro Mando Integral Detallado'!V309</f>
        <v>0.4621834311523399</v>
      </c>
      <c r="X8" s="383">
        <f>+W8</f>
        <v>0.4621834311523399</v>
      </c>
      <c r="Y8" s="384">
        <f>+W8</f>
        <v>0.4621834311523399</v>
      </c>
      <c r="Z8" s="384">
        <f>+W8</f>
        <v>0.4621834311523399</v>
      </c>
      <c r="AA8" s="384">
        <f>+W8</f>
        <v>0.4621834311523399</v>
      </c>
      <c r="AB8" s="388">
        <f>+W8</f>
        <v>0.4621834311523399</v>
      </c>
      <c r="AC8" s="386">
        <f>3/100</f>
        <v>0.03</v>
      </c>
      <c r="AD8" s="374"/>
      <c r="AE8" s="378">
        <f>+'Cuadro Mando Integral Detallado'!Z309</f>
        <v>0.99076089088072361</v>
      </c>
      <c r="AF8" s="379">
        <f>+AE8</f>
        <v>0.99076089088072361</v>
      </c>
      <c r="AG8" s="380">
        <f>+AE8</f>
        <v>0.99076089088072361</v>
      </c>
      <c r="AH8" s="380">
        <f>+AE8</f>
        <v>0.99076089088072361</v>
      </c>
      <c r="AI8" s="380">
        <f>+AE8</f>
        <v>0.99076089088072361</v>
      </c>
      <c r="AJ8" s="381">
        <f>+AE8</f>
        <v>0.99076089088072361</v>
      </c>
      <c r="AK8" s="378">
        <f>+'Cuadro Mando Integral Detallado'!AC309</f>
        <v>0.68718282181418777</v>
      </c>
      <c r="AL8" s="389">
        <f>+AK8</f>
        <v>0.68718282181418777</v>
      </c>
      <c r="AM8" s="384">
        <f>+AK8</f>
        <v>0.68718282181418777</v>
      </c>
      <c r="AN8" s="384">
        <f>+AK8</f>
        <v>0.68718282181418777</v>
      </c>
      <c r="AO8" s="384">
        <f>+AK8</f>
        <v>0.68718282181418777</v>
      </c>
      <c r="AP8" s="385">
        <f>+AK8</f>
        <v>0.68718282181418777</v>
      </c>
      <c r="AQ8" s="1040">
        <v>3.0927835051546393E-2</v>
      </c>
      <c r="AR8" s="374"/>
      <c r="AS8" s="378">
        <f>+'Cuadro Mando Integral Detallado'!AG309</f>
        <v>0</v>
      </c>
      <c r="AT8" s="379">
        <f>+AS8</f>
        <v>0</v>
      </c>
      <c r="AU8" s="380">
        <f>+AS8</f>
        <v>0</v>
      </c>
      <c r="AV8" s="380">
        <f>+AS8</f>
        <v>0</v>
      </c>
      <c r="AW8" s="380">
        <f>+AS8</f>
        <v>0</v>
      </c>
      <c r="AX8" s="381">
        <f>+AS8</f>
        <v>0</v>
      </c>
      <c r="AY8" s="387" t="e">
        <f>+'Cuadro Mando Integral Detallado'!AI309</f>
        <v>#VALUE!</v>
      </c>
      <c r="AZ8" s="389" t="e">
        <f>+AY8</f>
        <v>#VALUE!</v>
      </c>
      <c r="BA8" s="384" t="e">
        <f>+AY8</f>
        <v>#VALUE!</v>
      </c>
      <c r="BB8" s="384" t="e">
        <f>+AY8</f>
        <v>#VALUE!</v>
      </c>
      <c r="BC8" s="384" t="e">
        <f>+AY8</f>
        <v>#VALUE!</v>
      </c>
      <c r="BD8" s="385" t="e">
        <f>+AY8</f>
        <v>#VALUE!</v>
      </c>
      <c r="BE8" s="386"/>
    </row>
    <row r="9" spans="1:60" ht="18.75" thickBot="1" x14ac:dyDescent="0.3">
      <c r="A9" s="390" t="s">
        <v>228</v>
      </c>
      <c r="B9" s="359"/>
      <c r="C9" s="391">
        <f>+'Cuadro Mando Integral Detallado'!L365</f>
        <v>0.875</v>
      </c>
      <c r="D9" s="392">
        <f>+C9</f>
        <v>0.875</v>
      </c>
      <c r="E9" s="393">
        <f>+C9</f>
        <v>0.875</v>
      </c>
      <c r="F9" s="393">
        <f>+C9</f>
        <v>0.875</v>
      </c>
      <c r="G9" s="393">
        <f>+C9</f>
        <v>0.875</v>
      </c>
      <c r="H9" s="394">
        <f>+C9</f>
        <v>0.875</v>
      </c>
      <c r="I9" s="395">
        <f>+'Cuadro Mando Integral Detallado'!O365</f>
        <v>0.38157894736842107</v>
      </c>
      <c r="J9" s="396">
        <f>+I9</f>
        <v>0.38157894736842107</v>
      </c>
      <c r="K9" s="397">
        <f>+I9</f>
        <v>0.38157894736842107</v>
      </c>
      <c r="L9" s="397">
        <f>+I9</f>
        <v>0.38157894736842107</v>
      </c>
      <c r="M9" s="397">
        <f>+I9</f>
        <v>0.38157894736842107</v>
      </c>
      <c r="N9" s="398">
        <f>+I9</f>
        <v>0.38157894736842107</v>
      </c>
      <c r="O9" s="546">
        <v>0</v>
      </c>
      <c r="P9" s="15"/>
      <c r="Q9" s="391">
        <f>+'Cuadro Mando Integral Detallado'!S365</f>
        <v>0.81818181818181823</v>
      </c>
      <c r="R9" s="393">
        <f>+Q9</f>
        <v>0.81818181818181823</v>
      </c>
      <c r="S9" s="393">
        <f>+Q9</f>
        <v>0.81818181818181823</v>
      </c>
      <c r="T9" s="393">
        <f>+Q9</f>
        <v>0.81818181818181823</v>
      </c>
      <c r="U9" s="393">
        <f>+Q9</f>
        <v>0.81818181818181823</v>
      </c>
      <c r="V9" s="394">
        <f>+Q9</f>
        <v>0.81818181818181823</v>
      </c>
      <c r="W9" s="400">
        <f>+'Cuadro Mando Integral Detallado'!V365</f>
        <v>0.42627819548872176</v>
      </c>
      <c r="X9" s="396">
        <f>+W9</f>
        <v>0.42627819548872176</v>
      </c>
      <c r="Y9" s="397">
        <f>+W9</f>
        <v>0.42627819548872176</v>
      </c>
      <c r="Z9" s="397">
        <f>+W9</f>
        <v>0.42627819548872176</v>
      </c>
      <c r="AA9" s="397">
        <f>+W9</f>
        <v>0.42627819548872176</v>
      </c>
      <c r="AB9" s="401">
        <f>+W9</f>
        <v>0.42627819548872176</v>
      </c>
      <c r="AC9" s="399">
        <v>0</v>
      </c>
      <c r="AD9" s="374"/>
      <c r="AE9" s="378">
        <f>+'Cuadro Mando Integral Detallado'!Z365</f>
        <v>0.6333333333333333</v>
      </c>
      <c r="AF9" s="392">
        <f>+AE9</f>
        <v>0.6333333333333333</v>
      </c>
      <c r="AG9" s="393">
        <f>+AE9</f>
        <v>0.6333333333333333</v>
      </c>
      <c r="AH9" s="393">
        <f>+AE9</f>
        <v>0.6333333333333333</v>
      </c>
      <c r="AI9" s="393">
        <f>+AE9</f>
        <v>0.6333333333333333</v>
      </c>
      <c r="AJ9" s="394">
        <f>+AE9</f>
        <v>0.6333333333333333</v>
      </c>
      <c r="AK9" s="391">
        <f>+'Cuadro Mando Integral Detallado'!AC365</f>
        <v>0.48950558213716105</v>
      </c>
      <c r="AL9" s="402">
        <f>+AK9</f>
        <v>0.48950558213716105</v>
      </c>
      <c r="AM9" s="397">
        <f>+AK9</f>
        <v>0.48950558213716105</v>
      </c>
      <c r="AN9" s="397">
        <f>+AK9</f>
        <v>0.48950558213716105</v>
      </c>
      <c r="AO9" s="397">
        <f>+AK9</f>
        <v>0.48950558213716105</v>
      </c>
      <c r="AP9" s="398">
        <f>+AK9</f>
        <v>0.48950558213716105</v>
      </c>
      <c r="AQ9" s="1043">
        <f>0/37</f>
        <v>0</v>
      </c>
      <c r="AR9" s="374"/>
      <c r="AS9" s="391">
        <f>+'Cuadro Mando Integral Detallado'!AG365</f>
        <v>0</v>
      </c>
      <c r="AT9" s="392">
        <f>+AS9</f>
        <v>0</v>
      </c>
      <c r="AU9" s="393">
        <f>+AS9</f>
        <v>0</v>
      </c>
      <c r="AV9" s="393">
        <f>+AS9</f>
        <v>0</v>
      </c>
      <c r="AW9" s="393">
        <f>+AS9</f>
        <v>0</v>
      </c>
      <c r="AX9" s="394">
        <f>+AS9</f>
        <v>0</v>
      </c>
      <c r="AY9" s="400">
        <f>+'Cuadro Mando Integral Detallado'!AI365</f>
        <v>0.43589343729694602</v>
      </c>
      <c r="AZ9" s="402">
        <f>+AY9</f>
        <v>0.43589343729694602</v>
      </c>
      <c r="BA9" s="397">
        <f>+AY9</f>
        <v>0.43589343729694602</v>
      </c>
      <c r="BB9" s="397">
        <f>+AY9</f>
        <v>0.43589343729694602</v>
      </c>
      <c r="BC9" s="397">
        <f>+AY9</f>
        <v>0.43589343729694602</v>
      </c>
      <c r="BD9" s="398">
        <f>+AY9</f>
        <v>0.43589343729694602</v>
      </c>
      <c r="BE9" s="399"/>
    </row>
    <row r="10" spans="1:60" ht="11.25" customHeight="1" thickBot="1" x14ac:dyDescent="0.3">
      <c r="A10" s="403"/>
      <c r="B10" s="359"/>
      <c r="O10" s="404"/>
      <c r="Q10" s="59"/>
      <c r="R10" s="59"/>
      <c r="S10" s="59"/>
      <c r="T10" s="59"/>
      <c r="U10" s="59"/>
      <c r="V10" s="59"/>
      <c r="W10" s="59"/>
      <c r="AC10" s="404"/>
      <c r="AD10" s="59"/>
      <c r="AE10" s="324"/>
      <c r="AF10" s="31"/>
      <c r="AG10" s="31"/>
      <c r="AH10" s="31"/>
      <c r="AI10" s="31"/>
      <c r="AJ10" s="31"/>
      <c r="AK10" s="324"/>
      <c r="AL10" s="405"/>
      <c r="AM10" s="405"/>
      <c r="AN10" s="405"/>
      <c r="AO10" s="405"/>
      <c r="AP10" s="405"/>
      <c r="AQ10" s="1039"/>
      <c r="AR10" s="59"/>
      <c r="AS10" s="59"/>
      <c r="AY10" s="59"/>
      <c r="AZ10" s="323"/>
      <c r="BE10" s="405"/>
    </row>
    <row r="11" spans="1:60" ht="18.75" thickBot="1" x14ac:dyDescent="0.3">
      <c r="A11" s="406" t="s">
        <v>1200</v>
      </c>
      <c r="B11" s="361"/>
      <c r="C11" s="407">
        <f>+'Cuadro Mando Integral Detallado'!L366</f>
        <v>0.77119788053598071</v>
      </c>
      <c r="D11" s="418">
        <f>+C11</f>
        <v>0.77119788053598071</v>
      </c>
      <c r="E11" s="409">
        <f>+C11</f>
        <v>0.77119788053598071</v>
      </c>
      <c r="F11" s="409">
        <f>+C11</f>
        <v>0.77119788053598071</v>
      </c>
      <c r="G11" s="409">
        <f>+C11</f>
        <v>0.77119788053598071</v>
      </c>
      <c r="H11" s="410">
        <f>+C11</f>
        <v>0.77119788053598071</v>
      </c>
      <c r="I11" s="411">
        <f>+'Cuadro Mando Integral Detallado'!O366</f>
        <v>0.30038106743971327</v>
      </c>
      <c r="J11" s="412">
        <f>+I11</f>
        <v>0.30038106743971327</v>
      </c>
      <c r="K11" s="413">
        <f>+I11</f>
        <v>0.30038106743971327</v>
      </c>
      <c r="L11" s="413">
        <f>+I11</f>
        <v>0.30038106743971327</v>
      </c>
      <c r="M11" s="413">
        <f>+I11</f>
        <v>0.30038106743971327</v>
      </c>
      <c r="N11" s="414">
        <f>+I11</f>
        <v>0.30038106743971327</v>
      </c>
      <c r="O11" s="545">
        <f>2/(109+62+91+53)</f>
        <v>6.3492063492063492E-3</v>
      </c>
      <c r="P11" s="16"/>
      <c r="Q11" s="407">
        <f>+'Cuadro Mando Integral Detallado'!S366</f>
        <v>0.9012325118765645</v>
      </c>
      <c r="R11" s="408">
        <f>+Q11</f>
        <v>0.9012325118765645</v>
      </c>
      <c r="S11" s="409">
        <f>+Q11</f>
        <v>0.9012325118765645</v>
      </c>
      <c r="T11" s="409">
        <f>+Q11</f>
        <v>0.9012325118765645</v>
      </c>
      <c r="U11" s="409">
        <f>+Q11</f>
        <v>0.9012325118765645</v>
      </c>
      <c r="V11" s="410">
        <f>+Q11</f>
        <v>0.9012325118765645</v>
      </c>
      <c r="W11" s="415">
        <f>+'Cuadro Mando Integral Detallado'!V366</f>
        <v>0.4279550243336338</v>
      </c>
      <c r="X11" s="412">
        <f>+W11</f>
        <v>0.4279550243336338</v>
      </c>
      <c r="Y11" s="413">
        <f>+W11</f>
        <v>0.4279550243336338</v>
      </c>
      <c r="Z11" s="413">
        <f>+W11</f>
        <v>0.4279550243336338</v>
      </c>
      <c r="AA11" s="413">
        <f>+W11</f>
        <v>0.4279550243336338</v>
      </c>
      <c r="AB11" s="414">
        <f>+W11</f>
        <v>0.4279550243336338</v>
      </c>
      <c r="AC11" s="411">
        <f>8/(115+73+100+55)</f>
        <v>2.3323615160349854E-2</v>
      </c>
      <c r="AD11" s="416"/>
      <c r="AE11" s="407">
        <f>+'Cuadro Mando Integral Detallado'!Z366</f>
        <v>0.83105211424074155</v>
      </c>
      <c r="AF11" s="408">
        <f>+AE11</f>
        <v>0.83105211424074155</v>
      </c>
      <c r="AG11" s="409">
        <f>+AE11</f>
        <v>0.83105211424074155</v>
      </c>
      <c r="AH11" s="409">
        <f>+AE11</f>
        <v>0.83105211424074155</v>
      </c>
      <c r="AI11" s="409">
        <f>+AE11</f>
        <v>0.83105211424074155</v>
      </c>
      <c r="AJ11" s="410">
        <f>+AE11</f>
        <v>0.83105211424074155</v>
      </c>
      <c r="AK11" s="415">
        <f>+'Cuadro Mando Integral Detallado'!AC366</f>
        <v>0.58006467649320403</v>
      </c>
      <c r="AL11" s="418">
        <f>+AK11</f>
        <v>0.58006467649320403</v>
      </c>
      <c r="AM11" s="413">
        <f>+AK11</f>
        <v>0.58006467649320403</v>
      </c>
      <c r="AN11" s="413">
        <f>+AK11</f>
        <v>0.58006467649320403</v>
      </c>
      <c r="AO11" s="413">
        <f>+AK11</f>
        <v>0.58006467649320403</v>
      </c>
      <c r="AP11" s="414">
        <f>+AK11</f>
        <v>0.58006467649320403</v>
      </c>
      <c r="AQ11" s="1044">
        <v>3.3457249070631967E-2</v>
      </c>
      <c r="AR11" s="416"/>
      <c r="AS11" s="407">
        <f>+'Cuadro Mando Integral Detallado'!AF366</f>
        <v>0</v>
      </c>
      <c r="AT11" s="408">
        <f>+AS11</f>
        <v>0</v>
      </c>
      <c r="AU11" s="409">
        <f>+AS11</f>
        <v>0</v>
      </c>
      <c r="AV11" s="409">
        <f>+AS11</f>
        <v>0</v>
      </c>
      <c r="AW11" s="409">
        <f>+AS11</f>
        <v>0</v>
      </c>
      <c r="AX11" s="410">
        <f>+AS11</f>
        <v>0</v>
      </c>
      <c r="AY11" s="415" t="e">
        <f>+'Cuadro Mando Integral Detallado'!AI366</f>
        <v>#VALUE!</v>
      </c>
      <c r="AZ11" s="418" t="e">
        <f>+AY11</f>
        <v>#VALUE!</v>
      </c>
      <c r="BA11" s="413" t="e">
        <f>+AY11</f>
        <v>#VALUE!</v>
      </c>
      <c r="BB11" s="413" t="e">
        <f>+AY11</f>
        <v>#VALUE!</v>
      </c>
      <c r="BC11" s="413" t="e">
        <f>+AY11</f>
        <v>#VALUE!</v>
      </c>
      <c r="BD11" s="414" t="e">
        <f>+AY11</f>
        <v>#VALUE!</v>
      </c>
      <c r="BE11" s="411"/>
    </row>
    <row r="12" spans="1:60" ht="8.25" customHeight="1" thickBot="1" x14ac:dyDescent="0.3">
      <c r="AC12" s="404"/>
    </row>
    <row r="13" spans="1:60" ht="18.75" thickBot="1" x14ac:dyDescent="0.3">
      <c r="A13" s="406" t="s">
        <v>1755</v>
      </c>
      <c r="C13" s="407">
        <f>+'Cuadro Mando Integral Detallado'!L368</f>
        <v>0.80930899356405339</v>
      </c>
      <c r="D13" s="408">
        <f>+C13</f>
        <v>0.80930899356405339</v>
      </c>
      <c r="E13" s="409">
        <f>+C13</f>
        <v>0.80930899356405339</v>
      </c>
      <c r="F13" s="409">
        <f>+C13</f>
        <v>0.80930899356405339</v>
      </c>
      <c r="G13" s="409">
        <f>+C13</f>
        <v>0.80930899356405339</v>
      </c>
      <c r="H13" s="410">
        <f>+C13</f>
        <v>0.80930899356405339</v>
      </c>
      <c r="I13" s="411">
        <f>+'Cuadro Mando Integral Detallado'!O368</f>
        <v>0.33130054136219605</v>
      </c>
      <c r="J13" s="412">
        <f>+I13</f>
        <v>0.33130054136219605</v>
      </c>
      <c r="K13" s="413">
        <f>+I13</f>
        <v>0.33130054136219605</v>
      </c>
      <c r="L13" s="413">
        <f>+I13</f>
        <v>0.33130054136219605</v>
      </c>
      <c r="M13" s="413">
        <f>+I13</f>
        <v>0.33130054136219605</v>
      </c>
      <c r="N13" s="414">
        <f>+I13</f>
        <v>0.33130054136219605</v>
      </c>
      <c r="O13" s="419"/>
      <c r="P13" s="16"/>
      <c r="Q13" s="407">
        <f>+'Cuadro Mando Integral Detallado'!S368</f>
        <v>0.91247884974337601</v>
      </c>
      <c r="R13" s="408">
        <f>+Q13</f>
        <v>0.91247884974337601</v>
      </c>
      <c r="S13" s="409">
        <f>+Q13</f>
        <v>0.91247884974337601</v>
      </c>
      <c r="T13" s="409">
        <f>+Q13</f>
        <v>0.91247884974337601</v>
      </c>
      <c r="U13" s="409">
        <f>+Q13</f>
        <v>0.91247884974337601</v>
      </c>
      <c r="V13" s="410">
        <f>+Q13</f>
        <v>0.91247884974337601</v>
      </c>
      <c r="W13" s="417">
        <f>+'Cuadro Mando Integral Detallado'!V368</f>
        <v>0.47133642884268173</v>
      </c>
      <c r="X13" s="412">
        <f>+W13</f>
        <v>0.47133642884268173</v>
      </c>
      <c r="Y13" s="413">
        <f>+W13</f>
        <v>0.47133642884268173</v>
      </c>
      <c r="Z13" s="413">
        <f>+W13</f>
        <v>0.47133642884268173</v>
      </c>
      <c r="AA13" s="413">
        <f>+W13</f>
        <v>0.47133642884268173</v>
      </c>
      <c r="AB13" s="414">
        <f>+W13</f>
        <v>0.47133642884268173</v>
      </c>
      <c r="AC13" s="420"/>
      <c r="AD13" s="416"/>
      <c r="AE13" s="407">
        <f>+'Cuadro Mando Integral Detallado'!Z368</f>
        <v>0.84008577935319528</v>
      </c>
      <c r="AF13" s="408">
        <f>+AE13</f>
        <v>0.84008577935319528</v>
      </c>
      <c r="AG13" s="409">
        <f>+AE13</f>
        <v>0.84008577935319528</v>
      </c>
      <c r="AH13" s="409">
        <f>+AE13</f>
        <v>0.84008577935319528</v>
      </c>
      <c r="AI13" s="409">
        <f>+AE13</f>
        <v>0.84008577935319528</v>
      </c>
      <c r="AJ13" s="410">
        <f>+AE13</f>
        <v>0.84008577935319528</v>
      </c>
      <c r="AK13" s="415">
        <f>+'Cuadro Mando Integral Detallado'!AC368</f>
        <v>0.65572247003596662</v>
      </c>
      <c r="AL13" s="402">
        <f>+AK13</f>
        <v>0.65572247003596662</v>
      </c>
      <c r="AM13" s="397">
        <f>+AK13</f>
        <v>0.65572247003596662</v>
      </c>
      <c r="AN13" s="397">
        <f>+AK13</f>
        <v>0.65572247003596662</v>
      </c>
      <c r="AO13" s="397">
        <f>+AK13</f>
        <v>0.65572247003596662</v>
      </c>
      <c r="AP13" s="398">
        <f>+AK13</f>
        <v>0.65572247003596662</v>
      </c>
      <c r="AQ13" s="419"/>
      <c r="AR13" s="416"/>
      <c r="AS13" s="407">
        <f>+'Cuadro Mando Integral Detallado'!AG368</f>
        <v>8.1967213114754103E-3</v>
      </c>
      <c r="AT13" s="408">
        <f>+AS13</f>
        <v>8.1967213114754103E-3</v>
      </c>
      <c r="AU13" s="409">
        <f>+AS13</f>
        <v>8.1967213114754103E-3</v>
      </c>
      <c r="AV13" s="409">
        <f>+AS13</f>
        <v>8.1967213114754103E-3</v>
      </c>
      <c r="AW13" s="409">
        <f>+AS13</f>
        <v>8.1967213114754103E-3</v>
      </c>
      <c r="AX13" s="410">
        <f>+AS13</f>
        <v>8.1967213114754103E-3</v>
      </c>
      <c r="AY13" s="415" t="e">
        <f>+'Cuadro Mando Integral Detallado'!AI368</f>
        <v>#VALUE!</v>
      </c>
      <c r="AZ13" s="418" t="e">
        <f>+AY13</f>
        <v>#VALUE!</v>
      </c>
      <c r="BA13" s="413" t="e">
        <f>+AY13</f>
        <v>#VALUE!</v>
      </c>
      <c r="BB13" s="413" t="e">
        <f>+AY13</f>
        <v>#VALUE!</v>
      </c>
      <c r="BC13" s="413" t="e">
        <f>+AY13</f>
        <v>#VALUE!</v>
      </c>
      <c r="BD13" s="414" t="e">
        <f>+AY13</f>
        <v>#VALUE!</v>
      </c>
    </row>
    <row r="14" spans="1:60" s="6" customFormat="1" x14ac:dyDescent="0.25">
      <c r="A14" s="261"/>
    </row>
    <row r="15" spans="1:60" s="6" customFormat="1" x14ac:dyDescent="0.25">
      <c r="A15" s="261"/>
    </row>
    <row r="16" spans="1:60" x14ac:dyDescent="0.25">
      <c r="W16" s="421"/>
      <c r="AK16" s="421"/>
      <c r="AL16" s="421"/>
      <c r="AM16" s="421"/>
      <c r="AN16" s="421"/>
      <c r="AO16" s="421"/>
      <c r="AP16" s="421"/>
      <c r="AQ16" s="421"/>
      <c r="AY16" s="421"/>
    </row>
    <row r="17" spans="23:51" x14ac:dyDescent="0.25">
      <c r="W17" s="421"/>
      <c r="AK17" s="421"/>
      <c r="AL17" s="421"/>
      <c r="AM17" s="421"/>
      <c r="AN17" s="421"/>
      <c r="AO17" s="421"/>
      <c r="AP17" s="421"/>
      <c r="AQ17" s="421"/>
      <c r="AY17" s="421"/>
    </row>
    <row r="18" spans="23:51" x14ac:dyDescent="0.25">
      <c r="W18" s="421"/>
      <c r="AK18" s="421"/>
      <c r="AL18" s="421"/>
      <c r="AM18" s="421"/>
      <c r="AN18" s="421"/>
      <c r="AO18" s="421"/>
      <c r="AP18" s="421"/>
      <c r="AQ18" s="421"/>
      <c r="AY18" s="421"/>
    </row>
    <row r="19" spans="23:51" x14ac:dyDescent="0.25">
      <c r="W19" s="421"/>
      <c r="AK19" s="421"/>
      <c r="AL19" s="421"/>
      <c r="AM19" s="421"/>
      <c r="AN19" s="421"/>
      <c r="AO19" s="421"/>
      <c r="AP19" s="421"/>
      <c r="AQ19" s="421"/>
      <c r="AY19" s="421"/>
    </row>
    <row r="20" spans="23:51" x14ac:dyDescent="0.25">
      <c r="W20" s="421"/>
    </row>
  </sheetData>
  <sheetProtection algorithmName="SHA-512" hashValue="0hTGQvSMNchAS3KytHkKrhXehOOKTqSvBhhdaNIY39RoNhuVrhIYvmbXSsctrBE4ZkGdPGuMDszaMtU27u7K7A==" saltValue="PujYiYTxf/htxj7Q8vfo5A==" spinCount="100000" sheet="1" objects="1" scenarios="1"/>
  <mergeCells count="18">
    <mergeCell ref="A1:A3"/>
    <mergeCell ref="B1:H1"/>
    <mergeCell ref="I1:AR1"/>
    <mergeCell ref="AS1:BD3"/>
    <mergeCell ref="B2:H2"/>
    <mergeCell ref="I2:AR2"/>
    <mergeCell ref="B3:H3"/>
    <mergeCell ref="I3:N3"/>
    <mergeCell ref="P3:AJ3"/>
    <mergeCell ref="AL3:AR3"/>
    <mergeCell ref="AS5:AX5"/>
    <mergeCell ref="AY5:BD5"/>
    <mergeCell ref="C5:H5"/>
    <mergeCell ref="I5:N5"/>
    <mergeCell ref="Q5:V5"/>
    <mergeCell ref="W5:AB5"/>
    <mergeCell ref="AE5:AJ5"/>
    <mergeCell ref="AK5:AP5"/>
  </mergeCells>
  <conditionalFormatting sqref="D6">
    <cfRule type="cellIs" dxfId="1119" priority="276" stopIfTrue="1" operator="between">
      <formula>0</formula>
      <formula>0.5</formula>
    </cfRule>
  </conditionalFormatting>
  <conditionalFormatting sqref="AL6">
    <cfRule type="cellIs" dxfId="1118" priority="275" stopIfTrue="1" operator="between">
      <formula>0</formula>
      <formula>0.375</formula>
    </cfRule>
  </conditionalFormatting>
  <conditionalFormatting sqref="J6">
    <cfRule type="cellIs" dxfId="1117" priority="274" stopIfTrue="1" operator="between">
      <formula>0</formula>
      <formula>0.125</formula>
    </cfRule>
  </conditionalFormatting>
  <conditionalFormatting sqref="X6">
    <cfRule type="cellIs" dxfId="1116" priority="273" stopIfTrue="1" operator="between">
      <formula>0</formula>
      <formula>0.255</formula>
    </cfRule>
  </conditionalFormatting>
  <conditionalFormatting sqref="AZ6">
    <cfRule type="cellIs" dxfId="1115" priority="272" stopIfTrue="1" operator="between">
      <formula>0</formula>
      <formula>0.5</formula>
    </cfRule>
  </conditionalFormatting>
  <conditionalFormatting sqref="E6">
    <cfRule type="cellIs" dxfId="1114" priority="271" operator="between">
      <formula>0.51</formula>
      <formula>0.75</formula>
    </cfRule>
  </conditionalFormatting>
  <conditionalFormatting sqref="F6">
    <cfRule type="cellIs" dxfId="1113" priority="270" operator="between">
      <formula>0.76</formula>
      <formula>0.95</formula>
    </cfRule>
  </conditionalFormatting>
  <conditionalFormatting sqref="G6">
    <cfRule type="cellIs" dxfId="1112" priority="269" operator="between">
      <formula>0.96</formula>
      <formula>1</formula>
    </cfRule>
  </conditionalFormatting>
  <conditionalFormatting sqref="H6">
    <cfRule type="cellIs" dxfId="1111" priority="268" operator="greaterThan">
      <formula>1</formula>
    </cfRule>
  </conditionalFormatting>
  <conditionalFormatting sqref="D7">
    <cfRule type="cellIs" dxfId="1110" priority="267" stopIfTrue="1" operator="between">
      <formula>0</formula>
      <formula>0.5</formula>
    </cfRule>
  </conditionalFormatting>
  <conditionalFormatting sqref="E7">
    <cfRule type="cellIs" dxfId="1109" priority="266" operator="between">
      <formula>0.51</formula>
      <formula>0.75</formula>
    </cfRule>
  </conditionalFormatting>
  <conditionalFormatting sqref="F7">
    <cfRule type="cellIs" dxfId="1108" priority="265" operator="between">
      <formula>0.76</formula>
      <formula>0.95</formula>
    </cfRule>
  </conditionalFormatting>
  <conditionalFormatting sqref="H7">
    <cfRule type="cellIs" dxfId="1107" priority="263" operator="greaterThan">
      <formula>1</formula>
    </cfRule>
  </conditionalFormatting>
  <conditionalFormatting sqref="D8">
    <cfRule type="cellIs" dxfId="1106" priority="262" stopIfTrue="1" operator="between">
      <formula>0</formula>
      <formula>0.5</formula>
    </cfRule>
  </conditionalFormatting>
  <conditionalFormatting sqref="E8">
    <cfRule type="cellIs" dxfId="1105" priority="261" operator="between">
      <formula>0.51</formula>
      <formula>0.75</formula>
    </cfRule>
  </conditionalFormatting>
  <conditionalFormatting sqref="F8">
    <cfRule type="cellIs" dxfId="1104" priority="260" operator="between">
      <formula>0.76</formula>
      <formula>0.95</formula>
    </cfRule>
  </conditionalFormatting>
  <conditionalFormatting sqref="H8">
    <cfRule type="cellIs" dxfId="1103" priority="258" operator="greaterThan">
      <formula>1</formula>
    </cfRule>
  </conditionalFormatting>
  <conditionalFormatting sqref="D9">
    <cfRule type="cellIs" dxfId="1102" priority="257" stopIfTrue="1" operator="between">
      <formula>0</formula>
      <formula>0.5</formula>
    </cfRule>
  </conditionalFormatting>
  <conditionalFormatting sqref="E9">
    <cfRule type="cellIs" dxfId="1101" priority="256" operator="between">
      <formula>0.51</formula>
      <formula>0.75</formula>
    </cfRule>
  </conditionalFormatting>
  <conditionalFormatting sqref="F9">
    <cfRule type="cellIs" dxfId="1100" priority="255" operator="between">
      <formula>0.76</formula>
      <formula>0.95</formula>
    </cfRule>
  </conditionalFormatting>
  <conditionalFormatting sqref="H9">
    <cfRule type="cellIs" dxfId="1099" priority="253" operator="greaterThan">
      <formula>1</formula>
    </cfRule>
  </conditionalFormatting>
  <conditionalFormatting sqref="D11">
    <cfRule type="cellIs" dxfId="1098" priority="252" stopIfTrue="1" operator="between">
      <formula>0</formula>
      <formula>0.5</formula>
    </cfRule>
  </conditionalFormatting>
  <conditionalFormatting sqref="E11">
    <cfRule type="cellIs" dxfId="1097" priority="251" operator="between">
      <formula>0.51</formula>
      <formula>0.75</formula>
    </cfRule>
  </conditionalFormatting>
  <conditionalFormatting sqref="F11">
    <cfRule type="cellIs" dxfId="1096" priority="250" operator="between">
      <formula>0.76</formula>
      <formula>0.95</formula>
    </cfRule>
  </conditionalFormatting>
  <conditionalFormatting sqref="H11">
    <cfRule type="cellIs" dxfId="1095" priority="248" operator="greaterThan">
      <formula>1</formula>
    </cfRule>
  </conditionalFormatting>
  <conditionalFormatting sqref="R6">
    <cfRule type="cellIs" dxfId="1094" priority="247" stopIfTrue="1" operator="between">
      <formula>0</formula>
      <formula>0.5</formula>
    </cfRule>
  </conditionalFormatting>
  <conditionalFormatting sqref="S6">
    <cfRule type="cellIs" dxfId="1093" priority="246" operator="between">
      <formula>0.51</formula>
      <formula>0.75</formula>
    </cfRule>
  </conditionalFormatting>
  <conditionalFormatting sqref="T6">
    <cfRule type="cellIs" dxfId="1092" priority="245" operator="between">
      <formula>0.76</formula>
      <formula>0.95</formula>
    </cfRule>
  </conditionalFormatting>
  <conditionalFormatting sqref="U6">
    <cfRule type="cellIs" dxfId="1091" priority="244" operator="between">
      <formula>0.95</formula>
      <formula>1</formula>
    </cfRule>
  </conditionalFormatting>
  <conditionalFormatting sqref="V6">
    <cfRule type="cellIs" dxfId="1090" priority="243" operator="greaterThan">
      <formula>1</formula>
    </cfRule>
  </conditionalFormatting>
  <conditionalFormatting sqref="R7">
    <cfRule type="cellIs" dxfId="1089" priority="242" stopIfTrue="1" operator="between">
      <formula>0</formula>
      <formula>0.5</formula>
    </cfRule>
  </conditionalFormatting>
  <conditionalFormatting sqref="S7">
    <cfRule type="cellIs" dxfId="1088" priority="241" operator="between">
      <formula>0.51</formula>
      <formula>0.75</formula>
    </cfRule>
  </conditionalFormatting>
  <conditionalFormatting sqref="T7">
    <cfRule type="cellIs" dxfId="1087" priority="240" operator="between">
      <formula>0.76</formula>
      <formula>0.95</formula>
    </cfRule>
  </conditionalFormatting>
  <conditionalFormatting sqref="U7">
    <cfRule type="cellIs" dxfId="1086" priority="239" operator="between">
      <formula>0.95</formula>
      <formula>1</formula>
    </cfRule>
  </conditionalFormatting>
  <conditionalFormatting sqref="V7">
    <cfRule type="cellIs" dxfId="1085" priority="238" operator="greaterThan">
      <formula>1</formula>
    </cfRule>
  </conditionalFormatting>
  <conditionalFormatting sqref="R8">
    <cfRule type="cellIs" dxfId="1084" priority="237" stopIfTrue="1" operator="between">
      <formula>0</formula>
      <formula>0.5</formula>
    </cfRule>
  </conditionalFormatting>
  <conditionalFormatting sqref="S8">
    <cfRule type="cellIs" dxfId="1083" priority="236" operator="between">
      <formula>0.51</formula>
      <formula>0.75</formula>
    </cfRule>
  </conditionalFormatting>
  <conditionalFormatting sqref="T8">
    <cfRule type="cellIs" dxfId="1082" priority="235" operator="between">
      <formula>0.76</formula>
      <formula>0.95</formula>
    </cfRule>
  </conditionalFormatting>
  <conditionalFormatting sqref="U8">
    <cfRule type="cellIs" dxfId="1081" priority="234" operator="between">
      <formula>0.95</formula>
      <formula>1</formula>
    </cfRule>
  </conditionalFormatting>
  <conditionalFormatting sqref="V8">
    <cfRule type="cellIs" dxfId="1080" priority="233" operator="greaterThan">
      <formula>1</formula>
    </cfRule>
  </conditionalFormatting>
  <conditionalFormatting sqref="R9">
    <cfRule type="cellIs" dxfId="1079" priority="232" stopIfTrue="1" operator="between">
      <formula>0</formula>
      <formula>0.5</formula>
    </cfRule>
  </conditionalFormatting>
  <conditionalFormatting sqref="S9">
    <cfRule type="cellIs" dxfId="1078" priority="231" operator="between">
      <formula>0.51</formula>
      <formula>0.75</formula>
    </cfRule>
  </conditionalFormatting>
  <conditionalFormatting sqref="T9">
    <cfRule type="cellIs" dxfId="1077" priority="230" operator="between">
      <formula>0.76</formula>
      <formula>0.95</formula>
    </cfRule>
  </conditionalFormatting>
  <conditionalFormatting sqref="U9">
    <cfRule type="cellIs" dxfId="1076" priority="229" operator="between">
      <formula>0.95</formula>
      <formula>1</formula>
    </cfRule>
  </conditionalFormatting>
  <conditionalFormatting sqref="V9">
    <cfRule type="cellIs" dxfId="1075" priority="228" operator="greaterThan">
      <formula>1</formula>
    </cfRule>
  </conditionalFormatting>
  <conditionalFormatting sqref="AF6">
    <cfRule type="cellIs" dxfId="1074" priority="227" stopIfTrue="1" operator="between">
      <formula>0</formula>
      <formula>0.5</formula>
    </cfRule>
  </conditionalFormatting>
  <conditionalFormatting sqref="AG6">
    <cfRule type="cellIs" dxfId="1073" priority="226" operator="between">
      <formula>0.51</formula>
      <formula>0.75</formula>
    </cfRule>
  </conditionalFormatting>
  <conditionalFormatting sqref="AH6">
    <cfRule type="cellIs" dxfId="1072" priority="225" operator="between">
      <formula>0.76</formula>
      <formula>0.95</formula>
    </cfRule>
  </conditionalFormatting>
  <conditionalFormatting sqref="AI6">
    <cfRule type="cellIs" dxfId="1071" priority="224" operator="between">
      <formula>0.95</formula>
      <formula>1</formula>
    </cfRule>
  </conditionalFormatting>
  <conditionalFormatting sqref="AJ6">
    <cfRule type="cellIs" dxfId="1070" priority="223" operator="greaterThan">
      <formula>1</formula>
    </cfRule>
  </conditionalFormatting>
  <conditionalFormatting sqref="AF7">
    <cfRule type="cellIs" dxfId="1069" priority="222" stopIfTrue="1" operator="between">
      <formula>0</formula>
      <formula>0.5</formula>
    </cfRule>
  </conditionalFormatting>
  <conditionalFormatting sqref="AG7">
    <cfRule type="cellIs" dxfId="1068" priority="221" operator="between">
      <formula>0.51</formula>
      <formula>0.75</formula>
    </cfRule>
  </conditionalFormatting>
  <conditionalFormatting sqref="AH7">
    <cfRule type="cellIs" dxfId="1067" priority="220" operator="between">
      <formula>0.76</formula>
      <formula>0.95</formula>
    </cfRule>
  </conditionalFormatting>
  <conditionalFormatting sqref="AI7">
    <cfRule type="cellIs" dxfId="1066" priority="219" operator="between">
      <formula>0.95</formula>
      <formula>1</formula>
    </cfRule>
  </conditionalFormatting>
  <conditionalFormatting sqref="AJ7">
    <cfRule type="cellIs" dxfId="1065" priority="218" operator="greaterThan">
      <formula>1</formula>
    </cfRule>
  </conditionalFormatting>
  <conditionalFormatting sqref="AF8">
    <cfRule type="cellIs" dxfId="1064" priority="217" stopIfTrue="1" operator="between">
      <formula>0</formula>
      <formula>0.5</formula>
    </cfRule>
  </conditionalFormatting>
  <conditionalFormatting sqref="AG8">
    <cfRule type="cellIs" dxfId="1063" priority="216" operator="between">
      <formula>0.51</formula>
      <formula>0.75</formula>
    </cfRule>
  </conditionalFormatting>
  <conditionalFormatting sqref="AH8">
    <cfRule type="cellIs" dxfId="1062" priority="215" operator="between">
      <formula>0.76</formula>
      <formula>0.95</formula>
    </cfRule>
  </conditionalFormatting>
  <conditionalFormatting sqref="AI8">
    <cfRule type="cellIs" dxfId="1061" priority="214" operator="between">
      <formula>0.95</formula>
      <formula>1</formula>
    </cfRule>
  </conditionalFormatting>
  <conditionalFormatting sqref="AJ8">
    <cfRule type="cellIs" dxfId="1060" priority="213" operator="greaterThan">
      <formula>1</formula>
    </cfRule>
  </conditionalFormatting>
  <conditionalFormatting sqref="AF9">
    <cfRule type="cellIs" dxfId="1059" priority="212" stopIfTrue="1" operator="between">
      <formula>0</formula>
      <formula>0.5</formula>
    </cfRule>
  </conditionalFormatting>
  <conditionalFormatting sqref="AG9">
    <cfRule type="cellIs" dxfId="1058" priority="211" operator="between">
      <formula>0.51</formula>
      <formula>0.75</formula>
    </cfRule>
  </conditionalFormatting>
  <conditionalFormatting sqref="AH9">
    <cfRule type="cellIs" dxfId="1057" priority="210" operator="between">
      <formula>0.76</formula>
      <formula>0.95</formula>
    </cfRule>
  </conditionalFormatting>
  <conditionalFormatting sqref="AI9">
    <cfRule type="cellIs" dxfId="1056" priority="209" operator="between">
      <formula>0.95</formula>
      <formula>1</formula>
    </cfRule>
  </conditionalFormatting>
  <conditionalFormatting sqref="AJ9">
    <cfRule type="cellIs" dxfId="1055" priority="208" operator="greaterThan">
      <formula>1</formula>
    </cfRule>
  </conditionalFormatting>
  <conditionalFormatting sqref="AT6">
    <cfRule type="cellIs" dxfId="1054" priority="207" stopIfTrue="1" operator="between">
      <formula>0</formula>
      <formula>0.5</formula>
    </cfRule>
  </conditionalFormatting>
  <conditionalFormatting sqref="AU6">
    <cfRule type="cellIs" dxfId="1053" priority="206" operator="between">
      <formula>0.51</formula>
      <formula>0.75</formula>
    </cfRule>
  </conditionalFormatting>
  <conditionalFormatting sqref="AV6">
    <cfRule type="cellIs" dxfId="1052" priority="205" operator="between">
      <formula>0.76</formula>
      <formula>0.95</formula>
    </cfRule>
  </conditionalFormatting>
  <conditionalFormatting sqref="AW6">
    <cfRule type="cellIs" dxfId="1051" priority="204" operator="between">
      <formula>0.95</formula>
      <formula>1</formula>
    </cfRule>
  </conditionalFormatting>
  <conditionalFormatting sqref="AX6">
    <cfRule type="cellIs" dxfId="1050" priority="203" operator="greaterThan">
      <formula>1</formula>
    </cfRule>
  </conditionalFormatting>
  <conditionalFormatting sqref="AT7">
    <cfRule type="cellIs" dxfId="1049" priority="202" stopIfTrue="1" operator="between">
      <formula>0</formula>
      <formula>0.5</formula>
    </cfRule>
  </conditionalFormatting>
  <conditionalFormatting sqref="AU7">
    <cfRule type="cellIs" dxfId="1048" priority="201" operator="between">
      <formula>0.51</formula>
      <formula>0.75</formula>
    </cfRule>
  </conditionalFormatting>
  <conditionalFormatting sqref="AV7">
    <cfRule type="cellIs" dxfId="1047" priority="200" operator="between">
      <formula>0.76</formula>
      <formula>0.95</formula>
    </cfRule>
  </conditionalFormatting>
  <conditionalFormatting sqref="AW7">
    <cfRule type="cellIs" dxfId="1046" priority="199" operator="between">
      <formula>0.95</formula>
      <formula>1</formula>
    </cfRule>
  </conditionalFormatting>
  <conditionalFormatting sqref="AX7">
    <cfRule type="cellIs" dxfId="1045" priority="198" operator="greaterThan">
      <formula>1</formula>
    </cfRule>
  </conditionalFormatting>
  <conditionalFormatting sqref="AT8">
    <cfRule type="cellIs" dxfId="1044" priority="197" stopIfTrue="1" operator="between">
      <formula>0</formula>
      <formula>0.5</formula>
    </cfRule>
  </conditionalFormatting>
  <conditionalFormatting sqref="AU8">
    <cfRule type="cellIs" dxfId="1043" priority="196" operator="between">
      <formula>0.51</formula>
      <formula>0.75</formula>
    </cfRule>
  </conditionalFormatting>
  <conditionalFormatting sqref="AV8">
    <cfRule type="cellIs" dxfId="1042" priority="195" operator="between">
      <formula>0.76</formula>
      <formula>0.95</formula>
    </cfRule>
  </conditionalFormatting>
  <conditionalFormatting sqref="AW8">
    <cfRule type="cellIs" dxfId="1041" priority="194" operator="between">
      <formula>0.95</formula>
      <formula>1</formula>
    </cfRule>
  </conditionalFormatting>
  <conditionalFormatting sqref="AX8">
    <cfRule type="cellIs" dxfId="1040" priority="193" operator="greaterThan">
      <formula>1</formula>
    </cfRule>
  </conditionalFormatting>
  <conditionalFormatting sqref="AT9">
    <cfRule type="cellIs" dxfId="1039" priority="192" stopIfTrue="1" operator="between">
      <formula>0</formula>
      <formula>0.5</formula>
    </cfRule>
  </conditionalFormatting>
  <conditionalFormatting sqref="AU9">
    <cfRule type="cellIs" dxfId="1038" priority="191" operator="between">
      <formula>0.51</formula>
      <formula>0.75</formula>
    </cfRule>
  </conditionalFormatting>
  <conditionalFormatting sqref="AV9">
    <cfRule type="cellIs" dxfId="1037" priority="190" operator="between">
      <formula>0.76</formula>
      <formula>0.95</formula>
    </cfRule>
  </conditionalFormatting>
  <conditionalFormatting sqref="AW9">
    <cfRule type="cellIs" dxfId="1036" priority="189" operator="between">
      <formula>0.95</formula>
      <formula>1</formula>
    </cfRule>
  </conditionalFormatting>
  <conditionalFormatting sqref="AX9">
    <cfRule type="cellIs" dxfId="1035" priority="188" operator="greaterThan">
      <formula>1</formula>
    </cfRule>
  </conditionalFormatting>
  <conditionalFormatting sqref="R11">
    <cfRule type="cellIs" dxfId="1034" priority="187" stopIfTrue="1" operator="between">
      <formula>0</formula>
      <formula>0.5</formula>
    </cfRule>
  </conditionalFormatting>
  <conditionalFormatting sqref="S11">
    <cfRule type="cellIs" dxfId="1033" priority="186" operator="between">
      <formula>0.51</formula>
      <formula>0.75</formula>
    </cfRule>
  </conditionalFormatting>
  <conditionalFormatting sqref="T11">
    <cfRule type="cellIs" dxfId="1032" priority="185" operator="between">
      <formula>0.76</formula>
      <formula>0.95</formula>
    </cfRule>
  </conditionalFormatting>
  <conditionalFormatting sqref="U11">
    <cfRule type="cellIs" dxfId="1031" priority="184" operator="between">
      <formula>0.95</formula>
      <formula>1</formula>
    </cfRule>
  </conditionalFormatting>
  <conditionalFormatting sqref="V11">
    <cfRule type="cellIs" dxfId="1030" priority="183" operator="greaterThan">
      <formula>1</formula>
    </cfRule>
  </conditionalFormatting>
  <conditionalFormatting sqref="AF11">
    <cfRule type="cellIs" dxfId="1029" priority="182" stopIfTrue="1" operator="between">
      <formula>0</formula>
      <formula>0.5</formula>
    </cfRule>
  </conditionalFormatting>
  <conditionalFormatting sqref="AG11">
    <cfRule type="cellIs" dxfId="1028" priority="181" operator="between">
      <formula>0.51</formula>
      <formula>0.75</formula>
    </cfRule>
  </conditionalFormatting>
  <conditionalFormatting sqref="AH11">
    <cfRule type="cellIs" dxfId="1027" priority="180" operator="between">
      <formula>0.76</formula>
      <formula>0.95</formula>
    </cfRule>
  </conditionalFormatting>
  <conditionalFormatting sqref="AI11">
    <cfRule type="cellIs" dxfId="1026" priority="179" operator="between">
      <formula>0.95</formula>
      <formula>1</formula>
    </cfRule>
  </conditionalFormatting>
  <conditionalFormatting sqref="AJ11">
    <cfRule type="cellIs" dxfId="1025" priority="178" operator="greaterThan">
      <formula>1</formula>
    </cfRule>
  </conditionalFormatting>
  <conditionalFormatting sqref="AT11">
    <cfRule type="cellIs" dxfId="1024" priority="177" stopIfTrue="1" operator="between">
      <formula>0</formula>
      <formula>0.5</formula>
    </cfRule>
  </conditionalFormatting>
  <conditionalFormatting sqref="AU11">
    <cfRule type="cellIs" dxfId="1023" priority="176" operator="between">
      <formula>0.51</formula>
      <formula>0.75</formula>
    </cfRule>
  </conditionalFormatting>
  <conditionalFormatting sqref="AV11">
    <cfRule type="cellIs" dxfId="1022" priority="175" operator="between">
      <formula>0.76</formula>
      <formula>0.95</formula>
    </cfRule>
  </conditionalFormatting>
  <conditionalFormatting sqref="AW11">
    <cfRule type="cellIs" dxfId="1021" priority="174" operator="between">
      <formula>0.95</formula>
      <formula>1</formula>
    </cfRule>
  </conditionalFormatting>
  <conditionalFormatting sqref="AX11">
    <cfRule type="cellIs" dxfId="1020" priority="173" operator="greaterThan">
      <formula>1</formula>
    </cfRule>
  </conditionalFormatting>
  <conditionalFormatting sqref="K6">
    <cfRule type="cellIs" dxfId="1019" priority="172" operator="between">
      <formula>0.1251</formula>
      <formula>0.1875</formula>
    </cfRule>
  </conditionalFormatting>
  <conditionalFormatting sqref="L6">
    <cfRule type="cellIs" dxfId="1018" priority="171" operator="between">
      <formula>0.1876</formula>
      <formula>0.2375</formula>
    </cfRule>
  </conditionalFormatting>
  <conditionalFormatting sqref="M6">
    <cfRule type="cellIs" dxfId="1017" priority="170" operator="between">
      <formula>0.2376</formula>
      <formula>0.25</formula>
    </cfRule>
  </conditionalFormatting>
  <conditionalFormatting sqref="N6">
    <cfRule type="cellIs" dxfId="1016" priority="169" operator="greaterThan">
      <formula>0.25</formula>
    </cfRule>
  </conditionalFormatting>
  <conditionalFormatting sqref="Y6">
    <cfRule type="cellIs" dxfId="1015" priority="148" operator="between">
      <formula>0.2551</formula>
      <formula>0.375</formula>
    </cfRule>
  </conditionalFormatting>
  <conditionalFormatting sqref="Z6">
    <cfRule type="cellIs" dxfId="1014" priority="147" operator="between">
      <formula>0.38</formula>
      <formula>0.475</formula>
    </cfRule>
  </conditionalFormatting>
  <conditionalFormatting sqref="AA6">
    <cfRule type="cellIs" dxfId="1013" priority="146" operator="between">
      <formula>0.48</formula>
      <formula>0.51</formula>
    </cfRule>
  </conditionalFormatting>
  <conditionalFormatting sqref="AB6:AC6">
    <cfRule type="cellIs" dxfId="1012" priority="145" operator="greaterThan">
      <formula>0.505</formula>
    </cfRule>
  </conditionalFormatting>
  <conditionalFormatting sqref="X7">
    <cfRule type="cellIs" dxfId="1011" priority="144" stopIfTrue="1" operator="between">
      <formula>0</formula>
      <formula>0.255</formula>
    </cfRule>
  </conditionalFormatting>
  <conditionalFormatting sqref="Y7">
    <cfRule type="cellIs" dxfId="1010" priority="143" operator="between">
      <formula>0.2551</formula>
      <formula>0.375</formula>
    </cfRule>
  </conditionalFormatting>
  <conditionalFormatting sqref="Z7">
    <cfRule type="cellIs" dxfId="1009" priority="142" operator="between">
      <formula>0.38</formula>
      <formula>0.475</formula>
    </cfRule>
  </conditionalFormatting>
  <conditionalFormatting sqref="AA7">
    <cfRule type="cellIs" dxfId="1008" priority="141" operator="between">
      <formula>0.48</formula>
      <formula>0.51</formula>
    </cfRule>
  </conditionalFormatting>
  <conditionalFormatting sqref="AB7:AC7">
    <cfRule type="cellIs" dxfId="1007" priority="140" operator="greaterThan">
      <formula>0.505</formula>
    </cfRule>
  </conditionalFormatting>
  <conditionalFormatting sqref="X8">
    <cfRule type="cellIs" dxfId="1006" priority="139" stopIfTrue="1" operator="between">
      <formula>0</formula>
      <formula>0.255</formula>
    </cfRule>
  </conditionalFormatting>
  <conditionalFormatting sqref="Y8">
    <cfRule type="cellIs" dxfId="1005" priority="138" operator="between">
      <formula>0.2551</formula>
      <formula>0.375</formula>
    </cfRule>
  </conditionalFormatting>
  <conditionalFormatting sqref="Z8">
    <cfRule type="cellIs" dxfId="1004" priority="137" operator="between">
      <formula>0.38</formula>
      <formula>0.475</formula>
    </cfRule>
  </conditionalFormatting>
  <conditionalFormatting sqref="AA8">
    <cfRule type="cellIs" dxfId="1003" priority="136" operator="between">
      <formula>0.48</formula>
      <formula>0.51</formula>
    </cfRule>
  </conditionalFormatting>
  <conditionalFormatting sqref="AB8:AC8">
    <cfRule type="cellIs" dxfId="1002" priority="135" operator="greaterThan">
      <formula>0.505</formula>
    </cfRule>
  </conditionalFormatting>
  <conditionalFormatting sqref="X9">
    <cfRule type="cellIs" dxfId="1001" priority="134" stopIfTrue="1" operator="between">
      <formula>0</formula>
      <formula>0.255</formula>
    </cfRule>
  </conditionalFormatting>
  <conditionalFormatting sqref="Y9">
    <cfRule type="cellIs" dxfId="1000" priority="133" operator="between">
      <formula>0.2551</formula>
      <formula>0.375</formula>
    </cfRule>
  </conditionalFormatting>
  <conditionalFormatting sqref="Z9">
    <cfRule type="cellIs" dxfId="999" priority="132" operator="between">
      <formula>0.38</formula>
      <formula>0.475</formula>
    </cfRule>
  </conditionalFormatting>
  <conditionalFormatting sqref="AA9">
    <cfRule type="cellIs" dxfId="998" priority="131" operator="between">
      <formula>0.48</formula>
      <formula>0.51</formula>
    </cfRule>
  </conditionalFormatting>
  <conditionalFormatting sqref="AB9:AC9">
    <cfRule type="cellIs" dxfId="997" priority="130" operator="greaterThan">
      <formula>0.505</formula>
    </cfRule>
  </conditionalFormatting>
  <conditionalFormatting sqref="X11">
    <cfRule type="cellIs" dxfId="996" priority="129" stopIfTrue="1" operator="between">
      <formula>0</formula>
      <formula>0.255</formula>
    </cfRule>
  </conditionalFormatting>
  <conditionalFormatting sqref="Y11">
    <cfRule type="cellIs" dxfId="995" priority="128" operator="between">
      <formula>0.2551</formula>
      <formula>0.375</formula>
    </cfRule>
  </conditionalFormatting>
  <conditionalFormatting sqref="Z11">
    <cfRule type="cellIs" dxfId="994" priority="127" operator="between">
      <formula>0.38</formula>
      <formula>0.475</formula>
    </cfRule>
  </conditionalFormatting>
  <conditionalFormatting sqref="AA11">
    <cfRule type="cellIs" dxfId="993" priority="126" operator="between">
      <formula>0.48</formula>
      <formula>0.51</formula>
    </cfRule>
  </conditionalFormatting>
  <conditionalFormatting sqref="AB11:AC11">
    <cfRule type="cellIs" dxfId="992" priority="125" operator="greaterThan">
      <formula>0.505</formula>
    </cfRule>
  </conditionalFormatting>
  <conditionalFormatting sqref="AM6">
    <cfRule type="cellIs" dxfId="991" priority="124" operator="between">
      <formula>0.3751</formula>
      <formula>0.5625</formula>
    </cfRule>
  </conditionalFormatting>
  <conditionalFormatting sqref="AN6">
    <cfRule type="cellIs" dxfId="990" priority="123" operator="between">
      <formula>0.563</formula>
      <formula>0.7125</formula>
    </cfRule>
  </conditionalFormatting>
  <conditionalFormatting sqref="AO6">
    <cfRule type="cellIs" dxfId="989" priority="122" operator="between">
      <formula>0.713</formula>
      <formula>0.75</formula>
    </cfRule>
  </conditionalFormatting>
  <conditionalFormatting sqref="AP6">
    <cfRule type="cellIs" dxfId="988" priority="121" operator="greaterThan">
      <formula>0.755</formula>
    </cfRule>
  </conditionalFormatting>
  <conditionalFormatting sqref="AL7">
    <cfRule type="cellIs" dxfId="987" priority="120" stopIfTrue="1" operator="between">
      <formula>0</formula>
      <formula>0.375</formula>
    </cfRule>
  </conditionalFormatting>
  <conditionalFormatting sqref="AM7">
    <cfRule type="cellIs" dxfId="986" priority="119" operator="between">
      <formula>0.3751</formula>
      <formula>0.5625</formula>
    </cfRule>
  </conditionalFormatting>
  <conditionalFormatting sqref="AN7">
    <cfRule type="cellIs" dxfId="985" priority="118" operator="between">
      <formula>0.563</formula>
      <formula>0.7125</formula>
    </cfRule>
  </conditionalFormatting>
  <conditionalFormatting sqref="AO7">
    <cfRule type="cellIs" dxfId="984" priority="117" operator="between">
      <formula>0.713</formula>
      <formula>0.75</formula>
    </cfRule>
  </conditionalFormatting>
  <conditionalFormatting sqref="AP7">
    <cfRule type="cellIs" dxfId="983" priority="116" operator="greaterThan">
      <formula>0.755</formula>
    </cfRule>
  </conditionalFormatting>
  <conditionalFormatting sqref="AL8">
    <cfRule type="cellIs" dxfId="982" priority="115" stopIfTrue="1" operator="between">
      <formula>0</formula>
      <formula>0.375</formula>
    </cfRule>
  </conditionalFormatting>
  <conditionalFormatting sqref="AM8">
    <cfRule type="cellIs" dxfId="981" priority="114" operator="between">
      <formula>0.3751</formula>
      <formula>0.5625</formula>
    </cfRule>
  </conditionalFormatting>
  <conditionalFormatting sqref="AN8">
    <cfRule type="cellIs" dxfId="980" priority="113" operator="between">
      <formula>0.563</formula>
      <formula>0.7125</formula>
    </cfRule>
  </conditionalFormatting>
  <conditionalFormatting sqref="AO8">
    <cfRule type="cellIs" dxfId="979" priority="112" operator="between">
      <formula>0.713</formula>
      <formula>0.75</formula>
    </cfRule>
  </conditionalFormatting>
  <conditionalFormatting sqref="AP8">
    <cfRule type="cellIs" dxfId="978" priority="111" operator="greaterThan">
      <formula>0.755</formula>
    </cfRule>
  </conditionalFormatting>
  <conditionalFormatting sqref="AL9">
    <cfRule type="cellIs" dxfId="977" priority="110" stopIfTrue="1" operator="between">
      <formula>0</formula>
      <formula>0.375</formula>
    </cfRule>
  </conditionalFormatting>
  <conditionalFormatting sqref="AM9">
    <cfRule type="cellIs" dxfId="976" priority="109" operator="between">
      <formula>0.3751</formula>
      <formula>0.5625</formula>
    </cfRule>
  </conditionalFormatting>
  <conditionalFormatting sqref="AN9">
    <cfRule type="cellIs" dxfId="975" priority="108" operator="between">
      <formula>0.563</formula>
      <formula>0.7125</formula>
    </cfRule>
  </conditionalFormatting>
  <conditionalFormatting sqref="AO9">
    <cfRule type="cellIs" dxfId="974" priority="107" operator="between">
      <formula>0.713</formula>
      <formula>0.75</formula>
    </cfRule>
  </conditionalFormatting>
  <conditionalFormatting sqref="AP9">
    <cfRule type="cellIs" dxfId="973" priority="106" operator="greaterThan">
      <formula>0.755</formula>
    </cfRule>
  </conditionalFormatting>
  <conditionalFormatting sqref="AL11">
    <cfRule type="cellIs" dxfId="972" priority="105" stopIfTrue="1" operator="between">
      <formula>0</formula>
      <formula>0.375</formula>
    </cfRule>
  </conditionalFormatting>
  <conditionalFormatting sqref="AM11">
    <cfRule type="cellIs" dxfId="971" priority="104" operator="between">
      <formula>0.3751</formula>
      <formula>0.5625</formula>
    </cfRule>
  </conditionalFormatting>
  <conditionalFormatting sqref="AN11">
    <cfRule type="cellIs" dxfId="970" priority="103" operator="between">
      <formula>0.563</formula>
      <formula>0.7125</formula>
    </cfRule>
  </conditionalFormatting>
  <conditionalFormatting sqref="AO11">
    <cfRule type="cellIs" dxfId="969" priority="102" operator="between">
      <formula>0.713</formula>
      <formula>0.75</formula>
    </cfRule>
  </conditionalFormatting>
  <conditionalFormatting sqref="AP11">
    <cfRule type="cellIs" dxfId="968" priority="101" operator="greaterThan">
      <formula>0.755</formula>
    </cfRule>
  </conditionalFormatting>
  <conditionalFormatting sqref="BA6">
    <cfRule type="cellIs" dxfId="967" priority="100" operator="between">
      <formula>0.51</formula>
      <formula>0.75</formula>
    </cfRule>
  </conditionalFormatting>
  <conditionalFormatting sqref="BB6">
    <cfRule type="cellIs" dxfId="966" priority="99" operator="between">
      <formula>0.76</formula>
      <formula>0.95</formula>
    </cfRule>
  </conditionalFormatting>
  <conditionalFormatting sqref="BC6">
    <cfRule type="cellIs" dxfId="965" priority="98" operator="between">
      <formula>0.95</formula>
      <formula>1</formula>
    </cfRule>
  </conditionalFormatting>
  <conditionalFormatting sqref="BD6">
    <cfRule type="cellIs" dxfId="964" priority="97" operator="greaterThan">
      <formula>1</formula>
    </cfRule>
  </conditionalFormatting>
  <conditionalFormatting sqref="AZ7">
    <cfRule type="cellIs" dxfId="963" priority="96" stopIfTrue="1" operator="between">
      <formula>0</formula>
      <formula>0.5</formula>
    </cfRule>
  </conditionalFormatting>
  <conditionalFormatting sqref="BA7">
    <cfRule type="cellIs" dxfId="962" priority="95" operator="between">
      <formula>0.51</formula>
      <formula>0.75</formula>
    </cfRule>
  </conditionalFormatting>
  <conditionalFormatting sqref="BB7">
    <cfRule type="cellIs" dxfId="961" priority="94" operator="between">
      <formula>0.76</formula>
      <formula>0.95</formula>
    </cfRule>
  </conditionalFormatting>
  <conditionalFormatting sqref="BC7">
    <cfRule type="cellIs" dxfId="960" priority="93" operator="between">
      <formula>0.95</formula>
      <formula>1</formula>
    </cfRule>
  </conditionalFormatting>
  <conditionalFormatting sqref="BD7">
    <cfRule type="cellIs" dxfId="959" priority="92" operator="greaterThan">
      <formula>1</formula>
    </cfRule>
  </conditionalFormatting>
  <conditionalFormatting sqref="AZ8">
    <cfRule type="cellIs" dxfId="958" priority="91" stopIfTrue="1" operator="between">
      <formula>0</formula>
      <formula>0.5</formula>
    </cfRule>
  </conditionalFormatting>
  <conditionalFormatting sqref="BA8">
    <cfRule type="cellIs" dxfId="957" priority="90" operator="between">
      <formula>0.51</formula>
      <formula>0.75</formula>
    </cfRule>
  </conditionalFormatting>
  <conditionalFormatting sqref="BB8">
    <cfRule type="cellIs" dxfId="956" priority="89" operator="between">
      <formula>0.76</formula>
      <formula>0.95</formula>
    </cfRule>
  </conditionalFormatting>
  <conditionalFormatting sqref="BC8">
    <cfRule type="cellIs" dxfId="955" priority="88" operator="between">
      <formula>0.95</formula>
      <formula>1</formula>
    </cfRule>
  </conditionalFormatting>
  <conditionalFormatting sqref="BD8">
    <cfRule type="cellIs" dxfId="954" priority="87" operator="greaterThan">
      <formula>1</formula>
    </cfRule>
  </conditionalFormatting>
  <conditionalFormatting sqref="AZ9">
    <cfRule type="cellIs" dxfId="953" priority="86" stopIfTrue="1" operator="between">
      <formula>0</formula>
      <formula>0.5</formula>
    </cfRule>
  </conditionalFormatting>
  <conditionalFormatting sqref="BA9">
    <cfRule type="cellIs" dxfId="952" priority="85" operator="between">
      <formula>0.51</formula>
      <formula>0.75</formula>
    </cfRule>
  </conditionalFormatting>
  <conditionalFormatting sqref="BB9">
    <cfRule type="cellIs" dxfId="951" priority="84" operator="between">
      <formula>0.76</formula>
      <formula>0.95</formula>
    </cfRule>
  </conditionalFormatting>
  <conditionalFormatting sqref="BC9">
    <cfRule type="cellIs" dxfId="950" priority="83" operator="between">
      <formula>0.95</formula>
      <formula>1</formula>
    </cfRule>
  </conditionalFormatting>
  <conditionalFormatting sqref="BD9">
    <cfRule type="cellIs" dxfId="949" priority="82" operator="greaterThan">
      <formula>1</formula>
    </cfRule>
  </conditionalFormatting>
  <conditionalFormatting sqref="AZ11">
    <cfRule type="cellIs" dxfId="948" priority="81" stopIfTrue="1" operator="between">
      <formula>0</formula>
      <formula>0.5</formula>
    </cfRule>
  </conditionalFormatting>
  <conditionalFormatting sqref="BA11">
    <cfRule type="cellIs" dxfId="947" priority="80" operator="between">
      <formula>0.51</formula>
      <formula>0.75</formula>
    </cfRule>
  </conditionalFormatting>
  <conditionalFormatting sqref="BB11">
    <cfRule type="cellIs" dxfId="946" priority="79" operator="between">
      <formula>0.76</formula>
      <formula>0.95</formula>
    </cfRule>
  </conditionalFormatting>
  <conditionalFormatting sqref="BC11">
    <cfRule type="cellIs" dxfId="945" priority="78" operator="between">
      <formula>0.95</formula>
      <formula>1</formula>
    </cfRule>
  </conditionalFormatting>
  <conditionalFormatting sqref="BD11">
    <cfRule type="cellIs" dxfId="944" priority="77" operator="greaterThan">
      <formula>1</formula>
    </cfRule>
  </conditionalFormatting>
  <conditionalFormatting sqref="D13">
    <cfRule type="cellIs" dxfId="943" priority="76" stopIfTrue="1" operator="between">
      <formula>0</formula>
      <formula>0.5</formula>
    </cfRule>
  </conditionalFormatting>
  <conditionalFormatting sqref="E13">
    <cfRule type="cellIs" dxfId="942" priority="75" operator="between">
      <formula>0.51</formula>
      <formula>0.75</formula>
    </cfRule>
  </conditionalFormatting>
  <conditionalFormatting sqref="F13">
    <cfRule type="cellIs" dxfId="941" priority="74" operator="between">
      <formula>0.76</formula>
      <formula>0.95</formula>
    </cfRule>
  </conditionalFormatting>
  <conditionalFormatting sqref="H13">
    <cfRule type="cellIs" dxfId="940" priority="72" operator="greaterThan">
      <formula>1</formula>
    </cfRule>
  </conditionalFormatting>
  <conditionalFormatting sqref="R13">
    <cfRule type="cellIs" dxfId="939" priority="71" stopIfTrue="1" operator="between">
      <formula>0</formula>
      <formula>0.5</formula>
    </cfRule>
  </conditionalFormatting>
  <conditionalFormatting sqref="S13">
    <cfRule type="cellIs" dxfId="938" priority="70" operator="between">
      <formula>0.51</formula>
      <formula>0.75</formula>
    </cfRule>
  </conditionalFormatting>
  <conditionalFormatting sqref="T13">
    <cfRule type="cellIs" dxfId="937" priority="69" operator="between">
      <formula>0.76</formula>
      <formula>0.95</formula>
    </cfRule>
  </conditionalFormatting>
  <conditionalFormatting sqref="U13">
    <cfRule type="cellIs" dxfId="936" priority="68" operator="between">
      <formula>0.95</formula>
      <formula>1</formula>
    </cfRule>
  </conditionalFormatting>
  <conditionalFormatting sqref="V13">
    <cfRule type="cellIs" dxfId="935" priority="67" operator="greaterThan">
      <formula>1</formula>
    </cfRule>
  </conditionalFormatting>
  <conditionalFormatting sqref="AF13">
    <cfRule type="cellIs" dxfId="934" priority="66" stopIfTrue="1" operator="between">
      <formula>0</formula>
      <formula>0.5</formula>
    </cfRule>
  </conditionalFormatting>
  <conditionalFormatting sqref="AG13">
    <cfRule type="cellIs" dxfId="933" priority="65" operator="between">
      <formula>0.51</formula>
      <formula>0.75</formula>
    </cfRule>
  </conditionalFormatting>
  <conditionalFormatting sqref="AH13">
    <cfRule type="cellIs" dxfId="932" priority="64" operator="between">
      <formula>0.76</formula>
      <formula>0.95</formula>
    </cfRule>
  </conditionalFormatting>
  <conditionalFormatting sqref="AI13">
    <cfRule type="cellIs" dxfId="931" priority="63" operator="between">
      <formula>0.95</formula>
      <formula>1</formula>
    </cfRule>
  </conditionalFormatting>
  <conditionalFormatting sqref="AJ13">
    <cfRule type="cellIs" dxfId="930" priority="62" operator="greaterThan">
      <formula>1</formula>
    </cfRule>
  </conditionalFormatting>
  <conditionalFormatting sqref="AT13">
    <cfRule type="cellIs" dxfId="929" priority="61" stopIfTrue="1" operator="between">
      <formula>0</formula>
      <formula>0.5</formula>
    </cfRule>
  </conditionalFormatting>
  <conditionalFormatting sqref="AU13">
    <cfRule type="cellIs" dxfId="928" priority="60" operator="between">
      <formula>0.51</formula>
      <formula>0.75</formula>
    </cfRule>
  </conditionalFormatting>
  <conditionalFormatting sqref="AV13">
    <cfRule type="cellIs" dxfId="927" priority="59" operator="between">
      <formula>0.76</formula>
      <formula>0.95</formula>
    </cfRule>
  </conditionalFormatting>
  <conditionalFormatting sqref="AW13">
    <cfRule type="cellIs" dxfId="926" priority="58" operator="between">
      <formula>0.95</formula>
      <formula>1</formula>
    </cfRule>
  </conditionalFormatting>
  <conditionalFormatting sqref="AX13">
    <cfRule type="cellIs" dxfId="925" priority="57" operator="greaterThan">
      <formula>1</formula>
    </cfRule>
  </conditionalFormatting>
  <conditionalFormatting sqref="O13">
    <cfRule type="cellIs" dxfId="924" priority="52" operator="greaterThan">
      <formula>0.2601</formula>
    </cfRule>
  </conditionalFormatting>
  <conditionalFormatting sqref="AQ13">
    <cfRule type="cellIs" dxfId="923" priority="51" operator="greaterThan">
      <formula>0.755</formula>
    </cfRule>
  </conditionalFormatting>
  <conditionalFormatting sqref="AZ13">
    <cfRule type="cellIs" dxfId="922" priority="50" stopIfTrue="1" operator="between">
      <formula>0</formula>
      <formula>0.5</formula>
    </cfRule>
  </conditionalFormatting>
  <conditionalFormatting sqref="BA13">
    <cfRule type="cellIs" dxfId="921" priority="49" operator="between">
      <formula>0.51</formula>
      <formula>0.75</formula>
    </cfRule>
  </conditionalFormatting>
  <conditionalFormatting sqref="BB13">
    <cfRule type="cellIs" dxfId="920" priority="48" operator="between">
      <formula>0.76</formula>
      <formula>0.95</formula>
    </cfRule>
  </conditionalFormatting>
  <conditionalFormatting sqref="BC13">
    <cfRule type="cellIs" dxfId="919" priority="47" operator="between">
      <formula>0.95</formula>
      <formula>1</formula>
    </cfRule>
  </conditionalFormatting>
  <conditionalFormatting sqref="BD13">
    <cfRule type="cellIs" dxfId="918" priority="46" operator="greaterThan">
      <formula>1</formula>
    </cfRule>
  </conditionalFormatting>
  <conditionalFormatting sqref="X13">
    <cfRule type="cellIs" dxfId="917" priority="45" stopIfTrue="1" operator="between">
      <formula>0</formula>
      <formula>0.255</formula>
    </cfRule>
  </conditionalFormatting>
  <conditionalFormatting sqref="Y13">
    <cfRule type="cellIs" dxfId="916" priority="44" operator="between">
      <formula>0.2551</formula>
      <formula>0.375</formula>
    </cfRule>
  </conditionalFormatting>
  <conditionalFormatting sqref="Z13">
    <cfRule type="cellIs" dxfId="915" priority="43" operator="between">
      <formula>0.3751</formula>
      <formula>0.475</formula>
    </cfRule>
  </conditionalFormatting>
  <conditionalFormatting sqref="AA13">
    <cfRule type="cellIs" dxfId="914" priority="42" operator="between">
      <formula>0.48</formula>
      <formula>0.51</formula>
    </cfRule>
  </conditionalFormatting>
  <conditionalFormatting sqref="AB13:AC13">
    <cfRule type="cellIs" dxfId="913" priority="41" operator="greaterThan">
      <formula>0.505</formula>
    </cfRule>
  </conditionalFormatting>
  <conditionalFormatting sqref="AQ6">
    <cfRule type="cellIs" dxfId="912" priority="40" operator="greaterThan">
      <formula>0.505</formula>
    </cfRule>
  </conditionalFormatting>
  <conditionalFormatting sqref="AQ7">
    <cfRule type="cellIs" dxfId="911" priority="39" operator="greaterThan">
      <formula>0.505</formula>
    </cfRule>
  </conditionalFormatting>
  <conditionalFormatting sqref="AQ8">
    <cfRule type="cellIs" dxfId="910" priority="38" operator="greaterThan">
      <formula>0.505</formula>
    </cfRule>
  </conditionalFormatting>
  <conditionalFormatting sqref="AQ9">
    <cfRule type="cellIs" dxfId="909" priority="37" operator="greaterThan">
      <formula>0.505</formula>
    </cfRule>
  </conditionalFormatting>
  <conditionalFormatting sqref="AQ11">
    <cfRule type="cellIs" dxfId="908" priority="36" operator="greaterThan">
      <formula>0.505</formula>
    </cfRule>
  </conditionalFormatting>
  <conditionalFormatting sqref="BE6">
    <cfRule type="cellIs" dxfId="907" priority="35" operator="greaterThan">
      <formula>0.505</formula>
    </cfRule>
  </conditionalFormatting>
  <conditionalFormatting sqref="BE7">
    <cfRule type="cellIs" dxfId="906" priority="34" operator="greaterThan">
      <formula>0.505</formula>
    </cfRule>
  </conditionalFormatting>
  <conditionalFormatting sqref="BE8">
    <cfRule type="cellIs" dxfId="905" priority="33" operator="greaterThan">
      <formula>0.505</formula>
    </cfRule>
  </conditionalFormatting>
  <conditionalFormatting sqref="BE9">
    <cfRule type="cellIs" dxfId="904" priority="32" operator="greaterThan">
      <formula>0.505</formula>
    </cfRule>
  </conditionalFormatting>
  <conditionalFormatting sqref="BE11">
    <cfRule type="cellIs" dxfId="903" priority="31" operator="greaterThan">
      <formula>0.505</formula>
    </cfRule>
  </conditionalFormatting>
  <conditionalFormatting sqref="O6">
    <cfRule type="cellIs" dxfId="902" priority="30" operator="greaterThan">
      <formula>0.505</formula>
    </cfRule>
  </conditionalFormatting>
  <conditionalFormatting sqref="O7">
    <cfRule type="cellIs" dxfId="901" priority="29" operator="greaterThan">
      <formula>0.505</formula>
    </cfRule>
  </conditionalFormatting>
  <conditionalFormatting sqref="O8">
    <cfRule type="cellIs" dxfId="900" priority="28" operator="greaterThan">
      <formula>0.505</formula>
    </cfRule>
  </conditionalFormatting>
  <conditionalFormatting sqref="O9">
    <cfRule type="cellIs" dxfId="899" priority="27" operator="greaterThan">
      <formula>0.505</formula>
    </cfRule>
  </conditionalFormatting>
  <conditionalFormatting sqref="O11">
    <cfRule type="cellIs" dxfId="898" priority="26" operator="greaterThan">
      <formula>0.505</formula>
    </cfRule>
  </conditionalFormatting>
  <conditionalFormatting sqref="AL13">
    <cfRule type="cellIs" dxfId="897" priority="25" stopIfTrue="1" operator="between">
      <formula>0</formula>
      <formula>0.375</formula>
    </cfRule>
  </conditionalFormatting>
  <conditionalFormatting sqref="AM13">
    <cfRule type="cellIs" dxfId="896" priority="24" operator="between">
      <formula>0.3751</formula>
      <formula>0.5625</formula>
    </cfRule>
  </conditionalFormatting>
  <conditionalFormatting sqref="AN13">
    <cfRule type="cellIs" dxfId="895" priority="23" operator="between">
      <formula>0.563</formula>
      <formula>0.7125</formula>
    </cfRule>
  </conditionalFormatting>
  <conditionalFormatting sqref="AO13">
    <cfRule type="cellIs" dxfId="894" priority="22" operator="between">
      <formula>0.713</formula>
      <formula>0.75</formula>
    </cfRule>
  </conditionalFormatting>
  <conditionalFormatting sqref="AP13">
    <cfRule type="cellIs" dxfId="893" priority="21" operator="greaterThan">
      <formula>0.755</formula>
    </cfRule>
  </conditionalFormatting>
  <conditionalFormatting sqref="J7:J9">
    <cfRule type="cellIs" dxfId="892" priority="20" stopIfTrue="1" operator="between">
      <formula>0</formula>
      <formula>0.125</formula>
    </cfRule>
  </conditionalFormatting>
  <conditionalFormatting sqref="K7:K9">
    <cfRule type="cellIs" dxfId="891" priority="19" operator="between">
      <formula>0.1251</formula>
      <formula>0.1875</formula>
    </cfRule>
  </conditionalFormatting>
  <conditionalFormatting sqref="L7:L9">
    <cfRule type="cellIs" dxfId="890" priority="18" operator="between">
      <formula>0.1876</formula>
      <formula>0.2375</formula>
    </cfRule>
  </conditionalFormatting>
  <conditionalFormatting sqref="M7:M9">
    <cfRule type="cellIs" dxfId="889" priority="17" operator="between">
      <formula>0.2376</formula>
      <formula>0.25</formula>
    </cfRule>
  </conditionalFormatting>
  <conditionalFormatting sqref="N7:N9">
    <cfRule type="cellIs" dxfId="888" priority="16" operator="greaterThan">
      <formula>0.25</formula>
    </cfRule>
  </conditionalFormatting>
  <conditionalFormatting sqref="J11">
    <cfRule type="cellIs" dxfId="887" priority="15" stopIfTrue="1" operator="between">
      <formula>0</formula>
      <formula>0.125</formula>
    </cfRule>
  </conditionalFormatting>
  <conditionalFormatting sqref="K11">
    <cfRule type="cellIs" dxfId="886" priority="14" operator="between">
      <formula>0.1251</formula>
      <formula>0.1875</formula>
    </cfRule>
  </conditionalFormatting>
  <conditionalFormatting sqref="L11">
    <cfRule type="cellIs" dxfId="885" priority="13" operator="between">
      <formula>0.1876</formula>
      <formula>0.2375</formula>
    </cfRule>
  </conditionalFormatting>
  <conditionalFormatting sqref="M11">
    <cfRule type="cellIs" dxfId="884" priority="12" operator="between">
      <formula>0.2376</formula>
      <formula>0.25</formula>
    </cfRule>
  </conditionalFormatting>
  <conditionalFormatting sqref="N11">
    <cfRule type="cellIs" dxfId="883" priority="11" operator="greaterThan">
      <formula>0.25</formula>
    </cfRule>
  </conditionalFormatting>
  <conditionalFormatting sqref="J13">
    <cfRule type="cellIs" dxfId="882" priority="10" stopIfTrue="1" operator="between">
      <formula>0</formula>
      <formula>0.125</formula>
    </cfRule>
  </conditionalFormatting>
  <conditionalFormatting sqref="K13">
    <cfRule type="cellIs" dxfId="881" priority="9" operator="between">
      <formula>0.1251</formula>
      <formula>0.1875</formula>
    </cfRule>
  </conditionalFormatting>
  <conditionalFormatting sqref="L13">
    <cfRule type="cellIs" dxfId="880" priority="8" operator="between">
      <formula>0.1876</formula>
      <formula>0.2375</formula>
    </cfRule>
  </conditionalFormatting>
  <conditionalFormatting sqref="M13">
    <cfRule type="cellIs" dxfId="879" priority="7" operator="between">
      <formula>0.2376</formula>
      <formula>0.25</formula>
    </cfRule>
  </conditionalFormatting>
  <conditionalFormatting sqref="N13">
    <cfRule type="cellIs" dxfId="878" priority="6" operator="greaterThan">
      <formula>0.25</formula>
    </cfRule>
  </conditionalFormatting>
  <conditionalFormatting sqref="G7">
    <cfRule type="cellIs" dxfId="877" priority="5" operator="between">
      <formula>0.96</formula>
      <formula>1</formula>
    </cfRule>
  </conditionalFormatting>
  <conditionalFormatting sqref="G8">
    <cfRule type="cellIs" dxfId="876" priority="4" operator="between">
      <formula>0.96</formula>
      <formula>1</formula>
    </cfRule>
  </conditionalFormatting>
  <conditionalFormatting sqref="G9">
    <cfRule type="cellIs" dxfId="875" priority="3" operator="between">
      <formula>0.96</formula>
      <formula>1</formula>
    </cfRule>
  </conditionalFormatting>
  <conditionalFormatting sqref="G11">
    <cfRule type="cellIs" dxfId="874" priority="2" operator="between">
      <formula>0.96</formula>
      <formula>1</formula>
    </cfRule>
  </conditionalFormatting>
  <conditionalFormatting sqref="G13">
    <cfRule type="cellIs" dxfId="873" priority="1" operator="between">
      <formula>0.96</formula>
      <formula>1</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8000A-4233-4527-BD4A-FFC895A9E9DF}">
  <dimension ref="A1:BA15"/>
  <sheetViews>
    <sheetView showGridLines="0" topLeftCell="A5" zoomScale="80" zoomScaleNormal="80" workbookViewId="0">
      <selection activeCell="AC6" sqref="AC6"/>
    </sheetView>
  </sheetViews>
  <sheetFormatPr baseColWidth="10" defaultRowHeight="15" x14ac:dyDescent="0.25"/>
  <cols>
    <col min="1" max="1" width="49" customWidth="1"/>
    <col min="2" max="2" width="2.28515625" customWidth="1"/>
    <col min="3" max="3" width="15.85546875" customWidth="1"/>
    <col min="4" max="8" width="3.28515625" customWidth="1"/>
    <col min="9" max="9" width="16.28515625" customWidth="1"/>
    <col min="10" max="14" width="3.28515625" customWidth="1"/>
    <col min="15" max="15" width="2.7109375" customWidth="1"/>
    <col min="16" max="16" width="17.85546875" customWidth="1"/>
    <col min="17" max="21" width="3.28515625" customWidth="1"/>
    <col min="22" max="22" width="11.7109375" customWidth="1"/>
    <col min="23" max="27" width="3.28515625" customWidth="1"/>
    <col min="28" max="28" width="3.140625" customWidth="1"/>
    <col min="29" max="29" width="17.140625" customWidth="1"/>
    <col min="30" max="34" width="3.28515625" customWidth="1"/>
    <col min="35" max="35" width="11.7109375" customWidth="1"/>
    <col min="36" max="40" width="3.28515625" customWidth="1"/>
    <col min="41" max="41" width="2.85546875" customWidth="1"/>
    <col min="42" max="42" width="11.7109375" hidden="1" customWidth="1"/>
    <col min="43" max="47" width="3.28515625" hidden="1" customWidth="1"/>
    <col min="48" max="48" width="12.5703125" hidden="1" customWidth="1"/>
    <col min="49" max="53" width="3.28515625" hidden="1" customWidth="1"/>
  </cols>
  <sheetData>
    <row r="1" spans="1:53" ht="25.5" customHeight="1" x14ac:dyDescent="0.25">
      <c r="A1" s="1488"/>
      <c r="B1" s="1469" t="s">
        <v>246</v>
      </c>
      <c r="C1" s="1470"/>
      <c r="D1" s="1470"/>
      <c r="E1" s="1470"/>
      <c r="F1" s="1470"/>
      <c r="G1" s="1470"/>
      <c r="H1" s="1376"/>
      <c r="I1" s="1378" t="s">
        <v>247</v>
      </c>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0"/>
      <c r="AM1" s="1470"/>
      <c r="AN1" s="1470"/>
      <c r="AO1" s="1470"/>
      <c r="AP1" s="1471"/>
      <c r="AQ1" s="1472"/>
      <c r="AR1" s="1472"/>
      <c r="AS1" s="1472"/>
      <c r="AT1" s="1472"/>
      <c r="AU1" s="1472"/>
      <c r="AV1" s="1472"/>
      <c r="AW1" s="1472"/>
      <c r="AX1" s="1472"/>
      <c r="AY1" s="1472"/>
      <c r="AZ1" s="1472"/>
      <c r="BA1" s="1473"/>
    </row>
    <row r="2" spans="1:53" ht="15" customHeight="1" x14ac:dyDescent="0.25">
      <c r="A2" s="1489"/>
      <c r="B2" s="1480" t="s">
        <v>248</v>
      </c>
      <c r="C2" s="1481"/>
      <c r="D2" s="1481"/>
      <c r="E2" s="1481"/>
      <c r="F2" s="1481"/>
      <c r="G2" s="1481"/>
      <c r="H2" s="1381"/>
      <c r="I2" s="1383" t="s">
        <v>209</v>
      </c>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c r="AM2" s="1481"/>
      <c r="AN2" s="1481"/>
      <c r="AO2" s="1481"/>
      <c r="AP2" s="1474"/>
      <c r="AQ2" s="1475"/>
      <c r="AR2" s="1475"/>
      <c r="AS2" s="1475"/>
      <c r="AT2" s="1475"/>
      <c r="AU2" s="1475"/>
      <c r="AV2" s="1475"/>
      <c r="AW2" s="1475"/>
      <c r="AX2" s="1475"/>
      <c r="AY2" s="1475"/>
      <c r="AZ2" s="1475"/>
      <c r="BA2" s="1476"/>
    </row>
    <row r="3" spans="1:53" ht="15.75" customHeight="1" thickBot="1" x14ac:dyDescent="0.3">
      <c r="A3" s="1490"/>
      <c r="B3" s="1482" t="s">
        <v>242</v>
      </c>
      <c r="C3" s="1391"/>
      <c r="D3" s="1391"/>
      <c r="E3" s="1391"/>
      <c r="F3" s="1391"/>
      <c r="G3" s="1391"/>
      <c r="H3" s="1386"/>
      <c r="I3" s="1388" t="s">
        <v>251</v>
      </c>
      <c r="J3" s="1391"/>
      <c r="K3" s="1391"/>
      <c r="L3" s="1391"/>
      <c r="M3" s="1391"/>
      <c r="N3" s="1386"/>
      <c r="O3" s="1483" t="s">
        <v>253</v>
      </c>
      <c r="P3" s="1484"/>
      <c r="Q3" s="1484"/>
      <c r="R3" s="1484"/>
      <c r="S3" s="1484"/>
      <c r="T3" s="1484"/>
      <c r="U3" s="1484"/>
      <c r="V3" s="1484"/>
      <c r="W3" s="1484"/>
      <c r="X3" s="1484"/>
      <c r="Y3" s="1484"/>
      <c r="Z3" s="1484"/>
      <c r="AA3" s="1484"/>
      <c r="AB3" s="1484"/>
      <c r="AC3" s="1484"/>
      <c r="AD3" s="1484"/>
      <c r="AE3" s="1484"/>
      <c r="AF3" s="1484"/>
      <c r="AG3" s="1484"/>
      <c r="AH3" s="1485"/>
      <c r="AI3" s="327" t="s">
        <v>249</v>
      </c>
      <c r="AJ3" s="1388">
        <v>1</v>
      </c>
      <c r="AK3" s="1391"/>
      <c r="AL3" s="1391"/>
      <c r="AM3" s="1391"/>
      <c r="AN3" s="1391"/>
      <c r="AO3" s="1391"/>
      <c r="AP3" s="1477"/>
      <c r="AQ3" s="1478"/>
      <c r="AR3" s="1478"/>
      <c r="AS3" s="1478"/>
      <c r="AT3" s="1478"/>
      <c r="AU3" s="1478"/>
      <c r="AV3" s="1478"/>
      <c r="AW3" s="1478"/>
      <c r="AX3" s="1478"/>
      <c r="AY3" s="1478"/>
      <c r="AZ3" s="1478"/>
      <c r="BA3" s="1479"/>
    </row>
    <row r="4" spans="1:53" ht="15.75" thickBot="1" x14ac:dyDescent="0.3"/>
    <row r="5" spans="1:53" ht="72.75" customHeight="1" thickBot="1" x14ac:dyDescent="0.3">
      <c r="A5" s="358" t="s">
        <v>205</v>
      </c>
      <c r="B5" s="361"/>
      <c r="C5" s="1462" t="s">
        <v>1191</v>
      </c>
      <c r="D5" s="1486"/>
      <c r="E5" s="1486"/>
      <c r="F5" s="1486"/>
      <c r="G5" s="1486"/>
      <c r="H5" s="1487"/>
      <c r="I5" s="1465" t="s">
        <v>1192</v>
      </c>
      <c r="J5" s="1461"/>
      <c r="K5" s="1461"/>
      <c r="L5" s="1461"/>
      <c r="M5" s="1461"/>
      <c r="N5" s="1461"/>
      <c r="P5" s="1462" t="s">
        <v>1194</v>
      </c>
      <c r="Q5" s="1486"/>
      <c r="R5" s="1486"/>
      <c r="S5" s="1486"/>
      <c r="T5" s="1486"/>
      <c r="U5" s="1487"/>
      <c r="V5" s="1465" t="s">
        <v>1195</v>
      </c>
      <c r="W5" s="1461"/>
      <c r="X5" s="1461"/>
      <c r="Y5" s="1461"/>
      <c r="Z5" s="1461"/>
      <c r="AA5" s="1461"/>
      <c r="AB5" s="374"/>
      <c r="AC5" s="1462" t="s">
        <v>1196</v>
      </c>
      <c r="AD5" s="1486"/>
      <c r="AE5" s="1486"/>
      <c r="AF5" s="1486"/>
      <c r="AG5" s="1486"/>
      <c r="AH5" s="1487"/>
      <c r="AI5" s="1465" t="s">
        <v>1197</v>
      </c>
      <c r="AJ5" s="1461"/>
      <c r="AK5" s="1461"/>
      <c r="AL5" s="1461"/>
      <c r="AM5" s="1461"/>
      <c r="AN5" s="1461"/>
      <c r="AO5" s="374"/>
      <c r="AP5" s="1462" t="s">
        <v>1198</v>
      </c>
      <c r="AQ5" s="1486"/>
      <c r="AR5" s="1486"/>
      <c r="AS5" s="1486"/>
      <c r="AT5" s="1486"/>
      <c r="AU5" s="1487"/>
      <c r="AV5" s="1465" t="s">
        <v>1199</v>
      </c>
      <c r="AW5" s="1461"/>
      <c r="AX5" s="1461"/>
      <c r="AY5" s="1461"/>
      <c r="AZ5" s="1461"/>
      <c r="BA5" s="1461"/>
    </row>
    <row r="6" spans="1:53" ht="54" x14ac:dyDescent="0.25">
      <c r="A6" s="422" t="s">
        <v>1215</v>
      </c>
      <c r="B6" s="359"/>
      <c r="C6" s="423">
        <f>AVERAGE('Cuadro Mando Integral Detallado'!L133,'Cuadro Mando Integral Detallado'!L135:L142,'Cuadro Mando Integral Detallado'!L209:L210)</f>
        <v>0.75000171403310667</v>
      </c>
      <c r="D6" s="375">
        <f t="shared" ref="D6:D15" si="0">+C6</f>
        <v>0.75000171403310667</v>
      </c>
      <c r="E6" s="365">
        <f t="shared" ref="E6:E15" si="1">+C6</f>
        <v>0.75000171403310667</v>
      </c>
      <c r="F6" s="365">
        <f t="shared" ref="F6:F15" si="2">+C6</f>
        <v>0.75000171403310667</v>
      </c>
      <c r="G6" s="365">
        <f t="shared" ref="G6:G15" si="3">+C6</f>
        <v>0.75000171403310667</v>
      </c>
      <c r="H6" s="366">
        <f t="shared" ref="H6:H15" si="4">+C6</f>
        <v>0.75000171403310667</v>
      </c>
      <c r="I6" s="513">
        <f>AVERAGE('Cuadro Mando Integral Detallado'!O133,'Cuadro Mando Integral Detallado'!O135:O142,'Cuadro Mando Integral Detallado'!O209:O210)</f>
        <v>0.18750042850827667</v>
      </c>
      <c r="J6" s="368">
        <f t="shared" ref="J6:J15" si="5">+I6</f>
        <v>0.18750042850827667</v>
      </c>
      <c r="K6" s="369">
        <f t="shared" ref="K6:K15" si="6">+I6</f>
        <v>0.18750042850827667</v>
      </c>
      <c r="L6" s="369">
        <f t="shared" ref="L6:L15" si="7">+I6</f>
        <v>0.18750042850827667</v>
      </c>
      <c r="M6" s="369">
        <f t="shared" ref="M6:M15" si="8">+I6</f>
        <v>0.18750042850827667</v>
      </c>
      <c r="N6" s="370">
        <f t="shared" ref="N6:N15" si="9">+I6</f>
        <v>0.18750042850827667</v>
      </c>
      <c r="O6" s="17"/>
      <c r="P6" s="423">
        <f>AVERAGE('Cuadro Mando Integral Detallado'!S133:S142,'Cuadro Mando Integral Detallado'!S209:S210)</f>
        <v>1</v>
      </c>
      <c r="Q6" s="375">
        <f t="shared" ref="Q6:Q15" si="10">+P6</f>
        <v>1</v>
      </c>
      <c r="R6" s="365">
        <f t="shared" ref="R6:R15" si="11">+P6</f>
        <v>1</v>
      </c>
      <c r="S6" s="365">
        <f t="shared" ref="S6:S15" si="12">+P6</f>
        <v>1</v>
      </c>
      <c r="T6" s="365">
        <f t="shared" ref="T6:T15" si="13">+P6</f>
        <v>1</v>
      </c>
      <c r="U6" s="366">
        <f t="shared" ref="U6:U15" si="14">+P6</f>
        <v>1</v>
      </c>
      <c r="V6" s="423">
        <f>AVERAGE('Cuadro Mando Integral Detallado'!V133:V142,'Cuadro Mando Integral Detallado'!V209:V210)</f>
        <v>0.40909122073329213</v>
      </c>
      <c r="W6" s="368">
        <f t="shared" ref="W6:W15" si="15">+V6</f>
        <v>0.40909122073329213</v>
      </c>
      <c r="X6" s="369">
        <f t="shared" ref="X6:X15" si="16">+V6</f>
        <v>0.40909122073329213</v>
      </c>
      <c r="Y6" s="369">
        <f t="shared" ref="Y6:Y15" si="17">+V6</f>
        <v>0.40909122073329213</v>
      </c>
      <c r="Z6" s="369">
        <f>+V6</f>
        <v>0.40909122073329213</v>
      </c>
      <c r="AA6" s="370">
        <f t="shared" ref="AA6:AA15" si="18">+V6</f>
        <v>0.40909122073329213</v>
      </c>
      <c r="AB6" s="416"/>
      <c r="AC6" s="423">
        <f>AVERAGE('Cuadro Mando Integral Detallado'!Z133:Z142,'Cuadro Mando Integral Detallado'!Z209:Z210,'Cuadro Mando Integral Detallado'!Z153:Z156)</f>
        <v>0.99189189189189197</v>
      </c>
      <c r="AD6" s="375">
        <f t="shared" ref="AD6:AD15" si="19">+AC6</f>
        <v>0.99189189189189197</v>
      </c>
      <c r="AE6" s="365">
        <f t="shared" ref="AE6:AE15" si="20">+AC6</f>
        <v>0.99189189189189197</v>
      </c>
      <c r="AF6" s="365">
        <f t="shared" ref="AF6:AF15" si="21">+AC6</f>
        <v>0.99189189189189197</v>
      </c>
      <c r="AG6" s="365">
        <f t="shared" ref="AG6:AG14" si="22">+AC6</f>
        <v>0.99189189189189197</v>
      </c>
      <c r="AH6" s="366">
        <f t="shared" ref="AH6:AH15" si="23">+AC6</f>
        <v>0.99189189189189197</v>
      </c>
      <c r="AI6" s="423">
        <f>AVERAGE('Cuadro Mando Integral Detallado'!AC133:AC142,'Cuadro Mando Integral Detallado'!AC209:AC210,'Cuadro Mando Integral Detallado'!AC153:AC156)</f>
        <v>0.65663421827628976</v>
      </c>
      <c r="AJ6" s="375">
        <f t="shared" ref="AJ6:AJ15" si="24">+AI6</f>
        <v>0.65663421827628976</v>
      </c>
      <c r="AK6" s="369">
        <f t="shared" ref="AK6:AK15" si="25">+AI6</f>
        <v>0.65663421827628976</v>
      </c>
      <c r="AL6" s="369">
        <f t="shared" ref="AL6:AL15" si="26">+AI6</f>
        <v>0.65663421827628976</v>
      </c>
      <c r="AM6" s="369">
        <f t="shared" ref="AM6:AM15" si="27">+AI6</f>
        <v>0.65663421827628976</v>
      </c>
      <c r="AN6" s="370">
        <f t="shared" ref="AN6:AN15" si="28">+AI6</f>
        <v>0.65663421827628976</v>
      </c>
      <c r="AO6" s="416"/>
      <c r="AP6" s="423">
        <f>AVERAGE('Cuadro Mando Integral Detallado'!AG133:AG142,'Cuadro Mando Integral Detallado'!AG209:AG210,'Cuadro Mando Integral Detallado'!AG153:AG156)</f>
        <v>0</v>
      </c>
      <c r="AQ6" s="375">
        <f t="shared" ref="AQ6:AQ15" si="29">+AP6</f>
        <v>0</v>
      </c>
      <c r="AR6" s="365">
        <f t="shared" ref="AR6:AR15" si="30">+AP6</f>
        <v>0</v>
      </c>
      <c r="AS6" s="365">
        <f t="shared" ref="AS6:AS15" si="31">+AP6</f>
        <v>0</v>
      </c>
      <c r="AT6" s="365">
        <f t="shared" ref="AT6:AT15" si="32">+AP6</f>
        <v>0</v>
      </c>
      <c r="AU6" s="366">
        <f t="shared" ref="AU6:AU15" si="33">+AP6</f>
        <v>0</v>
      </c>
      <c r="AV6" s="423">
        <f>AVERAGE('Cuadro Mando Integral Detallado'!AI133:AI142,'Cuadro Mando Integral Detallado'!AI209:AI210,'Cuadro Mando Integral Detallado'!AI153:AI156)</f>
        <v>0.48153176006927911</v>
      </c>
      <c r="AW6" s="375">
        <f t="shared" ref="AW6:AW15" si="34">+AV6</f>
        <v>0.48153176006927911</v>
      </c>
      <c r="AX6" s="369">
        <f t="shared" ref="AX6:AX15" si="35">+AV6</f>
        <v>0.48153176006927911</v>
      </c>
      <c r="AY6" s="369">
        <f t="shared" ref="AY6:AY15" si="36">+AV6</f>
        <v>0.48153176006927911</v>
      </c>
      <c r="AZ6" s="369">
        <f t="shared" ref="AZ6:AZ15" si="37">+AV6</f>
        <v>0.48153176006927911</v>
      </c>
      <c r="BA6" s="370">
        <f t="shared" ref="BA6:BA15" si="38">+AV6</f>
        <v>0.48153176006927911</v>
      </c>
    </row>
    <row r="7" spans="1:53" ht="54" x14ac:dyDescent="0.25">
      <c r="A7" s="377" t="s">
        <v>1214</v>
      </c>
      <c r="B7" s="359"/>
      <c r="C7" s="424">
        <f>AVERAGE('Cuadro Mando Integral Detallado'!L147:L152,'Cuadro Mando Integral Detallado'!L213:L214)</f>
        <v>0.99784595152257205</v>
      </c>
      <c r="D7" s="509">
        <f t="shared" si="0"/>
        <v>0.99784595152257205</v>
      </c>
      <c r="E7" s="507">
        <f t="shared" si="1"/>
        <v>0.99784595152257205</v>
      </c>
      <c r="F7" s="507">
        <f t="shared" si="2"/>
        <v>0.99784595152257205</v>
      </c>
      <c r="G7" s="380">
        <f t="shared" si="3"/>
        <v>0.99784595152257205</v>
      </c>
      <c r="H7" s="508">
        <f t="shared" si="4"/>
        <v>0.99784595152257205</v>
      </c>
      <c r="I7" s="430">
        <f>AVERAGE('Cuadro Mando Integral Detallado'!O147:O152,'Cuadro Mando Integral Detallado'!O212:O214)</f>
        <v>0.21827880189556265</v>
      </c>
      <c r="J7" s="503">
        <f t="shared" si="5"/>
        <v>0.21827880189556265</v>
      </c>
      <c r="K7" s="504">
        <f t="shared" si="6"/>
        <v>0.21827880189556265</v>
      </c>
      <c r="L7" s="504">
        <f t="shared" si="7"/>
        <v>0.21827880189556265</v>
      </c>
      <c r="M7" s="504">
        <f t="shared" si="8"/>
        <v>0.21827880189556265</v>
      </c>
      <c r="N7" s="505">
        <f t="shared" si="9"/>
        <v>0.21827880189556265</v>
      </c>
      <c r="O7" s="11"/>
      <c r="P7" s="424">
        <f>AVERAGE('Cuadro Mando Integral Detallado'!S147:S152,'Cuadro Mando Integral Detallado'!S212:S214)</f>
        <v>0.99896816037735847</v>
      </c>
      <c r="Q7" s="389">
        <f t="shared" si="10"/>
        <v>0.99896816037735847</v>
      </c>
      <c r="R7" s="380">
        <f t="shared" si="11"/>
        <v>0.99896816037735847</v>
      </c>
      <c r="S7" s="380">
        <f t="shared" si="12"/>
        <v>0.99896816037735847</v>
      </c>
      <c r="T7" s="380">
        <f t="shared" si="13"/>
        <v>0.99896816037735847</v>
      </c>
      <c r="U7" s="381">
        <f t="shared" si="14"/>
        <v>0.99896816037735847</v>
      </c>
      <c r="V7" s="424">
        <f>AVERAGE('Cuadro Mando Integral Detallado'!V147:V152,'Cuadro Mando Integral Detallado'!V212:V214)</f>
        <v>0.42527778547250578</v>
      </c>
      <c r="W7" s="383">
        <f t="shared" si="15"/>
        <v>0.42527778547250578</v>
      </c>
      <c r="X7" s="384">
        <f t="shared" si="16"/>
        <v>0.42527778547250578</v>
      </c>
      <c r="Y7" s="384">
        <f t="shared" si="17"/>
        <v>0.42527778547250578</v>
      </c>
      <c r="Z7" s="384">
        <f>+V7</f>
        <v>0.42527778547250578</v>
      </c>
      <c r="AA7" s="385">
        <f t="shared" si="18"/>
        <v>0.42527778547250578</v>
      </c>
      <c r="AB7" s="416"/>
      <c r="AC7" s="424">
        <f>AVERAGE('Cuadro Mando Integral Detallado'!Z147:Z152,'Cuadro Mando Integral Detallado'!Z212:Z214)</f>
        <v>0.99970657276995301</v>
      </c>
      <c r="AD7" s="389">
        <f t="shared" si="19"/>
        <v>0.99970657276995301</v>
      </c>
      <c r="AE7" s="380">
        <f t="shared" si="20"/>
        <v>0.99970657276995301</v>
      </c>
      <c r="AF7" s="380">
        <f t="shared" si="21"/>
        <v>0.99970657276995301</v>
      </c>
      <c r="AG7" s="380">
        <f t="shared" si="22"/>
        <v>0.99970657276995301</v>
      </c>
      <c r="AH7" s="381">
        <f t="shared" si="23"/>
        <v>0.99970657276995301</v>
      </c>
      <c r="AI7" s="424">
        <f>AVERAGE('Cuadro Mando Integral Detallado'!AC147:AC152,'Cuadro Mando Integral Detallado'!AC212:AC214)</f>
        <v>0.65669406090286575</v>
      </c>
      <c r="AJ7" s="389">
        <f t="shared" si="24"/>
        <v>0.65669406090286575</v>
      </c>
      <c r="AK7" s="384">
        <f t="shared" si="25"/>
        <v>0.65669406090286575</v>
      </c>
      <c r="AL7" s="384">
        <f t="shared" si="26"/>
        <v>0.65669406090286575</v>
      </c>
      <c r="AM7" s="384">
        <f t="shared" si="27"/>
        <v>0.65669406090286575</v>
      </c>
      <c r="AN7" s="385">
        <f t="shared" si="28"/>
        <v>0.65669406090286575</v>
      </c>
      <c r="AO7" s="416"/>
      <c r="AP7" s="424">
        <f>AVERAGE('Cuadro Mando Integral Detallado'!AG147:AG152,'Cuadro Mando Integral Detallado'!AG212:AG214)</f>
        <v>0</v>
      </c>
      <c r="AQ7" s="389">
        <f t="shared" si="29"/>
        <v>0</v>
      </c>
      <c r="AR7" s="380">
        <f t="shared" si="30"/>
        <v>0</v>
      </c>
      <c r="AS7" s="380">
        <f t="shared" si="31"/>
        <v>0</v>
      </c>
      <c r="AT7" s="380">
        <f t="shared" si="32"/>
        <v>0</v>
      </c>
      <c r="AU7" s="381">
        <f t="shared" si="33"/>
        <v>0</v>
      </c>
      <c r="AV7" s="424">
        <f>AVERAGE('Cuadro Mando Integral Detallado'!AI147:AI152,'Cuadro Mando Integral Detallado'!AI212:AI214)</f>
        <v>0.65669406090286575</v>
      </c>
      <c r="AW7" s="389">
        <f t="shared" si="34"/>
        <v>0.65669406090286575</v>
      </c>
      <c r="AX7" s="384">
        <f t="shared" si="35"/>
        <v>0.65669406090286575</v>
      </c>
      <c r="AY7" s="384">
        <f t="shared" si="36"/>
        <v>0.65669406090286575</v>
      </c>
      <c r="AZ7" s="384">
        <f t="shared" si="37"/>
        <v>0.65669406090286575</v>
      </c>
      <c r="BA7" s="385">
        <f t="shared" si="38"/>
        <v>0.65669406090286575</v>
      </c>
    </row>
    <row r="8" spans="1:53" ht="72" x14ac:dyDescent="0.25">
      <c r="A8" s="377" t="s">
        <v>1216</v>
      </c>
      <c r="B8" s="359"/>
      <c r="C8" s="424">
        <f>AVERAGE('Cuadro Mando Integral Detallado'!L143:L146,'Cuadro Mando Integral Detallado'!L211)</f>
        <v>0.99642535533489107</v>
      </c>
      <c r="D8" s="509">
        <f t="shared" si="0"/>
        <v>0.99642535533489107</v>
      </c>
      <c r="E8" s="507">
        <f t="shared" si="1"/>
        <v>0.99642535533489107</v>
      </c>
      <c r="F8" s="507">
        <f t="shared" si="2"/>
        <v>0.99642535533489107</v>
      </c>
      <c r="G8" s="380">
        <f t="shared" si="3"/>
        <v>0.99642535533489107</v>
      </c>
      <c r="H8" s="508">
        <f t="shared" si="4"/>
        <v>0.99642535533489107</v>
      </c>
      <c r="I8" s="430">
        <f>AVERAGE('Cuadro Mando Integral Detallado'!O143:O146,'Cuadro Mando Integral Detallado'!O211)</f>
        <v>0.24910810347079912</v>
      </c>
      <c r="J8" s="383">
        <f t="shared" si="5"/>
        <v>0.24910810347079912</v>
      </c>
      <c r="K8" s="384">
        <f t="shared" si="6"/>
        <v>0.24910810347079912</v>
      </c>
      <c r="L8" s="384">
        <f t="shared" si="7"/>
        <v>0.24910810347079912</v>
      </c>
      <c r="M8" s="384">
        <f t="shared" si="8"/>
        <v>0.24910810347079912</v>
      </c>
      <c r="N8" s="385">
        <f t="shared" si="9"/>
        <v>0.24910810347079912</v>
      </c>
      <c r="O8" s="11"/>
      <c r="P8" s="424">
        <f>AVERAGE('Cuadro Mando Integral Detallado'!S143:S146,'Cuadro Mando Integral Detallado'!S211)</f>
        <v>0.99939782721263659</v>
      </c>
      <c r="Q8" s="389">
        <f t="shared" si="10"/>
        <v>0.99939782721263659</v>
      </c>
      <c r="R8" s="380">
        <f t="shared" si="11"/>
        <v>0.99939782721263659</v>
      </c>
      <c r="S8" s="380">
        <f t="shared" si="12"/>
        <v>0.99939782721263659</v>
      </c>
      <c r="T8" s="380">
        <f t="shared" si="13"/>
        <v>0.99939782721263659</v>
      </c>
      <c r="U8" s="381">
        <f t="shared" si="14"/>
        <v>0.99939782721263659</v>
      </c>
      <c r="V8" s="424">
        <f>AVERAGE('Cuadro Mando Integral Detallado'!V143:V146,'Cuadro Mando Integral Detallado'!V211)</f>
        <v>0.49895890175120833</v>
      </c>
      <c r="W8" s="383">
        <f t="shared" si="15"/>
        <v>0.49895890175120833</v>
      </c>
      <c r="X8" s="384">
        <f t="shared" si="16"/>
        <v>0.49895890175120833</v>
      </c>
      <c r="Y8" s="384">
        <f t="shared" si="17"/>
        <v>0.49895890175120833</v>
      </c>
      <c r="Z8" s="384">
        <f>+V8</f>
        <v>0.49895890175120833</v>
      </c>
      <c r="AA8" s="385">
        <f t="shared" si="18"/>
        <v>0.49895890175120833</v>
      </c>
      <c r="AB8" s="416"/>
      <c r="AC8" s="424">
        <f>AVERAGE('Cuadro Mando Integral Detallado'!Z143:Z146,'Cuadro Mando Integral Detallado'!Z211)</f>
        <v>0.92885731426514073</v>
      </c>
      <c r="AD8" s="389">
        <f t="shared" si="19"/>
        <v>0.92885731426514073</v>
      </c>
      <c r="AE8" s="380">
        <f t="shared" si="20"/>
        <v>0.92885731426514073</v>
      </c>
      <c r="AF8" s="380">
        <f t="shared" si="21"/>
        <v>0.92885731426514073</v>
      </c>
      <c r="AG8" s="380">
        <f t="shared" si="22"/>
        <v>0.92885731426514073</v>
      </c>
      <c r="AH8" s="381">
        <f t="shared" si="23"/>
        <v>0.92885731426514073</v>
      </c>
      <c r="AI8" s="424">
        <f>AVERAGE('Cuadro Mando Integral Detallado'!AC143:AC146,'Cuadro Mando Integral Detallado'!AC211)</f>
        <v>0.73117323031749348</v>
      </c>
      <c r="AJ8" s="389">
        <f t="shared" si="24"/>
        <v>0.73117323031749348</v>
      </c>
      <c r="AK8" s="384">
        <f t="shared" si="25"/>
        <v>0.73117323031749348</v>
      </c>
      <c r="AL8" s="384">
        <f t="shared" si="26"/>
        <v>0.73117323031749348</v>
      </c>
      <c r="AM8" s="384">
        <f t="shared" si="27"/>
        <v>0.73117323031749348</v>
      </c>
      <c r="AN8" s="385">
        <f t="shared" si="28"/>
        <v>0.73117323031749348</v>
      </c>
      <c r="AO8" s="416"/>
      <c r="AP8" s="424">
        <f>AVERAGE('Cuadro Mando Integral Detallado'!AG143:AG146,'Cuadro Mando Integral Detallado'!AG211)</f>
        <v>0</v>
      </c>
      <c r="AQ8" s="389">
        <f t="shared" si="29"/>
        <v>0</v>
      </c>
      <c r="AR8" s="380">
        <f t="shared" si="30"/>
        <v>0</v>
      </c>
      <c r="AS8" s="380">
        <f t="shared" si="31"/>
        <v>0</v>
      </c>
      <c r="AT8" s="380">
        <f t="shared" si="32"/>
        <v>0</v>
      </c>
      <c r="AU8" s="381">
        <f t="shared" si="33"/>
        <v>0</v>
      </c>
      <c r="AV8" s="424">
        <f>AVERAGE('Cuadro Mando Integral Detallado'!AI143:AI146,'Cuadro Mando Integral Detallado'!AI211)</f>
        <v>0.86040113077218461</v>
      </c>
      <c r="AW8" s="389">
        <f t="shared" si="34"/>
        <v>0.86040113077218461</v>
      </c>
      <c r="AX8" s="384">
        <f t="shared" si="35"/>
        <v>0.86040113077218461</v>
      </c>
      <c r="AY8" s="384">
        <f t="shared" si="36"/>
        <v>0.86040113077218461</v>
      </c>
      <c r="AZ8" s="384">
        <f t="shared" si="37"/>
        <v>0.86040113077218461</v>
      </c>
      <c r="BA8" s="385">
        <f t="shared" si="38"/>
        <v>0.86040113077218461</v>
      </c>
    </row>
    <row r="9" spans="1:53" ht="54" x14ac:dyDescent="0.25">
      <c r="A9" s="377" t="s">
        <v>1218</v>
      </c>
      <c r="B9" s="359"/>
      <c r="C9" s="424" t="e">
        <f>AVERAGE('Cuadro Mando Integral Detallado'!L215:L217)</f>
        <v>#DIV/0!</v>
      </c>
      <c r="D9" s="509" t="e">
        <f>+C9</f>
        <v>#DIV/0!</v>
      </c>
      <c r="E9" s="507" t="e">
        <f>+C9</f>
        <v>#DIV/0!</v>
      </c>
      <c r="F9" s="507" t="e">
        <f>+C9</f>
        <v>#DIV/0!</v>
      </c>
      <c r="G9" s="380" t="e">
        <f>+C9</f>
        <v>#DIV/0!</v>
      </c>
      <c r="H9" s="508" t="e">
        <f>+C9</f>
        <v>#DIV/0!</v>
      </c>
      <c r="I9" s="430" t="e">
        <f>AVERAGE('Cuadro Mando Integral Detallado'!O215:O217)</f>
        <v>#DIV/0!</v>
      </c>
      <c r="J9" s="383" t="e">
        <f t="shared" si="5"/>
        <v>#DIV/0!</v>
      </c>
      <c r="K9" s="384" t="e">
        <f t="shared" si="6"/>
        <v>#DIV/0!</v>
      </c>
      <c r="L9" s="384" t="e">
        <f t="shared" si="7"/>
        <v>#DIV/0!</v>
      </c>
      <c r="M9" s="384" t="e">
        <f t="shared" si="8"/>
        <v>#DIV/0!</v>
      </c>
      <c r="N9" s="385" t="e">
        <f t="shared" si="9"/>
        <v>#DIV/0!</v>
      </c>
      <c r="O9" s="11"/>
      <c r="P9" s="424">
        <f>AVERAGE('Cuadro Mando Integral Detallado'!S215:S217)</f>
        <v>0</v>
      </c>
      <c r="Q9" s="389">
        <f t="shared" si="10"/>
        <v>0</v>
      </c>
      <c r="R9" s="380">
        <f>+P9</f>
        <v>0</v>
      </c>
      <c r="S9" s="380">
        <f>+P9</f>
        <v>0</v>
      </c>
      <c r="T9" s="380">
        <f>+P9</f>
        <v>0</v>
      </c>
      <c r="U9" s="381">
        <f>+Q9</f>
        <v>0</v>
      </c>
      <c r="V9" s="424">
        <f>AVERAGE('Cuadro Mando Integral Detallado'!V215:V217)</f>
        <v>0</v>
      </c>
      <c r="W9" s="383">
        <f t="shared" si="15"/>
        <v>0</v>
      </c>
      <c r="X9" s="384">
        <f t="shared" si="16"/>
        <v>0</v>
      </c>
      <c r="Y9" s="384">
        <f t="shared" si="17"/>
        <v>0</v>
      </c>
      <c r="Z9" s="384">
        <f>+V9</f>
        <v>0</v>
      </c>
      <c r="AA9" s="385">
        <f t="shared" si="18"/>
        <v>0</v>
      </c>
      <c r="AB9" s="416"/>
      <c r="AC9" s="424" t="e">
        <f>AVERAGE('Cuadro Mando Integral Detallado'!Z215:Z217)</f>
        <v>#DIV/0!</v>
      </c>
      <c r="AD9" s="389" t="e">
        <f>+AC9</f>
        <v>#DIV/0!</v>
      </c>
      <c r="AE9" s="380" t="e">
        <f>+AC9</f>
        <v>#DIV/0!</v>
      </c>
      <c r="AF9" s="380" t="e">
        <f>+AC9</f>
        <v>#DIV/0!</v>
      </c>
      <c r="AG9" s="380" t="e">
        <f t="shared" si="22"/>
        <v>#DIV/0!</v>
      </c>
      <c r="AH9" s="381" t="e">
        <f>+AC9</f>
        <v>#DIV/0!</v>
      </c>
      <c r="AI9" s="424">
        <f>AVERAGE('Cuadro Mando Integral Detallado'!AC215:AI217)</f>
        <v>0</v>
      </c>
      <c r="AJ9" s="389">
        <f t="shared" si="24"/>
        <v>0</v>
      </c>
      <c r="AK9" s="384">
        <f t="shared" si="25"/>
        <v>0</v>
      </c>
      <c r="AL9" s="384">
        <f t="shared" si="26"/>
        <v>0</v>
      </c>
      <c r="AM9" s="384">
        <f t="shared" si="27"/>
        <v>0</v>
      </c>
      <c r="AN9" s="385">
        <f t="shared" si="28"/>
        <v>0</v>
      </c>
      <c r="AO9" s="416"/>
      <c r="AP9" s="424">
        <f>AVERAGE('Cuadro Mando Integral Detallado'!AG215:AG217)</f>
        <v>0</v>
      </c>
      <c r="AQ9" s="389">
        <f>+AP9</f>
        <v>0</v>
      </c>
      <c r="AR9" s="380">
        <f>+AP9</f>
        <v>0</v>
      </c>
      <c r="AS9" s="380">
        <f>+AP9</f>
        <v>0</v>
      </c>
      <c r="AT9" s="380">
        <f>+AP9</f>
        <v>0</v>
      </c>
      <c r="AU9" s="381">
        <f>+AP9</f>
        <v>0</v>
      </c>
      <c r="AV9" s="424">
        <f>AVERAGE('Cuadro Mando Integral Detallado'!AI215:AI217)</f>
        <v>0</v>
      </c>
      <c r="AW9" s="389">
        <f>+AV9</f>
        <v>0</v>
      </c>
      <c r="AX9" s="384">
        <f>+AV9</f>
        <v>0</v>
      </c>
      <c r="AY9" s="384">
        <f>+AV9</f>
        <v>0</v>
      </c>
      <c r="AZ9" s="384">
        <f>+AV9</f>
        <v>0</v>
      </c>
      <c r="BA9" s="385">
        <f>+AV9</f>
        <v>0</v>
      </c>
    </row>
    <row r="10" spans="1:53" ht="36" x14ac:dyDescent="0.25">
      <c r="A10" s="377" t="s">
        <v>1220</v>
      </c>
      <c r="B10" s="359"/>
      <c r="C10" s="424">
        <f>AVERAGE('Cuadro Mando Integral Detallado'!L158:L161,'Cuadro Mando Integral Detallado'!L218:L220)</f>
        <v>0.48255396856453397</v>
      </c>
      <c r="D10" s="509">
        <f>+C10</f>
        <v>0.48255396856453397</v>
      </c>
      <c r="E10" s="507">
        <f>+C10</f>
        <v>0.48255396856453397</v>
      </c>
      <c r="F10" s="507">
        <f>+C10</f>
        <v>0.48255396856453397</v>
      </c>
      <c r="G10" s="380">
        <f>+C10</f>
        <v>0.48255396856453397</v>
      </c>
      <c r="H10" s="508">
        <f>+C10</f>
        <v>0.48255396856453397</v>
      </c>
      <c r="I10" s="430">
        <f>AVERAGE('Cuadro Mando Integral Detallado'!O158:O161,'Cuadro Mando Integral Detallado'!O218:O220)</f>
        <v>0.21056273456537591</v>
      </c>
      <c r="J10" s="383">
        <f t="shared" si="5"/>
        <v>0.21056273456537591</v>
      </c>
      <c r="K10" s="384">
        <f t="shared" si="6"/>
        <v>0.21056273456537591</v>
      </c>
      <c r="L10" s="384">
        <f t="shared" si="7"/>
        <v>0.21056273456537591</v>
      </c>
      <c r="M10" s="384">
        <f t="shared" si="8"/>
        <v>0.21056273456537591</v>
      </c>
      <c r="N10" s="385">
        <f t="shared" si="9"/>
        <v>0.21056273456537591</v>
      </c>
      <c r="O10" s="11"/>
      <c r="P10" s="424">
        <f>AVERAGE('Cuadro Mando Integral Detallado'!S158:S161,'Cuadro Mando Integral Detallado'!S218:S220)</f>
        <v>1</v>
      </c>
      <c r="Q10" s="389">
        <f t="shared" si="10"/>
        <v>1</v>
      </c>
      <c r="R10" s="380">
        <f>+P10</f>
        <v>1</v>
      </c>
      <c r="S10" s="380">
        <f>+P10</f>
        <v>1</v>
      </c>
      <c r="T10" s="380">
        <f>+P10</f>
        <v>1</v>
      </c>
      <c r="U10" s="381">
        <f>+P10</f>
        <v>1</v>
      </c>
      <c r="V10" s="424">
        <f>AVERAGE('Cuadro Mando Integral Detallado'!V158:V161,'Cuadro Mando Integral Detallado'!V218:V220)</f>
        <v>0.29389606789870926</v>
      </c>
      <c r="W10" s="383">
        <f t="shared" si="15"/>
        <v>0.29389606789870926</v>
      </c>
      <c r="X10" s="384">
        <f t="shared" si="16"/>
        <v>0.29389606789870926</v>
      </c>
      <c r="Y10" s="384">
        <f t="shared" si="17"/>
        <v>0.29389606789870926</v>
      </c>
      <c r="Z10" s="384">
        <f>++V10</f>
        <v>0.29389606789870926</v>
      </c>
      <c r="AA10" s="385">
        <f t="shared" si="18"/>
        <v>0.29389606789870926</v>
      </c>
      <c r="AB10" s="416"/>
      <c r="AC10" s="424">
        <f>AVERAGE('Cuadro Mando Integral Detallado'!Z158:Z161,'Cuadro Mando Integral Detallado'!Z218:Z220)</f>
        <v>1</v>
      </c>
      <c r="AD10" s="389">
        <f>+AC10</f>
        <v>1</v>
      </c>
      <c r="AE10" s="380">
        <f>+AC10</f>
        <v>1</v>
      </c>
      <c r="AF10" s="380">
        <f>+AC10</f>
        <v>1</v>
      </c>
      <c r="AG10" s="380">
        <f t="shared" si="22"/>
        <v>1</v>
      </c>
      <c r="AH10" s="381">
        <f>+AC10</f>
        <v>1</v>
      </c>
      <c r="AI10" s="424">
        <f>AVERAGE('Cuadro Mando Integral Detallado'!AC158:AC161,'Cuadro Mando Integral Detallado'!AC218:AC220)</f>
        <v>0.37722940123204257</v>
      </c>
      <c r="AJ10" s="389">
        <f t="shared" si="24"/>
        <v>0.37722940123204257</v>
      </c>
      <c r="AK10" s="384">
        <f t="shared" si="25"/>
        <v>0.37722940123204257</v>
      </c>
      <c r="AL10" s="384">
        <f t="shared" si="26"/>
        <v>0.37722940123204257</v>
      </c>
      <c r="AM10" s="384">
        <f t="shared" si="27"/>
        <v>0.37722940123204257</v>
      </c>
      <c r="AN10" s="385">
        <f t="shared" si="28"/>
        <v>0.37722940123204257</v>
      </c>
      <c r="AO10" s="416"/>
      <c r="AP10" s="424">
        <f>AVERAGE('Cuadro Mando Integral Detallado'!AG158:AG161,'Cuadro Mando Integral Detallado'!AG218:AG220)</f>
        <v>0</v>
      </c>
      <c r="AQ10" s="389">
        <f>+AP10</f>
        <v>0</v>
      </c>
      <c r="AR10" s="380">
        <f>+AP10</f>
        <v>0</v>
      </c>
      <c r="AS10" s="380">
        <f>+AP10</f>
        <v>0</v>
      </c>
      <c r="AT10" s="380">
        <f>+AP10</f>
        <v>0</v>
      </c>
      <c r="AU10" s="381">
        <f>+AP10</f>
        <v>0</v>
      </c>
      <c r="AV10" s="424">
        <f>AVERAGE('Cuadro Mando Integral Detallado'!AI158:AI161,'Cuadro Mando Integral Detallado'!AI218:AI220)</f>
        <v>0.1616697433851611</v>
      </c>
      <c r="AW10" s="389">
        <f>+AV10</f>
        <v>0.1616697433851611</v>
      </c>
      <c r="AX10" s="384">
        <f>+AV10</f>
        <v>0.1616697433851611</v>
      </c>
      <c r="AY10" s="384">
        <f>+AV10</f>
        <v>0.1616697433851611</v>
      </c>
      <c r="AZ10" s="384">
        <f>+AV10</f>
        <v>0.1616697433851611</v>
      </c>
      <c r="BA10" s="385">
        <f>+AV10</f>
        <v>0.1616697433851611</v>
      </c>
    </row>
    <row r="11" spans="1:53" ht="36" x14ac:dyDescent="0.25">
      <c r="A11" s="377" t="s">
        <v>1219</v>
      </c>
      <c r="B11" s="359"/>
      <c r="C11" s="424">
        <f>AVERAGE('Cuadro Mando Integral Detallado'!L165:L170,'Cuadro Mando Integral Detallado'!L223:L237)</f>
        <v>0.69041476899838627</v>
      </c>
      <c r="D11" s="509">
        <f>+C11</f>
        <v>0.69041476899838627</v>
      </c>
      <c r="E11" s="507">
        <f>+C11</f>
        <v>0.69041476899838627</v>
      </c>
      <c r="F11" s="507">
        <f>+C11</f>
        <v>0.69041476899838627</v>
      </c>
      <c r="G11" s="380">
        <f>+C11</f>
        <v>0.69041476899838627</v>
      </c>
      <c r="H11" s="508">
        <f>+C11</f>
        <v>0.69041476899838627</v>
      </c>
      <c r="I11" s="430">
        <f>AVERAGE('Cuadro Mando Integral Detallado'!O165:O170,'Cuadro Mando Integral Detallado'!O223:O237)</f>
        <v>0.26427035891626327</v>
      </c>
      <c r="J11" s="383">
        <f t="shared" si="5"/>
        <v>0.26427035891626327</v>
      </c>
      <c r="K11" s="384">
        <f t="shared" si="6"/>
        <v>0.26427035891626327</v>
      </c>
      <c r="L11" s="384">
        <f t="shared" si="7"/>
        <v>0.26427035891626327</v>
      </c>
      <c r="M11" s="384">
        <f t="shared" si="8"/>
        <v>0.26427035891626327</v>
      </c>
      <c r="N11" s="385">
        <f t="shared" si="9"/>
        <v>0.26427035891626327</v>
      </c>
      <c r="O11" s="11"/>
      <c r="P11" s="424">
        <f>AVERAGE('Cuadro Mando Integral Detallado'!S165:S170,'Cuadro Mando Integral Detallado'!S223,S220:S232)</f>
        <v>0.92917837649597301</v>
      </c>
      <c r="Q11" s="389">
        <f t="shared" si="10"/>
        <v>0.92917837649597301</v>
      </c>
      <c r="R11" s="380">
        <f>+P11</f>
        <v>0.92917837649597301</v>
      </c>
      <c r="S11" s="380">
        <f>+P11</f>
        <v>0.92917837649597301</v>
      </c>
      <c r="T11" s="380">
        <f>+P11</f>
        <v>0.92917837649597301</v>
      </c>
      <c r="U11" s="381">
        <f>+P11</f>
        <v>0.92917837649597301</v>
      </c>
      <c r="V11" s="424">
        <f>AVERAGE('Cuadro Mando Integral Detallado'!V165:V170,'Cuadro Mando Integral Detallado'!V223:V237)</f>
        <v>0.41706739703273171</v>
      </c>
      <c r="W11" s="383">
        <f t="shared" si="15"/>
        <v>0.41706739703273171</v>
      </c>
      <c r="X11" s="384">
        <f t="shared" si="16"/>
        <v>0.41706739703273171</v>
      </c>
      <c r="Y11" s="384">
        <f t="shared" si="17"/>
        <v>0.41706739703273171</v>
      </c>
      <c r="Z11" s="384">
        <f>++V11</f>
        <v>0.41706739703273171</v>
      </c>
      <c r="AA11" s="385">
        <f t="shared" si="18"/>
        <v>0.41706739703273171</v>
      </c>
      <c r="AB11" s="416"/>
      <c r="AC11" s="424">
        <f>AVERAGE('Cuadro Mando Integral Detallado'!Z165:Z170,'Cuadro Mando Integral Detallado'!Z223:Z237)</f>
        <v>0.93763019379927748</v>
      </c>
      <c r="AD11" s="389">
        <f>+AC11</f>
        <v>0.93763019379927748</v>
      </c>
      <c r="AE11" s="380">
        <f>+AC11</f>
        <v>0.93763019379927748</v>
      </c>
      <c r="AF11" s="380">
        <f>+AC11</f>
        <v>0.93763019379927748</v>
      </c>
      <c r="AG11" s="380">
        <f t="shared" si="22"/>
        <v>0.93763019379927748</v>
      </c>
      <c r="AH11" s="381">
        <f>+AC11</f>
        <v>0.93763019379927748</v>
      </c>
      <c r="AI11" s="424">
        <f>AVERAGE('Cuadro Mando Integral Detallado'!AC165:AC170,'Cuadro Mando Integral Detallado'!AC223:AC237)</f>
        <v>0.582224910221948</v>
      </c>
      <c r="AJ11" s="389">
        <f t="shared" si="24"/>
        <v>0.582224910221948</v>
      </c>
      <c r="AK11" s="384">
        <f t="shared" si="25"/>
        <v>0.582224910221948</v>
      </c>
      <c r="AL11" s="384">
        <f t="shared" si="26"/>
        <v>0.582224910221948</v>
      </c>
      <c r="AM11" s="384">
        <f t="shared" si="27"/>
        <v>0.582224910221948</v>
      </c>
      <c r="AN11" s="385">
        <f t="shared" si="28"/>
        <v>0.582224910221948</v>
      </c>
      <c r="AO11" s="416"/>
      <c r="AP11" s="424">
        <f>AVERAGE('Cuadro Mando Integral Detallado'!AG165:AG170,'Cuadro Mando Integral Detallado'!AG223:AG237)</f>
        <v>0</v>
      </c>
      <c r="AQ11" s="389">
        <f>+AP11</f>
        <v>0</v>
      </c>
      <c r="AR11" s="380">
        <f>+AP11</f>
        <v>0</v>
      </c>
      <c r="AS11" s="380">
        <f>+AP11</f>
        <v>0</v>
      </c>
      <c r="AT11" s="380">
        <f>+AP11</f>
        <v>0</v>
      </c>
      <c r="AU11" s="381">
        <f>+AP11</f>
        <v>0</v>
      </c>
      <c r="AV11" s="424" t="e">
        <f>AVERAGE('Cuadro Mando Integral Detallado'!AI165:AI170,'Cuadro Mando Integral Detallado'!AI223:AI237)</f>
        <v>#VALUE!</v>
      </c>
      <c r="AW11" s="389" t="e">
        <f>+AV11</f>
        <v>#VALUE!</v>
      </c>
      <c r="AX11" s="384" t="e">
        <f>+AV11</f>
        <v>#VALUE!</v>
      </c>
      <c r="AY11" s="384" t="e">
        <f>+AV11</f>
        <v>#VALUE!</v>
      </c>
      <c r="AZ11" s="384" t="e">
        <f>+AV11</f>
        <v>#VALUE!</v>
      </c>
      <c r="BA11" s="385" t="e">
        <f>+AV11</f>
        <v>#VALUE!</v>
      </c>
    </row>
    <row r="12" spans="1:53" ht="54" x14ac:dyDescent="0.25">
      <c r="A12" s="377" t="s">
        <v>1221</v>
      </c>
      <c r="B12" s="359"/>
      <c r="C12" s="424">
        <f>AVERAGE('Cuadro Mando Integral Detallado'!L158:L161,'Cuadro Mando Integral Detallado'!L165:L170,'Cuadro Mando Integral Detallado'!L215:L220,'Cuadro Mando Integral Detallado'!L223:L237)</f>
        <v>0.66072036893640718</v>
      </c>
      <c r="D12" s="509">
        <f>+C12</f>
        <v>0.66072036893640718</v>
      </c>
      <c r="E12" s="507">
        <f>+C12</f>
        <v>0.66072036893640718</v>
      </c>
      <c r="F12" s="507">
        <f>+C12</f>
        <v>0.66072036893640718</v>
      </c>
      <c r="G12" s="380">
        <f>+C12</f>
        <v>0.66072036893640718</v>
      </c>
      <c r="H12" s="508">
        <f>+C12</f>
        <v>0.66072036893640718</v>
      </c>
      <c r="I12" s="430">
        <f>AVERAGE('Cuadro Mando Integral Detallado'!O158:O161,'Cuadro Mando Integral Detallado'!O165:O170,'Cuadro Mando Integral Detallado'!O215:O220,'Cuadro Mando Integral Detallado'!O223:O237)</f>
        <v>0.25659784115185075</v>
      </c>
      <c r="J12" s="383">
        <f t="shared" si="5"/>
        <v>0.25659784115185075</v>
      </c>
      <c r="K12" s="384">
        <f t="shared" si="6"/>
        <v>0.25659784115185075</v>
      </c>
      <c r="L12" s="384">
        <f t="shared" si="7"/>
        <v>0.25659784115185075</v>
      </c>
      <c r="M12" s="384">
        <f t="shared" si="8"/>
        <v>0.25659784115185075</v>
      </c>
      <c r="N12" s="385">
        <f t="shared" si="9"/>
        <v>0.25659784115185075</v>
      </c>
      <c r="O12" s="11"/>
      <c r="P12" s="424">
        <f>AVERAGE('Cuadro Mando Integral Detallado'!S158:S161,'Cuadro Mando Integral Detallado'!S165:S170,'Cuadro Mando Integral Detallado'!S215:S220,'Cuadro Mando Integral Detallado'!S223,S220:S232)</f>
        <v>0.80655598321140931</v>
      </c>
      <c r="Q12" s="389">
        <f t="shared" si="10"/>
        <v>0.80655598321140931</v>
      </c>
      <c r="R12" s="380">
        <f>+P12</f>
        <v>0.80655598321140931</v>
      </c>
      <c r="S12" s="380">
        <f>+P12</f>
        <v>0.80655598321140931</v>
      </c>
      <c r="T12" s="380">
        <f>+P12</f>
        <v>0.80655598321140931</v>
      </c>
      <c r="U12" s="381">
        <f>+P12</f>
        <v>0.80655598321140931</v>
      </c>
      <c r="V12" s="424">
        <f>AVERAGE('Cuadro Mando Integral Detallado'!V158:V161,'Cuadro Mando Integral Detallado'!V165:V170,'Cuadro Mando Integral Detallado'!V215:V220,'Cuadro Mando Integral Detallado'!V223:V237)</f>
        <v>0.38429317268128171</v>
      </c>
      <c r="W12" s="383">
        <f t="shared" si="15"/>
        <v>0.38429317268128171</v>
      </c>
      <c r="X12" s="384">
        <f t="shared" si="16"/>
        <v>0.38429317268128171</v>
      </c>
      <c r="Y12" s="384">
        <f t="shared" si="17"/>
        <v>0.38429317268128171</v>
      </c>
      <c r="Z12" s="384">
        <f>++V12</f>
        <v>0.38429317268128171</v>
      </c>
      <c r="AA12" s="385">
        <f t="shared" si="18"/>
        <v>0.38429317268128171</v>
      </c>
      <c r="AB12" s="416"/>
      <c r="AC12" s="424">
        <f>AVERAGE('Cuadro Mando Integral Detallado'!Z158:Z161,'Cuadro Mando Integral Detallado'!Z165:Z170,'Cuadro Mando Integral Detallado'!Z215:Z220,'Cuadro Mando Integral Detallado'!Z223:Z237)</f>
        <v>0.94152830668682264</v>
      </c>
      <c r="AD12" s="389">
        <f>+AC12</f>
        <v>0.94152830668682264</v>
      </c>
      <c r="AE12" s="380">
        <f>+AC12</f>
        <v>0.94152830668682264</v>
      </c>
      <c r="AF12" s="380">
        <f>+AC12</f>
        <v>0.94152830668682264</v>
      </c>
      <c r="AG12" s="380">
        <f t="shared" si="22"/>
        <v>0.94152830668682264</v>
      </c>
      <c r="AH12" s="381">
        <f>+AC12</f>
        <v>0.94152830668682264</v>
      </c>
      <c r="AI12" s="424">
        <f>AVERAGE('Cuadro Mando Integral Detallado'!AC158:AC161,'Cuadro Mando Integral Detallado'!AC165:AC170,'Cuadro Mando Integral Detallado'!AC215:AC220,'Cuadro Mando Integral Detallado'!AC223:AC237)</f>
        <v>0.53234110033896209</v>
      </c>
      <c r="AJ12" s="389">
        <f t="shared" si="24"/>
        <v>0.53234110033896209</v>
      </c>
      <c r="AK12" s="384">
        <f t="shared" si="25"/>
        <v>0.53234110033896209</v>
      </c>
      <c r="AL12" s="384">
        <f t="shared" si="26"/>
        <v>0.53234110033896209</v>
      </c>
      <c r="AM12" s="384">
        <f t="shared" si="27"/>
        <v>0.53234110033896209</v>
      </c>
      <c r="AN12" s="385">
        <f t="shared" si="28"/>
        <v>0.53234110033896209</v>
      </c>
      <c r="AO12" s="416"/>
      <c r="AP12" s="424">
        <f>AVERAGE('Cuadro Mando Integral Detallado'!AG158:AG161,'Cuadro Mando Integral Detallado'!AG165:AG170,'Cuadro Mando Integral Detallado'!AG215:AG220,'Cuadro Mando Integral Detallado'!AG223:AG237)</f>
        <v>0</v>
      </c>
      <c r="AQ12" s="389">
        <f>+AP12</f>
        <v>0</v>
      </c>
      <c r="AR12" s="380">
        <f>+AP12</f>
        <v>0</v>
      </c>
      <c r="AS12" s="380">
        <f>+AP12</f>
        <v>0</v>
      </c>
      <c r="AT12" s="380">
        <f>+AP12</f>
        <v>0</v>
      </c>
      <c r="AU12" s="381">
        <f>+AP12</f>
        <v>0</v>
      </c>
      <c r="AV12" s="424" t="e">
        <f>AVERAGE('Cuadro Mando Integral Detallado'!AI158:AI161,'Cuadro Mando Integral Detallado'!AI165:AI170,'Cuadro Mando Integral Detallado'!AI215:AI220,'Cuadro Mando Integral Detallado'!AI223:AI237)</f>
        <v>#VALUE!</v>
      </c>
      <c r="AW12" s="389" t="e">
        <f>+AV12</f>
        <v>#VALUE!</v>
      </c>
      <c r="AX12" s="384" t="e">
        <f>+AV12</f>
        <v>#VALUE!</v>
      </c>
      <c r="AY12" s="384" t="e">
        <f>+AV12</f>
        <v>#VALUE!</v>
      </c>
      <c r="AZ12" s="384" t="e">
        <f>+AV12</f>
        <v>#VALUE!</v>
      </c>
      <c r="BA12" s="385" t="e">
        <f>+AV12</f>
        <v>#VALUE!</v>
      </c>
    </row>
    <row r="13" spans="1:53" ht="90" x14ac:dyDescent="0.25">
      <c r="A13" s="377" t="s">
        <v>1217</v>
      </c>
      <c r="B13" s="359"/>
      <c r="C13" s="424">
        <f>'Cuadro Mando Integral Detallado'!L157</f>
        <v>1</v>
      </c>
      <c r="D13" s="509">
        <f t="shared" si="0"/>
        <v>1</v>
      </c>
      <c r="E13" s="507">
        <f t="shared" si="1"/>
        <v>1</v>
      </c>
      <c r="F13" s="507">
        <f t="shared" si="2"/>
        <v>1</v>
      </c>
      <c r="G13" s="380">
        <f t="shared" si="3"/>
        <v>1</v>
      </c>
      <c r="H13" s="508">
        <f t="shared" si="4"/>
        <v>1</v>
      </c>
      <c r="I13" s="430">
        <f>'Cuadro Mando Integral Detallado'!O157</f>
        <v>0.25</v>
      </c>
      <c r="J13" s="383">
        <f t="shared" si="5"/>
        <v>0.25</v>
      </c>
      <c r="K13" s="384">
        <f t="shared" si="6"/>
        <v>0.25</v>
      </c>
      <c r="L13" s="384">
        <f t="shared" si="7"/>
        <v>0.25</v>
      </c>
      <c r="M13" s="384">
        <f t="shared" si="8"/>
        <v>0.25</v>
      </c>
      <c r="N13" s="385">
        <f t="shared" si="9"/>
        <v>0.25</v>
      </c>
      <c r="O13" s="11"/>
      <c r="P13" s="424">
        <f>'Cuadro Mando Integral Detallado'!S157</f>
        <v>1</v>
      </c>
      <c r="Q13" s="389">
        <f t="shared" si="10"/>
        <v>1</v>
      </c>
      <c r="R13" s="380">
        <f t="shared" si="11"/>
        <v>1</v>
      </c>
      <c r="S13" s="380">
        <f t="shared" si="12"/>
        <v>1</v>
      </c>
      <c r="T13" s="380">
        <f t="shared" si="13"/>
        <v>1</v>
      </c>
      <c r="U13" s="381">
        <f t="shared" si="14"/>
        <v>1</v>
      </c>
      <c r="V13" s="424">
        <f>'Cuadro Mando Integral Detallado'!V157</f>
        <v>0.5</v>
      </c>
      <c r="W13" s="383">
        <f t="shared" si="15"/>
        <v>0.5</v>
      </c>
      <c r="X13" s="384">
        <f t="shared" si="16"/>
        <v>0.5</v>
      </c>
      <c r="Y13" s="384">
        <f t="shared" si="17"/>
        <v>0.5</v>
      </c>
      <c r="Z13" s="384">
        <f>+V13</f>
        <v>0.5</v>
      </c>
      <c r="AA13" s="385">
        <f t="shared" si="18"/>
        <v>0.5</v>
      </c>
      <c r="AB13" s="416"/>
      <c r="AC13" s="424">
        <f>'Cuadro Mando Integral Detallado'!Z157</f>
        <v>1</v>
      </c>
      <c r="AD13" s="389">
        <f t="shared" si="19"/>
        <v>1</v>
      </c>
      <c r="AE13" s="380">
        <f t="shared" si="20"/>
        <v>1</v>
      </c>
      <c r="AF13" s="380">
        <f t="shared" si="21"/>
        <v>1</v>
      </c>
      <c r="AG13" s="380">
        <f t="shared" si="22"/>
        <v>1</v>
      </c>
      <c r="AH13" s="381">
        <f t="shared" si="23"/>
        <v>1</v>
      </c>
      <c r="AI13" s="424">
        <f>'Cuadro Mando Integral Detallado'!AC157</f>
        <v>0.75</v>
      </c>
      <c r="AJ13" s="389">
        <f t="shared" si="24"/>
        <v>0.75</v>
      </c>
      <c r="AK13" s="384">
        <f t="shared" si="25"/>
        <v>0.75</v>
      </c>
      <c r="AL13" s="384">
        <f t="shared" si="26"/>
        <v>0.75</v>
      </c>
      <c r="AM13" s="384">
        <f t="shared" si="27"/>
        <v>0.75</v>
      </c>
      <c r="AN13" s="385">
        <f t="shared" si="28"/>
        <v>0.75</v>
      </c>
      <c r="AO13" s="416"/>
      <c r="AP13" s="424">
        <f>'Cuadro Mando Integral Detallado'!AG157</f>
        <v>0</v>
      </c>
      <c r="AQ13" s="389">
        <f>+AP13</f>
        <v>0</v>
      </c>
      <c r="AR13" s="380">
        <f>+AP13</f>
        <v>0</v>
      </c>
      <c r="AS13" s="380">
        <f>+AP13</f>
        <v>0</v>
      </c>
      <c r="AT13" s="380">
        <f>+AP13</f>
        <v>0</v>
      </c>
      <c r="AU13" s="381">
        <f>+AP13</f>
        <v>0</v>
      </c>
      <c r="AV13" s="424">
        <f>'Cuadro Mando Integral Detallado'!AI157</f>
        <v>0.75</v>
      </c>
      <c r="AW13" s="389">
        <f>+AV13</f>
        <v>0.75</v>
      </c>
      <c r="AX13" s="384">
        <f>+AV13</f>
        <v>0.75</v>
      </c>
      <c r="AY13" s="384">
        <f>+AV13</f>
        <v>0.75</v>
      </c>
      <c r="AZ13" s="384">
        <f>+AV13</f>
        <v>0.75</v>
      </c>
      <c r="BA13" s="385">
        <f>+AV13</f>
        <v>0.75</v>
      </c>
    </row>
    <row r="14" spans="1:53" ht="54" x14ac:dyDescent="0.25">
      <c r="A14" s="377" t="s">
        <v>1202</v>
      </c>
      <c r="B14" s="359"/>
      <c r="C14" s="424">
        <f>AVERAGE('Cuadro Mando Integral Detallado'!L162:L164,'Cuadro Mando Integral Detallado'!L221:L222)</f>
        <v>0.99987501698138848</v>
      </c>
      <c r="D14" s="509">
        <f t="shared" si="0"/>
        <v>0.99987501698138848</v>
      </c>
      <c r="E14" s="507">
        <f t="shared" si="1"/>
        <v>0.99987501698138848</v>
      </c>
      <c r="F14" s="507">
        <f t="shared" si="2"/>
        <v>0.99987501698138848</v>
      </c>
      <c r="G14" s="380">
        <f t="shared" si="3"/>
        <v>0.99987501698138848</v>
      </c>
      <c r="H14" s="508">
        <f t="shared" si="4"/>
        <v>0.99987501698138848</v>
      </c>
      <c r="I14" s="430">
        <f>AVERAGE('Cuadro Mando Integral Detallado'!O162:O164,'Cuadro Mando Integral Detallado'!O221:O222)</f>
        <v>0.24996875424534712</v>
      </c>
      <c r="J14" s="383">
        <f t="shared" si="5"/>
        <v>0.24996875424534712</v>
      </c>
      <c r="K14" s="384">
        <f t="shared" si="6"/>
        <v>0.24996875424534712</v>
      </c>
      <c r="L14" s="384">
        <f t="shared" si="7"/>
        <v>0.24996875424534712</v>
      </c>
      <c r="M14" s="384">
        <f t="shared" si="8"/>
        <v>0.24996875424534712</v>
      </c>
      <c r="N14" s="385">
        <f t="shared" si="9"/>
        <v>0.24996875424534712</v>
      </c>
      <c r="O14" s="11"/>
      <c r="P14" s="424">
        <f>AVERAGE('Cuadro Mando Integral Detallado'!S162:S164,'Cuadro Mando Integral Detallado'!S221:S222)</f>
        <v>0.99995922735844256</v>
      </c>
      <c r="Q14" s="389">
        <f t="shared" si="10"/>
        <v>0.99995922735844256</v>
      </c>
      <c r="R14" s="380">
        <f t="shared" si="11"/>
        <v>0.99995922735844256</v>
      </c>
      <c r="S14" s="380">
        <f t="shared" si="12"/>
        <v>0.99995922735844256</v>
      </c>
      <c r="T14" s="380">
        <f t="shared" si="13"/>
        <v>0.99995922735844256</v>
      </c>
      <c r="U14" s="381">
        <f t="shared" si="14"/>
        <v>0.99995922735844256</v>
      </c>
      <c r="V14" s="424">
        <f>AVERAGE('Cuadro Mando Integral Detallado'!V162:V164,'Cuadro Mando Integral Detallado'!V221:V222)</f>
        <v>0.49995856108495768</v>
      </c>
      <c r="W14" s="383">
        <f t="shared" si="15"/>
        <v>0.49995856108495768</v>
      </c>
      <c r="X14" s="384">
        <f t="shared" si="16"/>
        <v>0.49995856108495768</v>
      </c>
      <c r="Y14" s="384">
        <f t="shared" si="17"/>
        <v>0.49995856108495768</v>
      </c>
      <c r="Z14" s="384">
        <f>+V14</f>
        <v>0.49995856108495768</v>
      </c>
      <c r="AA14" s="385">
        <f t="shared" si="18"/>
        <v>0.49995856108495768</v>
      </c>
      <c r="AB14" s="416"/>
      <c r="AC14" s="424">
        <f>AVERAGE('Cuadro Mando Integral Detallado'!Z162:Z164,'Cuadro Mando Integral Detallado'!Z221:Z222)</f>
        <v>0.99995727915697541</v>
      </c>
      <c r="AD14" s="389">
        <f t="shared" si="19"/>
        <v>0.99995727915697541</v>
      </c>
      <c r="AE14" s="380">
        <f t="shared" si="20"/>
        <v>0.99995727915697541</v>
      </c>
      <c r="AF14" s="380">
        <f t="shared" si="21"/>
        <v>0.99995727915697541</v>
      </c>
      <c r="AG14" s="380">
        <f t="shared" si="22"/>
        <v>0.99995727915697541</v>
      </c>
      <c r="AH14" s="381">
        <f t="shared" si="23"/>
        <v>0.99995727915697541</v>
      </c>
      <c r="AI14" s="424">
        <f>AVERAGE('Cuadro Mando Integral Detallado'!AC162:AC164,'Cuadro Mando Integral Detallado'!AC221:AC222)</f>
        <v>0.7499478808742015</v>
      </c>
      <c r="AJ14" s="389">
        <f t="shared" si="24"/>
        <v>0.7499478808742015</v>
      </c>
      <c r="AK14" s="384">
        <f t="shared" si="25"/>
        <v>0.7499478808742015</v>
      </c>
      <c r="AL14" s="384">
        <f t="shared" si="26"/>
        <v>0.7499478808742015</v>
      </c>
      <c r="AM14" s="384">
        <f t="shared" si="27"/>
        <v>0.7499478808742015</v>
      </c>
      <c r="AN14" s="385">
        <f t="shared" si="28"/>
        <v>0.7499478808742015</v>
      </c>
      <c r="AO14" s="416"/>
      <c r="AP14" s="424">
        <f>AVERAGE('Cuadro Mando Integral Detallado'!AG162:AG164,'Cuadro Mando Integral Detallado'!AG221:AG222)</f>
        <v>0</v>
      </c>
      <c r="AQ14" s="389">
        <f t="shared" si="29"/>
        <v>0</v>
      </c>
      <c r="AR14" s="380">
        <f t="shared" si="30"/>
        <v>0</v>
      </c>
      <c r="AS14" s="380">
        <f t="shared" si="31"/>
        <v>0</v>
      </c>
      <c r="AT14" s="380">
        <f t="shared" si="32"/>
        <v>0</v>
      </c>
      <c r="AU14" s="381">
        <f t="shared" si="33"/>
        <v>0</v>
      </c>
      <c r="AV14" s="424">
        <f>AVERAGE('Cuadro Mando Integral Detallado'!AI162:AI164,'Cuadro Mando Integral Detallado'!AI221:AI222)</f>
        <v>0.7499478808742015</v>
      </c>
      <c r="AW14" s="389">
        <f t="shared" si="34"/>
        <v>0.7499478808742015</v>
      </c>
      <c r="AX14" s="384">
        <f t="shared" si="35"/>
        <v>0.7499478808742015</v>
      </c>
      <c r="AY14" s="384">
        <f t="shared" si="36"/>
        <v>0.7499478808742015</v>
      </c>
      <c r="AZ14" s="384">
        <f t="shared" si="37"/>
        <v>0.7499478808742015</v>
      </c>
      <c r="BA14" s="385">
        <f t="shared" si="38"/>
        <v>0.7499478808742015</v>
      </c>
    </row>
    <row r="15" spans="1:53" ht="18.75" thickBot="1" x14ac:dyDescent="0.3">
      <c r="A15" s="422" t="s">
        <v>1201</v>
      </c>
      <c r="B15" s="359"/>
      <c r="C15" s="425">
        <f>AVERAGE('Cuadro Mando Integral Detallado'!L171:L207,'Cuadro Mando Integral Detallado'!L238:L308,'Cuadro Mando Integral Detallado'!L310:L364)</f>
        <v>0.83268905377339797</v>
      </c>
      <c r="D15" s="510">
        <f t="shared" si="0"/>
        <v>0.83268905377339797</v>
      </c>
      <c r="E15" s="511">
        <f t="shared" si="1"/>
        <v>0.83268905377339797</v>
      </c>
      <c r="F15" s="511">
        <f t="shared" si="2"/>
        <v>0.83268905377339797</v>
      </c>
      <c r="G15" s="393">
        <f t="shared" si="3"/>
        <v>0.83268905377339797</v>
      </c>
      <c r="H15" s="512">
        <f t="shared" si="4"/>
        <v>0.83268905377339797</v>
      </c>
      <c r="I15" s="425">
        <f>AVERAGE('Cuadro Mando Integral Detallado'!O171:O207,'Cuadro Mando Integral Detallado'!O238:O308,'Cuadro Mando Integral Detallado'!O310:O364)</f>
        <v>0.41836055609736666</v>
      </c>
      <c r="J15" s="396">
        <f t="shared" si="5"/>
        <v>0.41836055609736666</v>
      </c>
      <c r="K15" s="397">
        <f t="shared" si="6"/>
        <v>0.41836055609736666</v>
      </c>
      <c r="L15" s="397">
        <f t="shared" si="7"/>
        <v>0.41836055609736666</v>
      </c>
      <c r="M15" s="397">
        <f t="shared" si="8"/>
        <v>0.41836055609736666</v>
      </c>
      <c r="N15" s="398">
        <f t="shared" si="9"/>
        <v>0.41836055609736666</v>
      </c>
      <c r="O15" s="11"/>
      <c r="P15" s="425">
        <f>AVERAGE('Cuadro Mando Integral Detallado'!S171:S207,'Cuadro Mando Integral Detallado'!S238:S308,'Cuadro Mando Integral Detallado'!S310:S364)</f>
        <v>0.87483281041138961</v>
      </c>
      <c r="Q15" s="402">
        <f t="shared" si="10"/>
        <v>0.87483281041138961</v>
      </c>
      <c r="R15" s="393">
        <f t="shared" si="11"/>
        <v>0.87483281041138961</v>
      </c>
      <c r="S15" s="393">
        <f t="shared" si="12"/>
        <v>0.87483281041138961</v>
      </c>
      <c r="T15" s="393">
        <f t="shared" si="13"/>
        <v>0.87483281041138961</v>
      </c>
      <c r="U15" s="394">
        <f t="shared" si="14"/>
        <v>0.87483281041138961</v>
      </c>
      <c r="V15" s="425">
        <f>AVERAGE('Cuadro Mando Integral Detallado'!V171:V207,'Cuadro Mando Integral Detallado'!V238:V308,'Cuadro Mando Integral Detallado'!V310:V364)</f>
        <v>0.51114463573864954</v>
      </c>
      <c r="W15" s="396">
        <f t="shared" si="15"/>
        <v>0.51114463573864954</v>
      </c>
      <c r="X15" s="397">
        <f t="shared" si="16"/>
        <v>0.51114463573864954</v>
      </c>
      <c r="Y15" s="397">
        <f t="shared" si="17"/>
        <v>0.51114463573864954</v>
      </c>
      <c r="Z15" s="397">
        <f>+V15</f>
        <v>0.51114463573864954</v>
      </c>
      <c r="AA15" s="398">
        <f t="shared" si="18"/>
        <v>0.51114463573864954</v>
      </c>
      <c r="AB15" s="416"/>
      <c r="AC15" s="425">
        <f>AVERAGE('Cuadro Mando Integral Detallado'!Z171:Z206,'Cuadro Mando Integral Detallado'!Z238:Z308,'Cuadro Mando Integral Detallado'!Z310:Z364)</f>
        <v>0.76842995723603846</v>
      </c>
      <c r="AD15" s="402">
        <f t="shared" si="19"/>
        <v>0.76842995723603846</v>
      </c>
      <c r="AE15" s="393">
        <f t="shared" si="20"/>
        <v>0.76842995723603846</v>
      </c>
      <c r="AF15" s="393">
        <f t="shared" si="21"/>
        <v>0.76842995723603846</v>
      </c>
      <c r="AG15" s="393">
        <f>+AB15</f>
        <v>0</v>
      </c>
      <c r="AH15" s="394">
        <f t="shared" si="23"/>
        <v>0.76842995723603846</v>
      </c>
      <c r="AI15" s="425">
        <f>AVERAGE('Cuadro Mando Integral Detallado'!AC171:AC206,'Cuadro Mando Integral Detallado'!AC238:AC308,'Cuadro Mando Integral Detallado'!AC310:AC364)</f>
        <v>0.67567604406482373</v>
      </c>
      <c r="AJ15" s="402">
        <f t="shared" si="24"/>
        <v>0.67567604406482373</v>
      </c>
      <c r="AK15" s="397">
        <f t="shared" si="25"/>
        <v>0.67567604406482373</v>
      </c>
      <c r="AL15" s="397">
        <f t="shared" si="26"/>
        <v>0.67567604406482373</v>
      </c>
      <c r="AM15" s="397">
        <f t="shared" si="27"/>
        <v>0.67567604406482373</v>
      </c>
      <c r="AN15" s="398">
        <f t="shared" si="28"/>
        <v>0.67567604406482373</v>
      </c>
      <c r="AO15" s="416"/>
      <c r="AP15" s="425">
        <f>AVERAGE('Cuadro Mando Integral Detallado'!AG171:AG206,'Cuadro Mando Integral Detallado'!AG238:AG308,'Cuadro Mando Integral Detallado'!AG310:AG364)</f>
        <v>1.5151515151515152E-2</v>
      </c>
      <c r="AQ15" s="402">
        <f t="shared" si="29"/>
        <v>1.5151515151515152E-2</v>
      </c>
      <c r="AR15" s="393">
        <f t="shared" si="30"/>
        <v>1.5151515151515152E-2</v>
      </c>
      <c r="AS15" s="393">
        <f t="shared" si="31"/>
        <v>1.5151515151515152E-2</v>
      </c>
      <c r="AT15" s="393">
        <f t="shared" si="32"/>
        <v>1.5151515151515152E-2</v>
      </c>
      <c r="AU15" s="394">
        <f t="shared" si="33"/>
        <v>1.5151515151515152E-2</v>
      </c>
      <c r="AV15" s="425">
        <f>AVERAGE('Cuadro Mando Integral Detallado'!AI171:AI206,'Cuadro Mando Integral Detallado'!AI238:AI308,'Cuadro Mando Integral Detallado'!AI310:AI364)</f>
        <v>0.5923795785470628</v>
      </c>
      <c r="AW15" s="402">
        <f t="shared" si="34"/>
        <v>0.5923795785470628</v>
      </c>
      <c r="AX15" s="397">
        <f t="shared" si="35"/>
        <v>0.5923795785470628</v>
      </c>
      <c r="AY15" s="397">
        <f t="shared" si="36"/>
        <v>0.5923795785470628</v>
      </c>
      <c r="AZ15" s="397">
        <f t="shared" si="37"/>
        <v>0.5923795785470628</v>
      </c>
      <c r="BA15" s="398">
        <f t="shared" si="38"/>
        <v>0.5923795785470628</v>
      </c>
    </row>
  </sheetData>
  <sheetProtection algorithmName="SHA-512" hashValue="2I5TdhvVYrRMazGUEn8yy9q8mjWgSZ8lafqh+WXwQFRbMv9ea6tG025c7vFFS7MNIIfzodSHVy1fkdxsr5EH2Q==" saltValue="ICQvkgLWWUP+f768vCG53A==" spinCount="100000" sheet="1" objects="1" scenarios="1"/>
  <mergeCells count="18">
    <mergeCell ref="A1:A3"/>
    <mergeCell ref="B1:H1"/>
    <mergeCell ref="I1:AO1"/>
    <mergeCell ref="AP1:BA3"/>
    <mergeCell ref="B2:H2"/>
    <mergeCell ref="I2:AO2"/>
    <mergeCell ref="B3:H3"/>
    <mergeCell ref="I3:N3"/>
    <mergeCell ref="O3:AH3"/>
    <mergeCell ref="AJ3:AO3"/>
    <mergeCell ref="AP5:AU5"/>
    <mergeCell ref="AV5:BA5"/>
    <mergeCell ref="C5:H5"/>
    <mergeCell ref="I5:N5"/>
    <mergeCell ref="P5:U5"/>
    <mergeCell ref="V5:AA5"/>
    <mergeCell ref="AC5:AH5"/>
    <mergeCell ref="AI5:AN5"/>
  </mergeCells>
  <conditionalFormatting sqref="Q6">
    <cfRule type="cellIs" dxfId="872" priority="261" stopIfTrue="1" operator="between">
      <formula>0</formula>
      <formula>0.5</formula>
    </cfRule>
  </conditionalFormatting>
  <conditionalFormatting sqref="R6">
    <cfRule type="cellIs" dxfId="871" priority="260" operator="between">
      <formula>0.51</formula>
      <formula>0.75</formula>
    </cfRule>
  </conditionalFormatting>
  <conditionalFormatting sqref="S6">
    <cfRule type="cellIs" dxfId="870" priority="259" operator="between">
      <formula>0.76</formula>
      <formula>0.95</formula>
    </cfRule>
  </conditionalFormatting>
  <conditionalFormatting sqref="T6">
    <cfRule type="cellIs" dxfId="869" priority="258" operator="between">
      <formula>0.95</formula>
      <formula>1</formula>
    </cfRule>
  </conditionalFormatting>
  <conditionalFormatting sqref="U6">
    <cfRule type="cellIs" dxfId="868" priority="257" operator="greaterThan">
      <formula>1</formula>
    </cfRule>
  </conditionalFormatting>
  <conditionalFormatting sqref="Q7">
    <cfRule type="cellIs" dxfId="867" priority="256" stopIfTrue="1" operator="between">
      <formula>0</formula>
      <formula>0.5</formula>
    </cfRule>
  </conditionalFormatting>
  <conditionalFormatting sqref="R7">
    <cfRule type="cellIs" dxfId="866" priority="255" operator="between">
      <formula>0.51</formula>
      <formula>0.75</formula>
    </cfRule>
  </conditionalFormatting>
  <conditionalFormatting sqref="S7">
    <cfRule type="cellIs" dxfId="865" priority="254" operator="between">
      <formula>0.76</formula>
      <formula>0.95</formula>
    </cfRule>
  </conditionalFormatting>
  <conditionalFormatting sqref="T7">
    <cfRule type="cellIs" dxfId="864" priority="253" operator="between">
      <formula>0.95</formula>
      <formula>1</formula>
    </cfRule>
  </conditionalFormatting>
  <conditionalFormatting sqref="U7">
    <cfRule type="cellIs" dxfId="863" priority="252" operator="greaterThan">
      <formula>1</formula>
    </cfRule>
  </conditionalFormatting>
  <conditionalFormatting sqref="Q8:Q10">
    <cfRule type="cellIs" dxfId="862" priority="251" stopIfTrue="1" operator="between">
      <formula>0</formula>
      <formula>0.5</formula>
    </cfRule>
  </conditionalFormatting>
  <conditionalFormatting sqref="R8:R10">
    <cfRule type="cellIs" dxfId="861" priority="250" operator="between">
      <formula>0.51</formula>
      <formula>0.75</formula>
    </cfRule>
  </conditionalFormatting>
  <conditionalFormatting sqref="S8:S10">
    <cfRule type="cellIs" dxfId="860" priority="249" operator="between">
      <formula>0.76</formula>
      <formula>0.95</formula>
    </cfRule>
  </conditionalFormatting>
  <conditionalFormatting sqref="T8:T9">
    <cfRule type="cellIs" dxfId="859" priority="248" operator="between">
      <formula>0.95</formula>
      <formula>1</formula>
    </cfRule>
  </conditionalFormatting>
  <conditionalFormatting sqref="U8:U10">
    <cfRule type="cellIs" dxfId="858" priority="247" operator="greaterThan">
      <formula>1</formula>
    </cfRule>
  </conditionalFormatting>
  <conditionalFormatting sqref="Q13">
    <cfRule type="cellIs" dxfId="857" priority="246" stopIfTrue="1" operator="between">
      <formula>0</formula>
      <formula>0.5</formula>
    </cfRule>
  </conditionalFormatting>
  <conditionalFormatting sqref="R13">
    <cfRule type="cellIs" dxfId="856" priority="245" operator="between">
      <formula>0.51</formula>
      <formula>0.75</formula>
    </cfRule>
  </conditionalFormatting>
  <conditionalFormatting sqref="S13">
    <cfRule type="cellIs" dxfId="855" priority="244" operator="between">
      <formula>0.76</formula>
      <formula>0.95</formula>
    </cfRule>
  </conditionalFormatting>
  <conditionalFormatting sqref="T13">
    <cfRule type="cellIs" dxfId="854" priority="243" operator="between">
      <formula>0.95</formula>
      <formula>1</formula>
    </cfRule>
  </conditionalFormatting>
  <conditionalFormatting sqref="U13">
    <cfRule type="cellIs" dxfId="853" priority="242" operator="greaterThan">
      <formula>1</formula>
    </cfRule>
  </conditionalFormatting>
  <conditionalFormatting sqref="Q14">
    <cfRule type="cellIs" dxfId="852" priority="241" stopIfTrue="1" operator="between">
      <formula>0</formula>
      <formula>0.5</formula>
    </cfRule>
  </conditionalFormatting>
  <conditionalFormatting sqref="R14">
    <cfRule type="cellIs" dxfId="851" priority="240" operator="between">
      <formula>0.51</formula>
      <formula>0.75</formula>
    </cfRule>
  </conditionalFormatting>
  <conditionalFormatting sqref="S14">
    <cfRule type="cellIs" dxfId="850" priority="239" operator="between">
      <formula>0.76</formula>
      <formula>0.95</formula>
    </cfRule>
  </conditionalFormatting>
  <conditionalFormatting sqref="T14">
    <cfRule type="cellIs" dxfId="849" priority="238" operator="between">
      <formula>0.95</formula>
      <formula>1</formula>
    </cfRule>
  </conditionalFormatting>
  <conditionalFormatting sqref="U14">
    <cfRule type="cellIs" dxfId="848" priority="237" operator="greaterThan">
      <formula>1</formula>
    </cfRule>
  </conditionalFormatting>
  <conditionalFormatting sqref="Q15">
    <cfRule type="cellIs" dxfId="847" priority="236" stopIfTrue="1" operator="between">
      <formula>0</formula>
      <formula>0.5</formula>
    </cfRule>
  </conditionalFormatting>
  <conditionalFormatting sqref="R15">
    <cfRule type="cellIs" dxfId="846" priority="235" operator="between">
      <formula>0.51</formula>
      <formula>0.75</formula>
    </cfRule>
  </conditionalFormatting>
  <conditionalFormatting sqref="S15">
    <cfRule type="cellIs" dxfId="845" priority="234" operator="between">
      <formula>0.76</formula>
      <formula>0.95</formula>
    </cfRule>
  </conditionalFormatting>
  <conditionalFormatting sqref="T15">
    <cfRule type="cellIs" dxfId="844" priority="233" operator="between">
      <formula>0.95</formula>
      <formula>1</formula>
    </cfRule>
  </conditionalFormatting>
  <conditionalFormatting sqref="U15">
    <cfRule type="cellIs" dxfId="843" priority="232" operator="greaterThan">
      <formula>1</formula>
    </cfRule>
  </conditionalFormatting>
  <conditionalFormatting sqref="W6">
    <cfRule type="cellIs" dxfId="842" priority="231" stopIfTrue="1" operator="between">
      <formula>0</formula>
      <formula>0.255</formula>
    </cfRule>
  </conditionalFormatting>
  <conditionalFormatting sqref="X6">
    <cfRule type="cellIs" dxfId="841" priority="230" operator="between">
      <formula>0.2551</formula>
      <formula>0.375</formula>
    </cfRule>
  </conditionalFormatting>
  <conditionalFormatting sqref="Y6">
    <cfRule type="cellIs" dxfId="840" priority="229" operator="between">
      <formula>0.38</formula>
      <formula>0.475</formula>
    </cfRule>
  </conditionalFormatting>
  <conditionalFormatting sqref="Z6">
    <cfRule type="cellIs" dxfId="839" priority="228" operator="between">
      <formula>0.4751</formula>
      <formula>0.51</formula>
    </cfRule>
  </conditionalFormatting>
  <conditionalFormatting sqref="AA6">
    <cfRule type="cellIs" dxfId="838" priority="227" operator="greaterThan">
      <formula>0.505</formula>
    </cfRule>
  </conditionalFormatting>
  <conditionalFormatting sqref="W7">
    <cfRule type="cellIs" dxfId="837" priority="226" stopIfTrue="1" operator="between">
      <formula>0</formula>
      <formula>0.255</formula>
    </cfRule>
  </conditionalFormatting>
  <conditionalFormatting sqref="X7">
    <cfRule type="cellIs" dxfId="836" priority="225" operator="between">
      <formula>0.2551</formula>
      <formula>0.375</formula>
    </cfRule>
  </conditionalFormatting>
  <conditionalFormatting sqref="Y7">
    <cfRule type="cellIs" dxfId="835" priority="224" operator="between">
      <formula>0.38</formula>
      <formula>0.475</formula>
    </cfRule>
  </conditionalFormatting>
  <conditionalFormatting sqref="Z7">
    <cfRule type="cellIs" dxfId="834" priority="223" operator="between">
      <formula>0.48</formula>
      <formula>0.51</formula>
    </cfRule>
  </conditionalFormatting>
  <conditionalFormatting sqref="AA7">
    <cfRule type="cellIs" dxfId="833" priority="222" operator="greaterThan">
      <formula>0.505</formula>
    </cfRule>
  </conditionalFormatting>
  <conditionalFormatting sqref="W8:W10">
    <cfRule type="cellIs" dxfId="832" priority="221" stopIfTrue="1" operator="between">
      <formula>0</formula>
      <formula>0.255</formula>
    </cfRule>
  </conditionalFormatting>
  <conditionalFormatting sqref="X8:X10">
    <cfRule type="cellIs" dxfId="831" priority="220" operator="between">
      <formula>0.2551</formula>
      <formula>0.375</formula>
    </cfRule>
  </conditionalFormatting>
  <conditionalFormatting sqref="Y8:Y10">
    <cfRule type="cellIs" dxfId="830" priority="219" operator="between">
      <formula>0.38</formula>
      <formula>0.475</formula>
    </cfRule>
  </conditionalFormatting>
  <conditionalFormatting sqref="Z8:Z10">
    <cfRule type="cellIs" dxfId="829" priority="218" operator="between">
      <formula>0.48</formula>
      <formula>0.51</formula>
    </cfRule>
  </conditionalFormatting>
  <conditionalFormatting sqref="AA8:AA10">
    <cfRule type="cellIs" dxfId="828" priority="217" operator="greaterThan">
      <formula>0.505</formula>
    </cfRule>
  </conditionalFormatting>
  <conditionalFormatting sqref="W13">
    <cfRule type="cellIs" dxfId="827" priority="216" stopIfTrue="1" operator="between">
      <formula>0</formula>
      <formula>0.255</formula>
    </cfRule>
  </conditionalFormatting>
  <conditionalFormatting sqref="X13">
    <cfRule type="cellIs" dxfId="826" priority="215" operator="between">
      <formula>0.2551</formula>
      <formula>0.375</formula>
    </cfRule>
  </conditionalFormatting>
  <conditionalFormatting sqref="Y13">
    <cfRule type="cellIs" dxfId="825" priority="214" operator="between">
      <formula>0.38</formula>
      <formula>0.475</formula>
    </cfRule>
  </conditionalFormatting>
  <conditionalFormatting sqref="Z13">
    <cfRule type="cellIs" dxfId="824" priority="213" operator="between">
      <formula>0.48</formula>
      <formula>0.51</formula>
    </cfRule>
  </conditionalFormatting>
  <conditionalFormatting sqref="AA13">
    <cfRule type="cellIs" dxfId="823" priority="212" operator="greaterThan">
      <formula>0.505</formula>
    </cfRule>
  </conditionalFormatting>
  <conditionalFormatting sqref="W14">
    <cfRule type="cellIs" dxfId="822" priority="211" stopIfTrue="1" operator="between">
      <formula>0</formula>
      <formula>0.255</formula>
    </cfRule>
  </conditionalFormatting>
  <conditionalFormatting sqref="X14">
    <cfRule type="cellIs" dxfId="821" priority="210" operator="between">
      <formula>0.2551</formula>
      <formula>0.375</formula>
    </cfRule>
  </conditionalFormatting>
  <conditionalFormatting sqref="Y14">
    <cfRule type="cellIs" dxfId="820" priority="209" operator="between">
      <formula>0.38</formula>
      <formula>0.475</formula>
    </cfRule>
  </conditionalFormatting>
  <conditionalFormatting sqref="Z14">
    <cfRule type="cellIs" dxfId="819" priority="208" operator="between">
      <formula>0.48</formula>
      <formula>0.51</formula>
    </cfRule>
  </conditionalFormatting>
  <conditionalFormatting sqref="AA14">
    <cfRule type="cellIs" dxfId="818" priority="207" operator="greaterThan">
      <formula>0.505</formula>
    </cfRule>
  </conditionalFormatting>
  <conditionalFormatting sqref="W15">
    <cfRule type="cellIs" dxfId="817" priority="206" stopIfTrue="1" operator="between">
      <formula>0</formula>
      <formula>0.255</formula>
    </cfRule>
  </conditionalFormatting>
  <conditionalFormatting sqref="X15">
    <cfRule type="cellIs" dxfId="816" priority="205" operator="between">
      <formula>0.2551</formula>
      <formula>0.375</formula>
    </cfRule>
  </conditionalFormatting>
  <conditionalFormatting sqref="Y15">
    <cfRule type="cellIs" dxfId="815" priority="204" operator="between">
      <formula>0.38</formula>
      <formula>0.475</formula>
    </cfRule>
  </conditionalFormatting>
  <conditionalFormatting sqref="Z15">
    <cfRule type="cellIs" dxfId="814" priority="203" operator="between">
      <formula>0.48</formula>
      <formula>0.51</formula>
    </cfRule>
  </conditionalFormatting>
  <conditionalFormatting sqref="AA15">
    <cfRule type="cellIs" dxfId="813" priority="202" operator="greaterThan">
      <formula>0.505</formula>
    </cfRule>
  </conditionalFormatting>
  <conditionalFormatting sqref="AD6">
    <cfRule type="cellIs" dxfId="812" priority="201" stopIfTrue="1" operator="between">
      <formula>0</formula>
      <formula>0.5</formula>
    </cfRule>
  </conditionalFormatting>
  <conditionalFormatting sqref="AE6">
    <cfRule type="cellIs" dxfId="811" priority="200" operator="between">
      <formula>0.51</formula>
      <formula>0.75</formula>
    </cfRule>
  </conditionalFormatting>
  <conditionalFormatting sqref="AF6">
    <cfRule type="cellIs" dxfId="810" priority="199" operator="between">
      <formula>0.76</formula>
      <formula>0.95</formula>
    </cfRule>
  </conditionalFormatting>
  <conditionalFormatting sqref="AG6">
    <cfRule type="cellIs" dxfId="809" priority="198" operator="between">
      <formula>0.95</formula>
      <formula>1</formula>
    </cfRule>
  </conditionalFormatting>
  <conditionalFormatting sqref="AH6">
    <cfRule type="cellIs" dxfId="808" priority="197" operator="greaterThan">
      <formula>1</formula>
    </cfRule>
  </conditionalFormatting>
  <conditionalFormatting sqref="AD7">
    <cfRule type="cellIs" dxfId="807" priority="196" stopIfTrue="1" operator="between">
      <formula>0</formula>
      <formula>0.5</formula>
    </cfRule>
  </conditionalFormatting>
  <conditionalFormatting sqref="AE7">
    <cfRule type="cellIs" dxfId="806" priority="195" operator="between">
      <formula>0.51</formula>
      <formula>0.75</formula>
    </cfRule>
  </conditionalFormatting>
  <conditionalFormatting sqref="AF7">
    <cfRule type="cellIs" dxfId="805" priority="194" operator="between">
      <formula>0.76</formula>
      <formula>0.95</formula>
    </cfRule>
  </conditionalFormatting>
  <conditionalFormatting sqref="AG7">
    <cfRule type="cellIs" dxfId="804" priority="193" operator="between">
      <formula>0.95</formula>
      <formula>1</formula>
    </cfRule>
  </conditionalFormatting>
  <conditionalFormatting sqref="AH7">
    <cfRule type="cellIs" dxfId="803" priority="192" operator="greaterThan">
      <formula>1</formula>
    </cfRule>
  </conditionalFormatting>
  <conditionalFormatting sqref="AD8:AD10">
    <cfRule type="cellIs" dxfId="802" priority="191" stopIfTrue="1" operator="between">
      <formula>0</formula>
      <formula>0.5</formula>
    </cfRule>
  </conditionalFormatting>
  <conditionalFormatting sqref="AE8:AE10">
    <cfRule type="cellIs" dxfId="801" priority="190" operator="between">
      <formula>0.51</formula>
      <formula>0.75</formula>
    </cfRule>
  </conditionalFormatting>
  <conditionalFormatting sqref="AF8:AF10">
    <cfRule type="cellIs" dxfId="800" priority="189" operator="between">
      <formula>0.76</formula>
      <formula>0.95</formula>
    </cfRule>
  </conditionalFormatting>
  <conditionalFormatting sqref="AG8:AG10">
    <cfRule type="cellIs" dxfId="799" priority="188" operator="between">
      <formula>0.95</formula>
      <formula>1</formula>
    </cfRule>
  </conditionalFormatting>
  <conditionalFormatting sqref="AH8:AH10">
    <cfRule type="cellIs" dxfId="798" priority="187" operator="greaterThan">
      <formula>1</formula>
    </cfRule>
  </conditionalFormatting>
  <conditionalFormatting sqref="AD13">
    <cfRule type="cellIs" dxfId="797" priority="186" stopIfTrue="1" operator="between">
      <formula>0</formula>
      <formula>0.5</formula>
    </cfRule>
  </conditionalFormatting>
  <conditionalFormatting sqref="AE13">
    <cfRule type="cellIs" dxfId="796" priority="185" operator="between">
      <formula>0.51</formula>
      <formula>0.75</formula>
    </cfRule>
  </conditionalFormatting>
  <conditionalFormatting sqref="AF13">
    <cfRule type="cellIs" dxfId="795" priority="184" operator="between">
      <formula>0.76</formula>
      <formula>0.95</formula>
    </cfRule>
  </conditionalFormatting>
  <conditionalFormatting sqref="AG13">
    <cfRule type="cellIs" dxfId="794" priority="183" operator="between">
      <formula>0.95</formula>
      <formula>1</formula>
    </cfRule>
  </conditionalFormatting>
  <conditionalFormatting sqref="AH13">
    <cfRule type="cellIs" dxfId="793" priority="182" operator="greaterThan">
      <formula>1</formula>
    </cfRule>
  </conditionalFormatting>
  <conditionalFormatting sqref="AD14">
    <cfRule type="cellIs" dxfId="792" priority="181" stopIfTrue="1" operator="between">
      <formula>0</formula>
      <formula>0.5</formula>
    </cfRule>
  </conditionalFormatting>
  <conditionalFormatting sqref="AE14">
    <cfRule type="cellIs" dxfId="791" priority="180" operator="between">
      <formula>0.51</formula>
      <formula>0.75</formula>
    </cfRule>
  </conditionalFormatting>
  <conditionalFormatting sqref="AF14">
    <cfRule type="cellIs" dxfId="790" priority="179" operator="between">
      <formula>0.76</formula>
      <formula>0.95</formula>
    </cfRule>
  </conditionalFormatting>
  <conditionalFormatting sqref="AG14">
    <cfRule type="cellIs" dxfId="789" priority="178" operator="between">
      <formula>0.95</formula>
      <formula>1</formula>
    </cfRule>
  </conditionalFormatting>
  <conditionalFormatting sqref="AH14">
    <cfRule type="cellIs" dxfId="788" priority="177" operator="greaterThan">
      <formula>1</formula>
    </cfRule>
  </conditionalFormatting>
  <conditionalFormatting sqref="AD15">
    <cfRule type="cellIs" dxfId="787" priority="176" stopIfTrue="1" operator="between">
      <formula>0</formula>
      <formula>0.5</formula>
    </cfRule>
  </conditionalFormatting>
  <conditionalFormatting sqref="AE15">
    <cfRule type="cellIs" dxfId="786" priority="175" operator="between">
      <formula>0.51</formula>
      <formula>0.75</formula>
    </cfRule>
  </conditionalFormatting>
  <conditionalFormatting sqref="AF15">
    <cfRule type="cellIs" dxfId="785" priority="174" operator="between">
      <formula>0.76</formula>
      <formula>0.95</formula>
    </cfRule>
  </conditionalFormatting>
  <conditionalFormatting sqref="AG15">
    <cfRule type="cellIs" dxfId="784" priority="173" operator="between">
      <formula>0.95</formula>
      <formula>1</formula>
    </cfRule>
  </conditionalFormatting>
  <conditionalFormatting sqref="AH15">
    <cfRule type="cellIs" dxfId="783" priority="172" operator="greaterThan">
      <formula>1</formula>
    </cfRule>
  </conditionalFormatting>
  <conditionalFormatting sqref="AJ6">
    <cfRule type="cellIs" dxfId="782" priority="171" stopIfTrue="1" operator="between">
      <formula>0</formula>
      <formula>0.375</formula>
    </cfRule>
  </conditionalFormatting>
  <conditionalFormatting sqref="AK6">
    <cfRule type="cellIs" dxfId="781" priority="170" operator="between">
      <formula>0.3751</formula>
      <formula>0.5625</formula>
    </cfRule>
  </conditionalFormatting>
  <conditionalFormatting sqref="AL6">
    <cfRule type="cellIs" dxfId="780" priority="169" operator="between">
      <formula>0.563</formula>
      <formula>0.7125</formula>
    </cfRule>
  </conditionalFormatting>
  <conditionalFormatting sqref="AM6">
    <cfRule type="cellIs" dxfId="779" priority="168" operator="between">
      <formula>0.713</formula>
      <formula>0.75</formula>
    </cfRule>
  </conditionalFormatting>
  <conditionalFormatting sqref="AN6">
    <cfRule type="cellIs" dxfId="778" priority="167" operator="greaterThan">
      <formula>0.755</formula>
    </cfRule>
  </conditionalFormatting>
  <conditionalFormatting sqref="AJ7">
    <cfRule type="cellIs" dxfId="777" priority="166" stopIfTrue="1" operator="between">
      <formula>0</formula>
      <formula>0.375</formula>
    </cfRule>
  </conditionalFormatting>
  <conditionalFormatting sqref="AK7">
    <cfRule type="cellIs" dxfId="776" priority="165" operator="between">
      <formula>0.3751</formula>
      <formula>0.5625</formula>
    </cfRule>
  </conditionalFormatting>
  <conditionalFormatting sqref="AL7">
    <cfRule type="cellIs" dxfId="775" priority="164" operator="between">
      <formula>0.563</formula>
      <formula>0.7125</formula>
    </cfRule>
  </conditionalFormatting>
  <conditionalFormatting sqref="AM7">
    <cfRule type="cellIs" dxfId="774" priority="163" operator="between">
      <formula>0.713</formula>
      <formula>0.75</formula>
    </cfRule>
  </conditionalFormatting>
  <conditionalFormatting sqref="AN7">
    <cfRule type="cellIs" dxfId="773" priority="162" operator="greaterThan">
      <formula>0.755</formula>
    </cfRule>
  </conditionalFormatting>
  <conditionalFormatting sqref="AJ8:AJ10">
    <cfRule type="cellIs" dxfId="772" priority="161" stopIfTrue="1" operator="between">
      <formula>0</formula>
      <formula>0.375</formula>
    </cfRule>
  </conditionalFormatting>
  <conditionalFormatting sqref="AK8:AK10">
    <cfRule type="cellIs" dxfId="771" priority="160" operator="between">
      <formula>0.3751</formula>
      <formula>0.5625</formula>
    </cfRule>
  </conditionalFormatting>
  <conditionalFormatting sqref="AL8:AL10">
    <cfRule type="cellIs" dxfId="770" priority="159" operator="between">
      <formula>0.563</formula>
      <formula>0.7125</formula>
    </cfRule>
  </conditionalFormatting>
  <conditionalFormatting sqref="AM8:AM10">
    <cfRule type="cellIs" dxfId="769" priority="158" operator="between">
      <formula>0.713</formula>
      <formula>0.75</formula>
    </cfRule>
  </conditionalFormatting>
  <conditionalFormatting sqref="AN8:AN10">
    <cfRule type="cellIs" dxfId="768" priority="157" operator="greaterThan">
      <formula>0.755</formula>
    </cfRule>
  </conditionalFormatting>
  <conditionalFormatting sqref="AJ13">
    <cfRule type="cellIs" dxfId="767" priority="156" stopIfTrue="1" operator="between">
      <formula>0</formula>
      <formula>0.375</formula>
    </cfRule>
  </conditionalFormatting>
  <conditionalFormatting sqref="AK13">
    <cfRule type="cellIs" dxfId="766" priority="155" operator="between">
      <formula>0.3751</formula>
      <formula>0.5625</formula>
    </cfRule>
  </conditionalFormatting>
  <conditionalFormatting sqref="AL13">
    <cfRule type="cellIs" dxfId="765" priority="154" operator="between">
      <formula>0.563</formula>
      <formula>0.7125</formula>
    </cfRule>
  </conditionalFormatting>
  <conditionalFormatting sqref="AM13">
    <cfRule type="cellIs" dxfId="764" priority="153" operator="between">
      <formula>0.713</formula>
      <formula>0.75</formula>
    </cfRule>
  </conditionalFormatting>
  <conditionalFormatting sqref="AN13">
    <cfRule type="cellIs" dxfId="763" priority="152" operator="greaterThan">
      <formula>0.755</formula>
    </cfRule>
  </conditionalFormatting>
  <conditionalFormatting sqref="AJ14">
    <cfRule type="cellIs" dxfId="762" priority="151" stopIfTrue="1" operator="between">
      <formula>0</formula>
      <formula>0.375</formula>
    </cfRule>
  </conditionalFormatting>
  <conditionalFormatting sqref="AK14">
    <cfRule type="cellIs" dxfId="761" priority="150" operator="between">
      <formula>0.3751</formula>
      <formula>0.5625</formula>
    </cfRule>
  </conditionalFormatting>
  <conditionalFormatting sqref="AL14">
    <cfRule type="cellIs" dxfId="760" priority="149" operator="between">
      <formula>0.563</formula>
      <formula>0.7125</formula>
    </cfRule>
  </conditionalFormatting>
  <conditionalFormatting sqref="AM14">
    <cfRule type="cellIs" dxfId="759" priority="148" operator="between">
      <formula>0.713</formula>
      <formula>0.75</formula>
    </cfRule>
  </conditionalFormatting>
  <conditionalFormatting sqref="AN14">
    <cfRule type="cellIs" dxfId="758" priority="147" operator="greaterThan">
      <formula>0.755</formula>
    </cfRule>
  </conditionalFormatting>
  <conditionalFormatting sqref="AJ15">
    <cfRule type="cellIs" dxfId="757" priority="146" stopIfTrue="1" operator="between">
      <formula>0</formula>
      <formula>0.375</formula>
    </cfRule>
  </conditionalFormatting>
  <conditionalFormatting sqref="AK15">
    <cfRule type="cellIs" dxfId="756" priority="145" operator="between">
      <formula>0.3751</formula>
      <formula>0.5625</formula>
    </cfRule>
  </conditionalFormatting>
  <conditionalFormatting sqref="AL15">
    <cfRule type="cellIs" dxfId="755" priority="144" operator="between">
      <formula>0.563</formula>
      <formula>0.7125</formula>
    </cfRule>
  </conditionalFormatting>
  <conditionalFormatting sqref="AM15">
    <cfRule type="cellIs" dxfId="754" priority="143" operator="between">
      <formula>0.713</formula>
      <formula>0.75</formula>
    </cfRule>
  </conditionalFormatting>
  <conditionalFormatting sqref="AN15">
    <cfRule type="cellIs" dxfId="753" priority="142" operator="greaterThan">
      <formula>0.755</formula>
    </cfRule>
  </conditionalFormatting>
  <conditionalFormatting sqref="AQ6">
    <cfRule type="cellIs" dxfId="752" priority="141" stopIfTrue="1" operator="between">
      <formula>0</formula>
      <formula>0.5</formula>
    </cfRule>
  </conditionalFormatting>
  <conditionalFormatting sqref="AR6">
    <cfRule type="cellIs" dxfId="751" priority="140" operator="between">
      <formula>0.51</formula>
      <formula>0.75</formula>
    </cfRule>
  </conditionalFormatting>
  <conditionalFormatting sqref="AS6">
    <cfRule type="cellIs" dxfId="750" priority="139" operator="between">
      <formula>0.76</formula>
      <formula>0.95</formula>
    </cfRule>
  </conditionalFormatting>
  <conditionalFormatting sqref="AT6">
    <cfRule type="cellIs" dxfId="749" priority="138" operator="between">
      <formula>0.95</formula>
      <formula>1</formula>
    </cfRule>
  </conditionalFormatting>
  <conditionalFormatting sqref="AU6">
    <cfRule type="cellIs" dxfId="748" priority="137" operator="greaterThan">
      <formula>1</formula>
    </cfRule>
  </conditionalFormatting>
  <conditionalFormatting sqref="AQ7">
    <cfRule type="cellIs" dxfId="747" priority="136" stopIfTrue="1" operator="between">
      <formula>0</formula>
      <formula>0.5</formula>
    </cfRule>
  </conditionalFormatting>
  <conditionalFormatting sqref="AR7">
    <cfRule type="cellIs" dxfId="746" priority="135" operator="between">
      <formula>0.51</formula>
      <formula>0.75</formula>
    </cfRule>
  </conditionalFormatting>
  <conditionalFormatting sqref="AS7">
    <cfRule type="cellIs" dxfId="745" priority="134" operator="between">
      <formula>0.76</formula>
      <formula>0.95</formula>
    </cfRule>
  </conditionalFormatting>
  <conditionalFormatting sqref="AT7">
    <cfRule type="cellIs" dxfId="744" priority="133" operator="between">
      <formula>0.95</formula>
      <formula>1</formula>
    </cfRule>
  </conditionalFormatting>
  <conditionalFormatting sqref="AU7">
    <cfRule type="cellIs" dxfId="743" priority="132" operator="greaterThan">
      <formula>1</formula>
    </cfRule>
  </conditionalFormatting>
  <conditionalFormatting sqref="AQ8:AQ10">
    <cfRule type="cellIs" dxfId="742" priority="131" stopIfTrue="1" operator="between">
      <formula>0</formula>
      <formula>0.5</formula>
    </cfRule>
  </conditionalFormatting>
  <conditionalFormatting sqref="AR8:AR10">
    <cfRule type="cellIs" dxfId="741" priority="130" operator="between">
      <formula>0.51</formula>
      <formula>0.75</formula>
    </cfRule>
  </conditionalFormatting>
  <conditionalFormatting sqref="AS8:AS10">
    <cfRule type="cellIs" dxfId="740" priority="129" operator="between">
      <formula>0.76</formula>
      <formula>0.95</formula>
    </cfRule>
  </conditionalFormatting>
  <conditionalFormatting sqref="AT8:AT10">
    <cfRule type="cellIs" dxfId="739" priority="128" operator="between">
      <formula>0.95</formula>
      <formula>1</formula>
    </cfRule>
  </conditionalFormatting>
  <conditionalFormatting sqref="AU8:AU10">
    <cfRule type="cellIs" dxfId="738" priority="127" operator="greaterThan">
      <formula>1</formula>
    </cfRule>
  </conditionalFormatting>
  <conditionalFormatting sqref="AQ15">
    <cfRule type="cellIs" dxfId="737" priority="116" stopIfTrue="1" operator="between">
      <formula>0</formula>
      <formula>0.5</formula>
    </cfRule>
  </conditionalFormatting>
  <conditionalFormatting sqref="AR15">
    <cfRule type="cellIs" dxfId="736" priority="115" operator="between">
      <formula>0.51</formula>
      <formula>0.75</formula>
    </cfRule>
  </conditionalFormatting>
  <conditionalFormatting sqref="AS15">
    <cfRule type="cellIs" dxfId="735" priority="114" operator="between">
      <formula>0.76</formula>
      <formula>0.95</formula>
    </cfRule>
  </conditionalFormatting>
  <conditionalFormatting sqref="AT15">
    <cfRule type="cellIs" dxfId="734" priority="113" operator="between">
      <formula>0.95</formula>
      <formula>1</formula>
    </cfRule>
  </conditionalFormatting>
  <conditionalFormatting sqref="AU15">
    <cfRule type="cellIs" dxfId="733" priority="112" operator="greaterThan">
      <formula>1</formula>
    </cfRule>
  </conditionalFormatting>
  <conditionalFormatting sqref="AQ14">
    <cfRule type="cellIs" dxfId="732" priority="121" stopIfTrue="1" operator="between">
      <formula>0</formula>
      <formula>0.5</formula>
    </cfRule>
  </conditionalFormatting>
  <conditionalFormatting sqref="AR14">
    <cfRule type="cellIs" dxfId="731" priority="120" operator="between">
      <formula>0.51</formula>
      <formula>0.75</formula>
    </cfRule>
  </conditionalFormatting>
  <conditionalFormatting sqref="AS14">
    <cfRule type="cellIs" dxfId="730" priority="119" operator="between">
      <formula>0.76</formula>
      <formula>0.95</formula>
    </cfRule>
  </conditionalFormatting>
  <conditionalFormatting sqref="AT14">
    <cfRule type="cellIs" dxfId="729" priority="118" operator="between">
      <formula>0.95</formula>
      <formula>1</formula>
    </cfRule>
  </conditionalFormatting>
  <conditionalFormatting sqref="AU14">
    <cfRule type="cellIs" dxfId="728" priority="117" operator="greaterThan">
      <formula>1</formula>
    </cfRule>
  </conditionalFormatting>
  <conditionalFormatting sqref="AX6">
    <cfRule type="cellIs" dxfId="727" priority="111" operator="between">
      <formula>0.501</formula>
      <formula>0.75</formula>
    </cfRule>
  </conditionalFormatting>
  <conditionalFormatting sqref="AY6">
    <cfRule type="cellIs" dxfId="726" priority="110" operator="between">
      <formula>0.76</formula>
      <formula>0.95</formula>
    </cfRule>
  </conditionalFormatting>
  <conditionalFormatting sqref="AZ6">
    <cfRule type="cellIs" dxfId="725" priority="109" operator="between">
      <formula>0.95</formula>
      <formula>1</formula>
    </cfRule>
  </conditionalFormatting>
  <conditionalFormatting sqref="BA6">
    <cfRule type="cellIs" dxfId="724" priority="108" operator="greaterThan">
      <formula>1</formula>
    </cfRule>
  </conditionalFormatting>
  <conditionalFormatting sqref="AW7">
    <cfRule type="cellIs" dxfId="723" priority="107" stopIfTrue="1" operator="between">
      <formula>0</formula>
      <formula>0.5</formula>
    </cfRule>
  </conditionalFormatting>
  <conditionalFormatting sqref="AX7">
    <cfRule type="cellIs" dxfId="722" priority="106" operator="between">
      <formula>0.51</formula>
      <formula>0.75</formula>
    </cfRule>
  </conditionalFormatting>
  <conditionalFormatting sqref="AY7">
    <cfRule type="cellIs" dxfId="721" priority="105" operator="between">
      <formula>0.76</formula>
      <formula>0.95</formula>
    </cfRule>
  </conditionalFormatting>
  <conditionalFormatting sqref="AZ7">
    <cfRule type="cellIs" dxfId="720" priority="104" operator="between">
      <formula>0.95</formula>
      <formula>1</formula>
    </cfRule>
  </conditionalFormatting>
  <conditionalFormatting sqref="BA7">
    <cfRule type="cellIs" dxfId="719" priority="103" operator="greaterThan">
      <formula>1</formula>
    </cfRule>
  </conditionalFormatting>
  <conditionalFormatting sqref="AW8:AW10">
    <cfRule type="cellIs" dxfId="718" priority="102" stopIfTrue="1" operator="between">
      <formula>0</formula>
      <formula>0.5</formula>
    </cfRule>
  </conditionalFormatting>
  <conditionalFormatting sqref="AX8:AX10">
    <cfRule type="cellIs" dxfId="717" priority="101" operator="between">
      <formula>0.51</formula>
      <formula>0.75</formula>
    </cfRule>
  </conditionalFormatting>
  <conditionalFormatting sqref="AY8:AY10">
    <cfRule type="cellIs" dxfId="716" priority="100" operator="between">
      <formula>0.76</formula>
      <formula>0.95</formula>
    </cfRule>
  </conditionalFormatting>
  <conditionalFormatting sqref="AZ8:AZ10">
    <cfRule type="cellIs" dxfId="715" priority="99" operator="between">
      <formula>0.95</formula>
      <formula>1</formula>
    </cfRule>
  </conditionalFormatting>
  <conditionalFormatting sqref="BA8:BA10">
    <cfRule type="cellIs" dxfId="714" priority="98" operator="greaterThan">
      <formula>1</formula>
    </cfRule>
  </conditionalFormatting>
  <conditionalFormatting sqref="AW14">
    <cfRule type="cellIs" dxfId="713" priority="92" stopIfTrue="1" operator="between">
      <formula>0</formula>
      <formula>0.5</formula>
    </cfRule>
  </conditionalFormatting>
  <conditionalFormatting sqref="AX14">
    <cfRule type="cellIs" dxfId="712" priority="91" operator="between">
      <formula>0.51</formula>
      <formula>0.75</formula>
    </cfRule>
  </conditionalFormatting>
  <conditionalFormatting sqref="AY14">
    <cfRule type="cellIs" dxfId="711" priority="90" operator="between">
      <formula>0.76</formula>
      <formula>0.95</formula>
    </cfRule>
  </conditionalFormatting>
  <conditionalFormatting sqref="AZ14">
    <cfRule type="cellIs" dxfId="710" priority="89" operator="between">
      <formula>0.95</formula>
      <formula>1</formula>
    </cfRule>
  </conditionalFormatting>
  <conditionalFormatting sqref="BA14">
    <cfRule type="cellIs" dxfId="709" priority="88" operator="greaterThan">
      <formula>1</formula>
    </cfRule>
  </conditionalFormatting>
  <conditionalFormatting sqref="AW15">
    <cfRule type="cellIs" dxfId="708" priority="87" stopIfTrue="1" operator="between">
      <formula>0</formula>
      <formula>0.5</formula>
    </cfRule>
  </conditionalFormatting>
  <conditionalFormatting sqref="AX15">
    <cfRule type="cellIs" dxfId="707" priority="86" operator="between">
      <formula>0.51</formula>
      <formula>0.75</formula>
    </cfRule>
  </conditionalFormatting>
  <conditionalFormatting sqref="AY15">
    <cfRule type="cellIs" dxfId="706" priority="85" operator="between">
      <formula>0.76</formula>
      <formula>0.95</formula>
    </cfRule>
  </conditionalFormatting>
  <conditionalFormatting sqref="AZ15">
    <cfRule type="cellIs" dxfId="705" priority="84" operator="between">
      <formula>0.95</formula>
      <formula>1</formula>
    </cfRule>
  </conditionalFormatting>
  <conditionalFormatting sqref="BA15">
    <cfRule type="cellIs" dxfId="704" priority="83" operator="greaterThan">
      <formula>1</formula>
    </cfRule>
  </conditionalFormatting>
  <conditionalFormatting sqref="AW6">
    <cfRule type="cellIs" dxfId="703" priority="82" stopIfTrue="1" operator="between">
      <formula>0</formula>
      <formula>0.5</formula>
    </cfRule>
  </conditionalFormatting>
  <conditionalFormatting sqref="Q11:Q12">
    <cfRule type="cellIs" dxfId="702" priority="71" stopIfTrue="1" operator="between">
      <formula>0</formula>
      <formula>0.5</formula>
    </cfRule>
  </conditionalFormatting>
  <conditionalFormatting sqref="R11:R12">
    <cfRule type="cellIs" dxfId="701" priority="70" operator="between">
      <formula>0.51</formula>
      <formula>0.75</formula>
    </cfRule>
  </conditionalFormatting>
  <conditionalFormatting sqref="S11:S12">
    <cfRule type="cellIs" dxfId="700" priority="69" operator="between">
      <formula>0.76</formula>
      <formula>0.95</formula>
    </cfRule>
  </conditionalFormatting>
  <conditionalFormatting sqref="T11:T12">
    <cfRule type="cellIs" dxfId="699" priority="68" operator="between">
      <formula>0.95</formula>
      <formula>1</formula>
    </cfRule>
  </conditionalFormatting>
  <conditionalFormatting sqref="U11:U12">
    <cfRule type="cellIs" dxfId="698" priority="67" operator="greaterThan">
      <formula>1</formula>
    </cfRule>
  </conditionalFormatting>
  <conditionalFormatting sqref="W11:W12">
    <cfRule type="cellIs" dxfId="697" priority="66" stopIfTrue="1" operator="between">
      <formula>0</formula>
      <formula>0.255</formula>
    </cfRule>
  </conditionalFormatting>
  <conditionalFormatting sqref="X11:X12">
    <cfRule type="cellIs" dxfId="696" priority="65" operator="between">
      <formula>0.2551</formula>
      <formula>0.375</formula>
    </cfRule>
  </conditionalFormatting>
  <conditionalFormatting sqref="Y11:Y12">
    <cfRule type="cellIs" dxfId="695" priority="64" operator="between">
      <formula>0.38</formula>
      <formula>0.475</formula>
    </cfRule>
  </conditionalFormatting>
  <conditionalFormatting sqref="Z11:Z12">
    <cfRule type="cellIs" dxfId="694" priority="63" operator="between">
      <formula>0.48</formula>
      <formula>0.51</formula>
    </cfRule>
  </conditionalFormatting>
  <conditionalFormatting sqref="AA11:AA12">
    <cfRule type="cellIs" dxfId="693" priority="62" operator="greaterThan">
      <formula>0.505</formula>
    </cfRule>
  </conditionalFormatting>
  <conditionalFormatting sqref="AD11:AD12">
    <cfRule type="cellIs" dxfId="692" priority="61" stopIfTrue="1" operator="between">
      <formula>0</formula>
      <formula>0.5</formula>
    </cfRule>
  </conditionalFormatting>
  <conditionalFormatting sqref="AE11:AE12">
    <cfRule type="cellIs" dxfId="691" priority="60" operator="between">
      <formula>0.51</formula>
      <formula>0.75</formula>
    </cfRule>
  </conditionalFormatting>
  <conditionalFormatting sqref="AF11:AF12">
    <cfRule type="cellIs" dxfId="690" priority="59" operator="between">
      <formula>0.76</formula>
      <formula>0.95</formula>
    </cfRule>
  </conditionalFormatting>
  <conditionalFormatting sqref="AG11:AG12">
    <cfRule type="cellIs" dxfId="689" priority="58" operator="between">
      <formula>0.95</formula>
      <formula>1</formula>
    </cfRule>
  </conditionalFormatting>
  <conditionalFormatting sqref="AH11:AH12">
    <cfRule type="cellIs" dxfId="688" priority="57" operator="greaterThan">
      <formula>1</formula>
    </cfRule>
  </conditionalFormatting>
  <conditionalFormatting sqref="AJ11:AJ12">
    <cfRule type="cellIs" dxfId="687" priority="56" stopIfTrue="1" operator="between">
      <formula>0</formula>
      <formula>0.375</formula>
    </cfRule>
  </conditionalFormatting>
  <conditionalFormatting sqref="AK11:AK12">
    <cfRule type="cellIs" dxfId="686" priority="55" operator="between">
      <formula>0.3751</formula>
      <formula>0.5625</formula>
    </cfRule>
  </conditionalFormatting>
  <conditionalFormatting sqref="AL11:AL12">
    <cfRule type="cellIs" dxfId="685" priority="54" operator="between">
      <formula>0.563</formula>
      <formula>0.7125</formula>
    </cfRule>
  </conditionalFormatting>
  <conditionalFormatting sqref="AM11:AM12">
    <cfRule type="cellIs" dxfId="684" priority="53" operator="between">
      <formula>0.713</formula>
      <formula>0.75</formula>
    </cfRule>
  </conditionalFormatting>
  <conditionalFormatting sqref="AN11:AN12">
    <cfRule type="cellIs" dxfId="683" priority="52" operator="greaterThan">
      <formula>0.755</formula>
    </cfRule>
  </conditionalFormatting>
  <conditionalFormatting sqref="AQ11:AQ13">
    <cfRule type="cellIs" dxfId="682" priority="51" stopIfTrue="1" operator="between">
      <formula>0</formula>
      <formula>0.5</formula>
    </cfRule>
  </conditionalFormatting>
  <conditionalFormatting sqref="AR11:AR13">
    <cfRule type="cellIs" dxfId="681" priority="50" operator="between">
      <formula>0.51</formula>
      <formula>0.75</formula>
    </cfRule>
  </conditionalFormatting>
  <conditionalFormatting sqref="AS11:AS13">
    <cfRule type="cellIs" dxfId="680" priority="49" operator="between">
      <formula>0.76</formula>
      <formula>0.95</formula>
    </cfRule>
  </conditionalFormatting>
  <conditionalFormatting sqref="AT11:AT13">
    <cfRule type="cellIs" dxfId="679" priority="48" operator="between">
      <formula>0.95</formula>
      <formula>1</formula>
    </cfRule>
  </conditionalFormatting>
  <conditionalFormatting sqref="AU11:AU13">
    <cfRule type="cellIs" dxfId="678" priority="47" operator="greaterThan">
      <formula>1</formula>
    </cfRule>
  </conditionalFormatting>
  <conditionalFormatting sqref="AW11:AW13">
    <cfRule type="cellIs" dxfId="677" priority="46" stopIfTrue="1" operator="between">
      <formula>0</formula>
      <formula>0.5</formula>
    </cfRule>
  </conditionalFormatting>
  <conditionalFormatting sqref="AX11:AX13">
    <cfRule type="cellIs" dxfId="676" priority="45" operator="between">
      <formula>0.51</formula>
      <formula>0.75</formula>
    </cfRule>
  </conditionalFormatting>
  <conditionalFormatting sqref="AY11:AY13">
    <cfRule type="cellIs" dxfId="675" priority="44" operator="between">
      <formula>0.76</formula>
      <formula>0.95</formula>
    </cfRule>
  </conditionalFormatting>
  <conditionalFormatting sqref="AZ11:AZ13">
    <cfRule type="cellIs" dxfId="674" priority="43" operator="between">
      <formula>0.95</formula>
      <formula>1</formula>
    </cfRule>
  </conditionalFormatting>
  <conditionalFormatting sqref="BA11:BA13">
    <cfRule type="cellIs" dxfId="673" priority="42" operator="greaterThan">
      <formula>1</formula>
    </cfRule>
  </conditionalFormatting>
  <conditionalFormatting sqref="D6">
    <cfRule type="cellIs" dxfId="672" priority="41" stopIfTrue="1" operator="between">
      <formula>0</formula>
      <formula>0.5</formula>
    </cfRule>
  </conditionalFormatting>
  <conditionalFormatting sqref="E6">
    <cfRule type="cellIs" dxfId="671" priority="40" operator="between">
      <formula>0.51</formula>
      <formula>0.7501</formula>
    </cfRule>
  </conditionalFormatting>
  <conditionalFormatting sqref="F6">
    <cfRule type="cellIs" dxfId="670" priority="39" operator="between">
      <formula>0.76</formula>
      <formula>0.95</formula>
    </cfRule>
  </conditionalFormatting>
  <conditionalFormatting sqref="G6">
    <cfRule type="cellIs" dxfId="669" priority="38" operator="between">
      <formula>0.96</formula>
      <formula>1</formula>
    </cfRule>
  </conditionalFormatting>
  <conditionalFormatting sqref="H6">
    <cfRule type="cellIs" dxfId="668" priority="37" operator="greaterThan">
      <formula>1</formula>
    </cfRule>
  </conditionalFormatting>
  <conditionalFormatting sqref="D7">
    <cfRule type="cellIs" dxfId="667" priority="36" stopIfTrue="1" operator="between">
      <formula>0</formula>
      <formula>0.5</formula>
    </cfRule>
  </conditionalFormatting>
  <conditionalFormatting sqref="E7">
    <cfRule type="cellIs" dxfId="666" priority="35" operator="between">
      <formula>0.51</formula>
      <formula>0.75</formula>
    </cfRule>
  </conditionalFormatting>
  <conditionalFormatting sqref="F7">
    <cfRule type="cellIs" dxfId="665" priority="34" operator="between">
      <formula>0.76</formula>
      <formula>0.95</formula>
    </cfRule>
  </conditionalFormatting>
  <conditionalFormatting sqref="G7">
    <cfRule type="cellIs" dxfId="664" priority="33" operator="between">
      <formula>0.96</formula>
      <formula>1</formula>
    </cfRule>
  </conditionalFormatting>
  <conditionalFormatting sqref="H7">
    <cfRule type="cellIs" dxfId="663" priority="32" operator="greaterThan">
      <formula>1</formula>
    </cfRule>
  </conditionalFormatting>
  <conditionalFormatting sqref="D8">
    <cfRule type="cellIs" dxfId="662" priority="31" stopIfTrue="1" operator="between">
      <formula>0</formula>
      <formula>0.5</formula>
    </cfRule>
  </conditionalFormatting>
  <conditionalFormatting sqref="E8">
    <cfRule type="cellIs" dxfId="661" priority="30" operator="between">
      <formula>0.51</formula>
      <formula>0.75</formula>
    </cfRule>
  </conditionalFormatting>
  <conditionalFormatting sqref="F8">
    <cfRule type="cellIs" dxfId="660" priority="29" operator="between">
      <formula>0.76</formula>
      <formula>0.95</formula>
    </cfRule>
  </conditionalFormatting>
  <conditionalFormatting sqref="G8">
    <cfRule type="cellIs" dxfId="659" priority="28" operator="between">
      <formula>0.96</formula>
      <formula>1</formula>
    </cfRule>
  </conditionalFormatting>
  <conditionalFormatting sqref="H8">
    <cfRule type="cellIs" dxfId="658" priority="27" operator="greaterThan">
      <formula>1</formula>
    </cfRule>
  </conditionalFormatting>
  <conditionalFormatting sqref="D9:D14">
    <cfRule type="cellIs" dxfId="657" priority="26" stopIfTrue="1" operator="between">
      <formula>0</formula>
      <formula>0.5</formula>
    </cfRule>
  </conditionalFormatting>
  <conditionalFormatting sqref="E9:E14">
    <cfRule type="cellIs" dxfId="656" priority="25" operator="between">
      <formula>0.51</formula>
      <formula>0.75</formula>
    </cfRule>
  </conditionalFormatting>
  <conditionalFormatting sqref="F9:F14">
    <cfRule type="cellIs" dxfId="655" priority="24" operator="between">
      <formula>0.76</formula>
      <formula>0.95</formula>
    </cfRule>
  </conditionalFormatting>
  <conditionalFormatting sqref="G9:G14">
    <cfRule type="cellIs" dxfId="654" priority="23" operator="between">
      <formula>0.96</formula>
      <formula>1</formula>
    </cfRule>
  </conditionalFormatting>
  <conditionalFormatting sqref="H9:H14">
    <cfRule type="cellIs" dxfId="653" priority="22" operator="greaterThan">
      <formula>1</formula>
    </cfRule>
  </conditionalFormatting>
  <conditionalFormatting sqref="D15">
    <cfRule type="cellIs" dxfId="652" priority="21" stopIfTrue="1" operator="between">
      <formula>0</formula>
      <formula>0.5</formula>
    </cfRule>
  </conditionalFormatting>
  <conditionalFormatting sqref="E15">
    <cfRule type="cellIs" dxfId="651" priority="20" operator="between">
      <formula>0.51</formula>
      <formula>0.75</formula>
    </cfRule>
  </conditionalFormatting>
  <conditionalFormatting sqref="F15">
    <cfRule type="cellIs" dxfId="650" priority="19" operator="between">
      <formula>0.76</formula>
      <formula>0.95</formula>
    </cfRule>
  </conditionalFormatting>
  <conditionalFormatting sqref="G15">
    <cfRule type="cellIs" dxfId="649" priority="18" operator="between">
      <formula>0.96</formula>
      <formula>1</formula>
    </cfRule>
  </conditionalFormatting>
  <conditionalFormatting sqref="H15">
    <cfRule type="cellIs" dxfId="648" priority="17" operator="greaterThan">
      <formula>1</formula>
    </cfRule>
  </conditionalFormatting>
  <conditionalFormatting sqref="J6">
    <cfRule type="cellIs" dxfId="647" priority="16" stopIfTrue="1" operator="between">
      <formula>0</formula>
      <formula>0.125</formula>
    </cfRule>
  </conditionalFormatting>
  <conditionalFormatting sqref="K6">
    <cfRule type="cellIs" dxfId="646" priority="15" operator="between">
      <formula>0.1251</formula>
      <formula>0.18755</formula>
    </cfRule>
  </conditionalFormatting>
  <conditionalFormatting sqref="L6">
    <cfRule type="cellIs" dxfId="645" priority="14" operator="between">
      <formula>0.187501</formula>
      <formula>0.2375</formula>
    </cfRule>
  </conditionalFormatting>
  <conditionalFormatting sqref="M6">
    <cfRule type="cellIs" dxfId="644" priority="13" operator="between">
      <formula>0.2376</formula>
      <formula>0.25</formula>
    </cfRule>
  </conditionalFormatting>
  <conditionalFormatting sqref="N6">
    <cfRule type="cellIs" dxfId="643" priority="12" operator="greaterThan">
      <formula>0.25</formula>
    </cfRule>
  </conditionalFormatting>
  <conditionalFormatting sqref="J7">
    <cfRule type="cellIs" dxfId="642" priority="11" stopIfTrue="1" operator="between">
      <formula>0</formula>
      <formula>0.125</formula>
    </cfRule>
  </conditionalFormatting>
  <conditionalFormatting sqref="K7">
    <cfRule type="cellIs" dxfId="641" priority="10" operator="between">
      <formula>0.1251</formula>
      <formula>0.1875</formula>
    </cfRule>
  </conditionalFormatting>
  <conditionalFormatting sqref="L7">
    <cfRule type="cellIs" dxfId="640" priority="9" operator="between">
      <formula>0.1876</formula>
      <formula>0.2375</formula>
    </cfRule>
  </conditionalFormatting>
  <conditionalFormatting sqref="M7">
    <cfRule type="cellIs" dxfId="639" priority="8" operator="between">
      <formula>0.2376</formula>
      <formula>0.25</formula>
    </cfRule>
  </conditionalFormatting>
  <conditionalFormatting sqref="N7">
    <cfRule type="cellIs" dxfId="638" priority="7" operator="greaterThan">
      <formula>0.25</formula>
    </cfRule>
  </conditionalFormatting>
  <conditionalFormatting sqref="J8:J15">
    <cfRule type="cellIs" dxfId="637" priority="6" stopIfTrue="1" operator="between">
      <formula>0</formula>
      <formula>0.125</formula>
    </cfRule>
  </conditionalFormatting>
  <conditionalFormatting sqref="K8:K15">
    <cfRule type="cellIs" dxfId="636" priority="5" operator="between">
      <formula>0.1251</formula>
      <formula>0.1875</formula>
    </cfRule>
  </conditionalFormatting>
  <conditionalFormatting sqref="L8:L15">
    <cfRule type="cellIs" dxfId="635" priority="4" operator="between">
      <formula>0.1876</formula>
      <formula>0.2375</formula>
    </cfRule>
  </conditionalFormatting>
  <conditionalFormatting sqref="M8:M15">
    <cfRule type="cellIs" dxfId="634" priority="3" operator="between">
      <formula>0.2376</formula>
      <formula>0.25</formula>
    </cfRule>
  </conditionalFormatting>
  <conditionalFormatting sqref="N8:N15">
    <cfRule type="cellIs" dxfId="633" priority="2" operator="greaterThan">
      <formula>0.25</formula>
    </cfRule>
  </conditionalFormatting>
  <conditionalFormatting sqref="T10">
    <cfRule type="cellIs" dxfId="632" priority="1" operator="between">
      <formula>0.95</formula>
      <formula>1</formula>
    </cfRule>
  </conditionalFormatting>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8D296C9B3FAF4F93CF6FEC5EFDBCCF" ma:contentTypeVersion="2" ma:contentTypeDescription="Crear nuevo documento." ma:contentTypeScope="" ma:versionID="491540840890e7c228e0f1eb5c22e80e">
  <xsd:schema xmlns:xsd="http://www.w3.org/2001/XMLSchema" xmlns:xs="http://www.w3.org/2001/XMLSchema" xmlns:p="http://schemas.microsoft.com/office/2006/metadata/properties" xmlns:ns2="9c587aaf-f387-4510-84b9-c43d3d73768c" xmlns:ns3="5b63cd12-9a8a-4e54-be72-90651e442c90" targetNamespace="http://schemas.microsoft.com/office/2006/metadata/properties" ma:root="true" ma:fieldsID="7da092160215a3c29fa1800114fa057e" ns2:_="" ns3:_="">
    <xsd:import namespace="9c587aaf-f387-4510-84b9-c43d3d73768c"/>
    <xsd:import namespace="5b63cd12-9a8a-4e54-be72-90651e442c90"/>
    <xsd:element name="properties">
      <xsd:complexType>
        <xsd:sequence>
          <xsd:element name="documentManagement">
            <xsd:complexType>
              <xsd:all>
                <xsd:element ref="ns2:ano"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587aaf-f387-4510-84b9-c43d3d73768c" elementFormDefault="qualified">
    <xsd:import namespace="http://schemas.microsoft.com/office/2006/documentManagement/types"/>
    <xsd:import namespace="http://schemas.microsoft.com/office/infopath/2007/PartnerControls"/>
    <xsd:element name="ano" ma:index="8" nillable="true" ma:displayName="Año" ma:internalName="ano">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no xmlns="9c587aaf-f387-4510-84b9-c43d3d73768c">2019</ano>
  </documentManagement>
</p:properties>
</file>

<file path=customXml/itemProps1.xml><?xml version="1.0" encoding="utf-8"?>
<ds:datastoreItem xmlns:ds="http://schemas.openxmlformats.org/officeDocument/2006/customXml" ds:itemID="{639842D3-8E59-4787-B4F6-E75CC76880E9}"/>
</file>

<file path=customXml/itemProps2.xml><?xml version="1.0" encoding="utf-8"?>
<ds:datastoreItem xmlns:ds="http://schemas.openxmlformats.org/officeDocument/2006/customXml" ds:itemID="{B2DB8884-0A6D-4D65-8B01-FC5318E814FF}"/>
</file>

<file path=customXml/itemProps3.xml><?xml version="1.0" encoding="utf-8"?>
<ds:datastoreItem xmlns:ds="http://schemas.openxmlformats.org/officeDocument/2006/customXml" ds:itemID="{BB7BD28F-0B4F-4AA7-AC1B-E5509BB599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12</vt:i4>
      </vt:variant>
    </vt:vector>
  </HeadingPairs>
  <TitlesOfParts>
    <vt:vector size="28" baseType="lpstr">
      <vt:lpstr>Plan de Accion Proyectos estrat</vt:lpstr>
      <vt:lpstr>Plan de Accion Misional</vt:lpstr>
      <vt:lpstr>Plan de Accion apoyo transversa</vt:lpstr>
      <vt:lpstr>Plan de Accion ajustes normativ</vt:lpstr>
      <vt:lpstr>Excepciones presupuestales</vt:lpstr>
      <vt:lpstr>Cuadro Mando Integral Seguimien</vt:lpstr>
      <vt:lpstr>Cuadro Mando Integral Detallado</vt:lpstr>
      <vt:lpstr>Cumplimiento perspectivas Mejor</vt:lpstr>
      <vt:lpstr>Cumplimiento de objetivos Mejor</vt:lpstr>
      <vt:lpstr>Cumplimiento Dependencias Mejor</vt:lpstr>
      <vt:lpstr>Cumplimiento Planes</vt:lpstr>
      <vt:lpstr>Análisis de resultados</vt:lpstr>
      <vt:lpstr>Ejecución Presupuestal</vt:lpstr>
      <vt:lpstr>TAB. REF. PA</vt:lpstr>
      <vt:lpstr>Estadísticas</vt:lpstr>
      <vt:lpstr>Control de Cambios</vt:lpstr>
      <vt:lpstr>'TAB. REF. PA'!Central_de_Costos</vt:lpstr>
      <vt:lpstr>'TAB. REF. PA'!CÓDIGO_AREA</vt:lpstr>
      <vt:lpstr>'TAB. REF. PA'!Dimensión_MIPG</vt:lpstr>
      <vt:lpstr>'TAB. REF. PA'!Estrategia_Sectorial</vt:lpstr>
      <vt:lpstr>'TAB. REF. PA'!Fuente_de_Recursos</vt:lpstr>
      <vt:lpstr>'TAB. REF. PA'!Indicador</vt:lpstr>
      <vt:lpstr>'TAB. REF. PA'!Indicador_SINERGIA</vt:lpstr>
      <vt:lpstr>'TAB. REF. PA'!Objetivo_Especifico_PND</vt:lpstr>
      <vt:lpstr>'TAB. REF. PA'!OBJETIVO_ESTRATEGICO</vt:lpstr>
      <vt:lpstr>'TAB. REF. PA'!Política_MIPG</vt:lpstr>
      <vt:lpstr>'TAB. REF. PA'!Procedimiento</vt:lpstr>
      <vt:lpstr>'TAB. REF. PA'!Proceso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TRIANA PARGA</dc:creator>
  <cp:lastModifiedBy>NORELA BRICEÑO BOHORQUEZ</cp:lastModifiedBy>
  <cp:lastPrinted>2019-03-28T14:44:56Z</cp:lastPrinted>
  <dcterms:created xsi:type="dcterms:W3CDTF">2017-11-02T20:07:37Z</dcterms:created>
  <dcterms:modified xsi:type="dcterms:W3CDTF">2019-11-08T19:50:11Z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0x010100108D296C9B3FAF4F93CF6FEC5EFDBCCF</vt:lpwstr>
  </property>
</Properties>
</file>